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土储\2021-1-0132 轨枕厂\2021轨枕厂\终版\F03\"/>
    </mc:Choice>
  </mc:AlternateContent>
  <xr:revisionPtr revIDLastSave="0" documentId="13_ncr:1_{2B475A4B-B856-40D0-81AB-6E467B8C4A28}" xr6:coauthVersionLast="45" xr6:coauthVersionMax="45" xr10:uidLastSave="{00000000-0000-0000-0000-000000000000}"/>
  <bookViews>
    <workbookView xWindow="675" yWindow="0" windowWidth="19125" windowHeight="10860" tabRatio="819" firstSheet="30" activeTab="4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数据-汇总表" sheetId="6" r:id="rId13"/>
    <sheet name="数据-取费表" sheetId="1" r:id="rId14"/>
    <sheet name="估价对象房地状况" sheetId="20" state="hidden" r:id="rId15"/>
    <sheet name="结果表" sheetId="9" state="hidden" r:id="rId16"/>
    <sheet name="土地增值收益" sheetId="76" r:id="rId17"/>
    <sheet name="基准地价" sheetId="46" r:id="rId18"/>
    <sheet name="剩余法-待开发" sheetId="12" r:id="rId19"/>
    <sheet name="剩余法-现房" sheetId="43" state="hidden" r:id="rId20"/>
    <sheet name="比较法-住宅、综合" sheetId="39" state="hidden" r:id="rId21"/>
    <sheet name="不动产收益法" sheetId="15"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酒店收入计算" sheetId="57" state="hidden" r:id="rId29"/>
    <sheet name="工业用房租金案例" sheetId="72" r:id="rId30"/>
    <sheet name="成本逼近法" sheetId="11" r:id="rId31"/>
    <sheet name="不动产比较法-住宅" sheetId="21" state="hidden" r:id="rId32"/>
    <sheet name="不动产比较法-商业" sheetId="33" state="hidden" r:id="rId33"/>
    <sheet name="不动产比较法-办公" sheetId="34" state="hidden" r:id="rId34"/>
    <sheet name="比较法-工业" sheetId="40" state="hidden" r:id="rId35"/>
    <sheet name="比较法-土地取得费" sheetId="69" r:id="rId36"/>
    <sheet name="土地一级开发案例" sheetId="71" r:id="rId37"/>
    <sheet name="不动产比较法-车位" sheetId="35" state="hidden" r:id="rId38"/>
    <sheet name="不动产比较法-仓储" sheetId="36" state="hidden" r:id="rId39"/>
    <sheet name="典型户型修正" sheetId="31" state="hidden" r:id="rId40"/>
    <sheet name="系统读取表" sheetId="66" r:id="rId41"/>
    <sheet name="地价" sheetId="59" r:id="rId42"/>
    <sheet name="结果汇总" sheetId="75" r:id="rId43"/>
    <sheet name="Sheet2" sheetId="88" r:id="rId44"/>
    <sheet name="输机表-建筑物及附属物" sheetId="77" r:id="rId45"/>
    <sheet name="建筑物分值" sheetId="78" r:id="rId46"/>
    <sheet name="附属物分值" sheetId="79" r:id="rId47"/>
    <sheet name="建（构）筑物价格" sheetId="68" r:id="rId48"/>
    <sheet name="存贷款利率" sheetId="65" state="hidden" r:id="rId49"/>
    <sheet name="附属物-墙地棚" sheetId="83" r:id="rId50"/>
    <sheet name="附属物-树木" sheetId="82" r:id="rId51"/>
    <sheet name="不动产比较法-工业" sheetId="37" state="hidden" r:id="rId52"/>
    <sheet name="停产停业损失" sheetId="80" r:id="rId53"/>
    <sheet name="丰怀利润表" sheetId="85" r:id="rId54"/>
    <sheet name="国地评估结果" sheetId="86" r:id="rId55"/>
    <sheet name="Sheet1" sheetId="87" r:id="rId56"/>
  </sheets>
  <externalReferences>
    <externalReference r:id="rId57"/>
    <externalReference r:id="rId58"/>
    <externalReference r:id="rId59"/>
    <externalReference r:id="rId60"/>
    <externalReference r:id="rId61"/>
    <externalReference r:id="rId62"/>
  </externalReferences>
  <definedNames>
    <definedName name="_xlnm._FilterDatabase" localSheetId="34" hidden="1">'比较法-工业'!$A$1:$L$45</definedName>
    <definedName name="_xlnm._FilterDatabase" localSheetId="20" hidden="1">'比较法-住宅、综合'!$A$1:$L$50</definedName>
    <definedName name="_xlnm._FilterDatabase" localSheetId="33"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51"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CX" localSheetId="46">[1]分值!$AM$3:$AP$94</definedName>
    <definedName name="CX">建筑物分值!$AM$3:$AP$94</definedName>
    <definedName name="DM">建筑物分值!$X$3:$AB$17</definedName>
    <definedName name="DP">建筑物分值!$R$16:$V$26</definedName>
    <definedName name="FSW">附属物分值!$B$1:$F$65536</definedName>
    <definedName name="GD" localSheetId="46">[1]分值!$AD$3:$AH$13</definedName>
    <definedName name="GD">建筑物分值!$AD$3:$AH$13</definedName>
    <definedName name="MC">建筑物分值!$R$3:$V$11</definedName>
    <definedName name="_xlnm.Print_Area" localSheetId="34">'比较法-工业'!$A$1:$K$63,'比较法-工业'!$A$66:$N$123</definedName>
    <definedName name="_xlnm.Print_Area" localSheetId="20">'比较法-住宅、综合'!$A$1:$K$67,'比较法-住宅、综合'!$A$71:$N$134</definedName>
    <definedName name="_xlnm.Print_Area" localSheetId="33">'不动产比较法-办公'!$A$1:$K$55,'不动产比较法-办公'!$A$58:$M$132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51">'不动产比较法-工业'!$A$1:$K$48,'不动产比较法-工业'!$A$51:$M$113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21">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6">'基准地价（汇总）'!$A$1:$F$14</definedName>
    <definedName name="_xlnm.Print_Area" localSheetId="15">结果表!$A$1:$I$46,结果表!$K$25:$O$44,结果表!$A$62:$I$115,结果表!$K$64:$P$81</definedName>
    <definedName name="_xlnm.Print_Area" localSheetId="18">'剩余法-待开发'!$A$1:$K$36</definedName>
    <definedName name="_xlnm.Print_Area" localSheetId="19">'剩余法-现房'!$A$1:$K$32</definedName>
    <definedName name="_xlnm.Print_Area" localSheetId="27">收益还原法!$A$1:$F$46,收益还原法!$H$3:$M$31,收益还原法!$I$47:$M$61</definedName>
    <definedName name="_xlnm.Print_Area" localSheetId="44">'输机表-建筑物及附属物'!$A$74:$G$132</definedName>
    <definedName name="_xlnm.Print_Area" localSheetId="12">'数据-汇总表'!$A$1:$P$32</definedName>
    <definedName name="_xlnm.Print_Area" localSheetId="40">系统读取表!$A$1:$J$26</definedName>
    <definedName name="_xlnm.Print_Area" localSheetId="9">项目基本情况!$A$1:$J$44</definedName>
    <definedName name="QS">建筑物分值!$L$3:$P$14</definedName>
    <definedName name="QT">建筑物分值!$X$21:$Z$32</definedName>
    <definedName name="RK">建筑物分值!$AB$21:$AG$31</definedName>
    <definedName name="RX">建筑物分值!$AC$21:$AG$31</definedName>
    <definedName name="SSHF">#REF!</definedName>
    <definedName name="TJ">建筑物分值!$L$18:$M$26</definedName>
    <definedName name="WJ">建筑物分值!$G$3:$J$23</definedName>
    <definedName name="WM">建筑物分值!$B$3:$D$26</definedName>
    <definedName name="ZG" localSheetId="46">[1]分值!$AJ$3:$AK$28</definedName>
    <definedName name="ZG">建筑物分值!$AJ$3:$AK$28</definedName>
    <definedName name="八级" localSheetId="46">#REF!</definedName>
    <definedName name="八级" localSheetId="45">#REF!</definedName>
    <definedName name="八级" localSheetId="44">#REF!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#REF!</definedName>
    <definedName name="产权性质">#REF!</definedName>
    <definedName name="产业集聚程度">定义!$N$1:$N$6</definedName>
    <definedName name="朝向">#REF!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抵押状况">#REF!</definedName>
    <definedName name="地类判定">定义!$H$1:$H$9</definedName>
    <definedName name="独立使用性分析">#REF!</definedName>
    <definedName name="二级" localSheetId="46">#REF!</definedName>
    <definedName name="二级" localSheetId="45">#REF!</definedName>
    <definedName name="二级" localSheetId="44">#REF!</definedName>
    <definedName name="二级">区片价!$J$1:$J$20</definedName>
    <definedName name="二级分类">修正!$C$17:$C$39</definedName>
    <definedName name="发证日期">#REF!</definedName>
    <definedName name="法定最高年限">定义!$G$2:$G$4</definedName>
    <definedName name="法定最高土地使用年限">#REF!</definedName>
    <definedName name="房屋产权性质">[2]楼层测算!$N$2:$N$9</definedName>
    <definedName name="房屋朝向">[2]楼层测算!$A$117:$A$126</definedName>
    <definedName name="房屋装修">[2]楼层测算!$K$2:$K$5</definedName>
    <definedName name="分值" localSheetId="44">'输机表-建筑物及附属物'!$E$1:$F$1</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对象是否为半地下室">#REF!</definedName>
    <definedName name="估价对象所在区县">#REF!</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46">[3]基准地价修正!$O$19:$Z$19</definedName>
    <definedName name="季度" localSheetId="45">[3]基准地价修正!$O$19:$Z$19</definedName>
    <definedName name="季度" localSheetId="44">[3]基准地价修正!$O$19:$Z$19</definedName>
    <definedName name="季度">基准地价!$N$19:$AB$19</definedName>
    <definedName name="季度2014">地价!$A$2:$A$33</definedName>
    <definedName name="价值类型2">定义!$B$54:$B$56</definedName>
    <definedName name="建筑结构">[2]楼层测算!$J$2:$J$3</definedName>
    <definedName name="交通便捷度">定义!$O$1:$O$6</definedName>
    <definedName name="结构">#REF!</definedName>
    <definedName name="经济寿命">#REF!</definedName>
    <definedName name="九级" localSheetId="46">#REF!</definedName>
    <definedName name="九级" localSheetId="45">#REF!</definedName>
    <definedName name="九级" localSheetId="44">#REF!</definedName>
    <definedName name="九级">区片价!$Q$1:$Q$46</definedName>
    <definedName name="居住社区成熟度">定义!$K$1:$K$6</definedName>
    <definedName name="类别">定义!$J$1:$J$3</definedName>
    <definedName name="临街状况">定义!$T$1:$T$5</definedName>
    <definedName name="六级" localSheetId="46">#REF!</definedName>
    <definedName name="六级" localSheetId="45">#REF!</definedName>
    <definedName name="六级" localSheetId="44">#REF!</definedName>
    <definedName name="六级">区片价!$N$1:$N$49</definedName>
    <definedName name="内部装修维护情况">定义!$U$1:$U$6</definedName>
    <definedName name="判定">定义!$D$1:$D$4</definedName>
    <definedName name="配备电梯">[2]楼层测算!$M$2:$M$3</definedName>
    <definedName name="评估方法1">#REF!</definedName>
    <definedName name="评估方法2">#REF!</definedName>
    <definedName name="七级" localSheetId="46">#REF!</definedName>
    <definedName name="七级" localSheetId="45">#REF!</definedName>
    <definedName name="七级" localSheetId="44">#REF!</definedName>
    <definedName name="七级">区片价!$O$1:$O$49</definedName>
    <definedName name="七通一平">修正!$A$6:$A$14</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46">#REF!</definedName>
    <definedName name="三级" localSheetId="45">#REF!</definedName>
    <definedName name="三级" localSheetId="44">#REF!</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 localSheetId="46">#REF!</definedName>
    <definedName name="十二级" localSheetId="45">#REF!</definedName>
    <definedName name="十二级" localSheetId="44">#REF!</definedName>
    <definedName name="十二级">区片价!$T$1:$T$8</definedName>
    <definedName name="十级" localSheetId="46">#REF!</definedName>
    <definedName name="十级" localSheetId="45">#REF!</definedName>
    <definedName name="十级" localSheetId="44">#REF!</definedName>
    <definedName name="十级">区片价!$R$1:$R$27</definedName>
    <definedName name="十一级" localSheetId="46">#REF!</definedName>
    <definedName name="十一级" localSheetId="45">#REF!</definedName>
    <definedName name="十一级" localSheetId="44">#REF!</definedName>
    <definedName name="十一级">区片价!$S$1:$S$22</definedName>
    <definedName name="是否封闭">'不动产比较法-仓储'!$B$89:$M$89</definedName>
    <definedName name="是否直接入户">'不动产比较法-车位'!$B$95:$M$95</definedName>
    <definedName name="四级" localSheetId="46">#REF!</definedName>
    <definedName name="四级" localSheetId="45">#REF!</definedName>
    <definedName name="四级" localSheetId="44">#REF!</definedName>
    <definedName name="四级">区片价!$L$1:$L$28</definedName>
    <definedName name="所在楼层">[2]楼层测算!$L$2:$L$6</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土地用途">#REF!</definedName>
    <definedName name="位置">定义!$E$2:$E$4</definedName>
    <definedName name="五等判定">定义!$W$1:$W$6</definedName>
    <definedName name="五级" localSheetId="46">#REF!</definedName>
    <definedName name="五级" localSheetId="45">#REF!</definedName>
    <definedName name="五级" localSheetId="44">#REF!</definedName>
    <definedName name="五级">区片价!$M$1:$M$35</definedName>
    <definedName name="物理结构是否变化">#REF!</definedName>
    <definedName name="项目类型">'数据-汇总表'!$C$17:$C$26</definedName>
    <definedName name="小区临近道路级别">#REF!</definedName>
    <definedName name="写字楼等级">'不动产比较法-办公'!$B$113:$M$113</definedName>
    <definedName name="一级" localSheetId="46">#REF!</definedName>
    <definedName name="一级" localSheetId="45">#REF!</definedName>
    <definedName name="一级" localSheetId="44">#REF!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类型">定义!$A$1:$A$50</definedName>
    <definedName name="优先受偿">#REF!</definedName>
    <definedName name="有无电梯">'不动产比较法-仓储'!$B$84:$M$84</definedName>
    <definedName name="原件">#REF!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资料来源">#REF!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11" i="75" l="1"/>
  <c r="R12" i="75"/>
  <c r="R13" i="75"/>
  <c r="R14" i="75"/>
  <c r="R15" i="75"/>
  <c r="R10" i="75"/>
  <c r="H12" i="75" l="1"/>
  <c r="Q33" i="75"/>
  <c r="Q32" i="75"/>
  <c r="R35" i="75"/>
  <c r="L15" i="69"/>
  <c r="J15" i="69"/>
  <c r="R6" i="75" l="1"/>
  <c r="M16" i="75"/>
  <c r="H13" i="75" l="1"/>
  <c r="Q34" i="75"/>
  <c r="U28" i="77" l="1"/>
  <c r="AP28" i="77" s="1"/>
  <c r="G28" i="77"/>
  <c r="H28" i="77" s="1"/>
  <c r="H29" i="77" s="1"/>
  <c r="E28" i="77"/>
  <c r="I28" i="77" s="1"/>
  <c r="D28" i="77"/>
  <c r="D29" i="77" s="1"/>
  <c r="F29" i="77"/>
  <c r="G29" i="77"/>
  <c r="U29" i="77"/>
  <c r="C29" i="77"/>
  <c r="AQ28" i="77" l="1"/>
  <c r="AP29" i="77"/>
  <c r="E29" i="77"/>
  <c r="J28" i="77"/>
  <c r="I29" i="77"/>
  <c r="AW28" i="77" l="1"/>
  <c r="AW29" i="77" s="1"/>
  <c r="AZ28" i="77"/>
  <c r="AX28" i="77"/>
  <c r="AX29" i="77" s="1"/>
  <c r="AV28" i="77"/>
  <c r="AV29" i="77" s="1"/>
  <c r="AQ29" i="77"/>
  <c r="AY28" i="77"/>
  <c r="AY29" i="77" s="1"/>
  <c r="K28" i="77"/>
  <c r="J29" i="77"/>
  <c r="AZ29" i="77" l="1"/>
  <c r="BA28" i="77"/>
  <c r="L28" i="77"/>
  <c r="K29" i="77"/>
  <c r="BB28" i="77" l="1"/>
  <c r="BA29" i="77"/>
  <c r="M28" i="77"/>
  <c r="L29" i="77"/>
  <c r="BE28" i="77" l="1"/>
  <c r="BC28" i="77"/>
  <c r="BC29" i="77" s="1"/>
  <c r="BD28" i="77"/>
  <c r="BD29" i="77" s="1"/>
  <c r="BB29" i="77"/>
  <c r="N28" i="77"/>
  <c r="M29" i="77"/>
  <c r="BF28" i="77" l="1"/>
  <c r="BE29" i="77"/>
  <c r="O28" i="77"/>
  <c r="N29" i="77"/>
  <c r="BG28" i="77" l="1"/>
  <c r="BF29" i="77"/>
  <c r="P28" i="77"/>
  <c r="Q28" i="77" s="1"/>
  <c r="R28" i="77" s="1"/>
  <c r="S28" i="77" s="1"/>
  <c r="T28" i="77" s="1"/>
  <c r="V28" i="77" s="1"/>
  <c r="W28" i="77" s="1"/>
  <c r="X28" i="77" s="1"/>
  <c r="Y28" i="77" s="1"/>
  <c r="Z28" i="77" s="1"/>
  <c r="AA28" i="77" s="1"/>
  <c r="AB28" i="77" s="1"/>
  <c r="AC28" i="77" s="1"/>
  <c r="O29" i="77"/>
  <c r="BI28" i="77" l="1"/>
  <c r="BI29" i="77" s="1"/>
  <c r="BH28" i="77"/>
  <c r="BH29" i="77" s="1"/>
  <c r="BG29" i="77"/>
  <c r="AE28" i="77"/>
  <c r="AF28" i="77"/>
  <c r="AG28" i="77" s="1"/>
  <c r="AH28" i="77" s="1"/>
  <c r="AI28" i="77" s="1"/>
  <c r="AJ28" i="77" s="1"/>
  <c r="AK28" i="77" s="1"/>
  <c r="AL28" i="77" s="1"/>
  <c r="AM28" i="77" s="1"/>
  <c r="AN28" i="77" s="1"/>
  <c r="AO28" i="77" s="1"/>
  <c r="AR28" i="77" s="1"/>
  <c r="AU28" i="77" l="1"/>
  <c r="AS28" i="77"/>
  <c r="AT28" i="77"/>
  <c r="H16" i="69" l="1"/>
  <c r="J16" i="69" s="1"/>
  <c r="L16" i="69" s="1"/>
  <c r="N16" i="69" s="1"/>
  <c r="H11" i="69"/>
  <c r="J11" i="69" s="1"/>
  <c r="L11" i="69" s="1"/>
  <c r="N11" i="69" s="1"/>
  <c r="H14" i="69"/>
  <c r="J14" i="69" s="1"/>
  <c r="L14" i="69" s="1"/>
  <c r="N14" i="69" s="1"/>
  <c r="H8" i="69"/>
  <c r="J8" i="69" s="1"/>
  <c r="L8" i="69" s="1"/>
  <c r="F14" i="83" l="1"/>
  <c r="H2" i="68" l="1"/>
  <c r="W9" i="75"/>
  <c r="X11" i="75" s="1"/>
  <c r="B31" i="83"/>
  <c r="G13" i="83" s="1"/>
  <c r="G9" i="83"/>
  <c r="W11" i="75" l="1"/>
  <c r="X12" i="75" s="1"/>
  <c r="H63" i="86"/>
  <c r="D61" i="86"/>
  <c r="C61" i="86"/>
  <c r="D60" i="86"/>
  <c r="H59" i="86"/>
  <c r="D59" i="86"/>
  <c r="H58" i="86"/>
  <c r="D58" i="86"/>
  <c r="H57" i="86"/>
  <c r="D57" i="86"/>
  <c r="H56" i="86"/>
  <c r="D56" i="86"/>
  <c r="H55" i="86"/>
  <c r="D55" i="86"/>
  <c r="K54" i="86"/>
  <c r="L54" i="86" s="1"/>
  <c r="H54" i="86"/>
  <c r="D54" i="86"/>
  <c r="H53" i="86"/>
  <c r="D53" i="86"/>
  <c r="H52" i="86"/>
  <c r="D52" i="86"/>
  <c r="H51" i="86"/>
  <c r="D51" i="86"/>
  <c r="H50" i="86"/>
  <c r="D50" i="86"/>
  <c r="D47" i="82"/>
  <c r="D46" i="82"/>
  <c r="D44" i="82"/>
  <c r="F46" i="82"/>
  <c r="F44" i="82"/>
  <c r="F45" i="82"/>
  <c r="F47" i="82"/>
  <c r="F48" i="82"/>
  <c r="E50" i="82"/>
  <c r="D42" i="82"/>
  <c r="F42" i="82" s="1"/>
  <c r="D41" i="82"/>
  <c r="F41" i="82" s="1"/>
  <c r="D40" i="82"/>
  <c r="F40" i="82" s="1"/>
  <c r="D39" i="82"/>
  <c r="F39" i="82" s="1"/>
  <c r="D38" i="82"/>
  <c r="F38" i="82" s="1"/>
  <c r="D37" i="82"/>
  <c r="F37" i="82" s="1"/>
  <c r="D36" i="82"/>
  <c r="F36" i="82" s="1"/>
  <c r="D35" i="82"/>
  <c r="F35" i="82" s="1"/>
  <c r="D34" i="82"/>
  <c r="F34" i="82" s="1"/>
  <c r="F33" i="82"/>
  <c r="F32" i="82"/>
  <c r="F31" i="82"/>
  <c r="D30" i="82"/>
  <c r="D49" i="82" s="1"/>
  <c r="F49" i="82" s="1"/>
  <c r="D29" i="82"/>
  <c r="F29" i="82" s="1"/>
  <c r="D28" i="82"/>
  <c r="F28" i="82" s="1"/>
  <c r="D27" i="82"/>
  <c r="F27" i="82" s="1"/>
  <c r="D26" i="82"/>
  <c r="F26" i="82" s="1"/>
  <c r="D25" i="82"/>
  <c r="F25" i="82" s="1"/>
  <c r="D24" i="82"/>
  <c r="F24" i="82" s="1"/>
  <c r="D23" i="82"/>
  <c r="F23" i="82" s="1"/>
  <c r="D22" i="82"/>
  <c r="F22" i="82" s="1"/>
  <c r="D21" i="82"/>
  <c r="F21" i="82" s="1"/>
  <c r="D20" i="82"/>
  <c r="F20" i="82" s="1"/>
  <c r="D19" i="82"/>
  <c r="F19" i="82" s="1"/>
  <c r="D18" i="82"/>
  <c r="F18" i="82" s="1"/>
  <c r="D17" i="82"/>
  <c r="F17" i="82" s="1"/>
  <c r="D16" i="82"/>
  <c r="F16" i="82" s="1"/>
  <c r="D15" i="82"/>
  <c r="F15" i="82" s="1"/>
  <c r="D14" i="82"/>
  <c r="F14" i="82" s="1"/>
  <c r="D13" i="82"/>
  <c r="F13" i="82" s="1"/>
  <c r="D12" i="82"/>
  <c r="F12" i="82" s="1"/>
  <c r="D11" i="82"/>
  <c r="F11" i="82" s="1"/>
  <c r="D10" i="82"/>
  <c r="F10" i="82" s="1"/>
  <c r="D9" i="82"/>
  <c r="F9" i="82" s="1"/>
  <c r="D8" i="82"/>
  <c r="F8" i="82" s="1"/>
  <c r="D7" i="82"/>
  <c r="F7" i="82" s="1"/>
  <c r="D6" i="82"/>
  <c r="F6" i="82" s="1"/>
  <c r="D5" i="82"/>
  <c r="F5" i="82" s="1"/>
  <c r="D4" i="82"/>
  <c r="F4" i="82" s="1"/>
  <c r="D3" i="82"/>
  <c r="F3" i="82" s="1"/>
  <c r="B10" i="80"/>
  <c r="D10" i="80" s="1"/>
  <c r="B12" i="80" s="1"/>
  <c r="G2" i="85"/>
  <c r="G1" i="85"/>
  <c r="B14" i="80"/>
  <c r="G30" i="80"/>
  <c r="G32" i="80" s="1"/>
  <c r="G33" i="80" s="1"/>
  <c r="C24" i="80"/>
  <c r="C19" i="80"/>
  <c r="D11" i="80"/>
  <c r="C6" i="80"/>
  <c r="R8" i="75"/>
  <c r="F9" i="80" l="1"/>
  <c r="F30" i="82"/>
  <c r="F10" i="80"/>
  <c r="D43" i="82"/>
  <c r="F43" i="82" s="1"/>
  <c r="F50" i="82" s="1"/>
  <c r="F88" i="79" l="1"/>
  <c r="F86" i="79"/>
  <c r="F85" i="79"/>
  <c r="F84" i="79"/>
  <c r="F83" i="79"/>
  <c r="F79" i="79"/>
  <c r="F78" i="79"/>
  <c r="F77" i="79"/>
  <c r="F76" i="79"/>
  <c r="F75" i="79"/>
  <c r="F74" i="79"/>
  <c r="F73" i="79"/>
  <c r="F72" i="79"/>
  <c r="F71" i="79"/>
  <c r="F70" i="79"/>
  <c r="F69" i="79"/>
  <c r="F68" i="79"/>
  <c r="F67" i="79"/>
  <c r="F66" i="79"/>
  <c r="F65" i="79"/>
  <c r="F64" i="79"/>
  <c r="F63" i="79"/>
  <c r="F62" i="79"/>
  <c r="F61" i="79"/>
  <c r="F57" i="79"/>
  <c r="F56" i="79"/>
  <c r="F55" i="79"/>
  <c r="F54" i="79"/>
  <c r="F52" i="79"/>
  <c r="F51" i="79"/>
  <c r="F50" i="79"/>
  <c r="F45" i="79"/>
  <c r="F44" i="79"/>
  <c r="F43" i="79"/>
  <c r="F42" i="79"/>
  <c r="F41" i="79"/>
  <c r="F40" i="79"/>
  <c r="F39" i="79"/>
  <c r="F38" i="79"/>
  <c r="F36" i="79"/>
  <c r="F35" i="79"/>
  <c r="F33" i="79"/>
  <c r="F32" i="79"/>
  <c r="F31" i="79"/>
  <c r="F28" i="79"/>
  <c r="F27" i="79"/>
  <c r="F26" i="79"/>
  <c r="F25" i="79"/>
  <c r="F24" i="79"/>
  <c r="F23" i="79"/>
  <c r="F22" i="79"/>
  <c r="F21" i="79"/>
  <c r="F20" i="79"/>
  <c r="F19" i="79"/>
  <c r="F18" i="79"/>
  <c r="F17" i="79"/>
  <c r="F16" i="79"/>
  <c r="F12" i="79"/>
  <c r="E11" i="79"/>
  <c r="E10" i="79"/>
  <c r="E9" i="79"/>
  <c r="E8" i="79"/>
  <c r="E7" i="79"/>
  <c r="E6" i="79"/>
  <c r="E5" i="79"/>
  <c r="E4" i="79"/>
  <c r="E3" i="79"/>
  <c r="E2" i="79"/>
  <c r="AP93" i="78"/>
  <c r="AO93" i="78"/>
  <c r="AN93" i="78"/>
  <c r="AP92" i="78"/>
  <c r="AO92" i="78"/>
  <c r="AN92" i="78"/>
  <c r="AP91" i="78"/>
  <c r="AO91" i="78"/>
  <c r="AN91" i="78"/>
  <c r="AP90" i="78"/>
  <c r="AO90" i="78"/>
  <c r="AN90" i="78"/>
  <c r="AP88" i="78"/>
  <c r="AO88" i="78"/>
  <c r="AN88" i="78"/>
  <c r="AP87" i="78"/>
  <c r="AO87" i="78"/>
  <c r="AN87" i="78"/>
  <c r="AP86" i="78"/>
  <c r="AO86" i="78"/>
  <c r="AN86" i="78"/>
  <c r="AP85" i="78"/>
  <c r="AO85" i="78"/>
  <c r="AN85" i="78"/>
  <c r="AP83" i="78"/>
  <c r="AO83" i="78"/>
  <c r="AN83" i="78"/>
  <c r="AP82" i="78"/>
  <c r="AO82" i="78"/>
  <c r="AN82" i="78"/>
  <c r="AP81" i="78"/>
  <c r="AO81" i="78"/>
  <c r="AN81" i="78"/>
  <c r="AP80" i="78"/>
  <c r="AO80" i="78"/>
  <c r="AN80" i="78"/>
  <c r="AP78" i="78"/>
  <c r="AO78" i="78"/>
  <c r="AN78" i="78"/>
  <c r="AP77" i="78"/>
  <c r="AO77" i="78"/>
  <c r="AN77" i="78"/>
  <c r="AP76" i="78"/>
  <c r="AO76" i="78"/>
  <c r="AN76" i="78"/>
  <c r="AP75" i="78"/>
  <c r="AO75" i="78"/>
  <c r="AN75" i="78"/>
  <c r="AP73" i="78"/>
  <c r="AO73" i="78"/>
  <c r="AN73" i="78"/>
  <c r="AP72" i="78"/>
  <c r="AO72" i="78"/>
  <c r="AN72" i="78"/>
  <c r="AP71" i="78"/>
  <c r="AO71" i="78"/>
  <c r="AN71" i="78"/>
  <c r="AP70" i="78"/>
  <c r="AO70" i="78"/>
  <c r="AN70" i="78"/>
  <c r="AP68" i="78"/>
  <c r="AO68" i="78"/>
  <c r="AN68" i="78"/>
  <c r="AP67" i="78"/>
  <c r="AO67" i="78"/>
  <c r="AN67" i="78"/>
  <c r="AP66" i="78"/>
  <c r="AO66" i="78"/>
  <c r="AN66" i="78"/>
  <c r="AP65" i="78"/>
  <c r="AO65" i="78"/>
  <c r="AN65" i="78"/>
  <c r="AP63" i="78"/>
  <c r="AO63" i="78"/>
  <c r="AN63" i="78"/>
  <c r="AP62" i="78"/>
  <c r="AO62" i="78"/>
  <c r="AN62" i="78"/>
  <c r="AP61" i="78"/>
  <c r="AO61" i="78"/>
  <c r="AN61" i="78"/>
  <c r="AP60" i="78"/>
  <c r="AO60" i="78"/>
  <c r="AN60" i="78"/>
  <c r="AP58" i="78"/>
  <c r="AO58" i="78"/>
  <c r="AN58" i="78"/>
  <c r="AP57" i="78"/>
  <c r="AO57" i="78"/>
  <c r="AN57" i="78"/>
  <c r="AP56" i="78"/>
  <c r="AO56" i="78"/>
  <c r="AN56" i="78"/>
  <c r="AP55" i="78"/>
  <c r="AO55" i="78"/>
  <c r="AN55" i="78"/>
  <c r="AP53" i="78"/>
  <c r="AO53" i="78"/>
  <c r="AN53" i="78"/>
  <c r="AP52" i="78"/>
  <c r="AO52" i="78"/>
  <c r="AN52" i="78"/>
  <c r="AP51" i="78"/>
  <c r="AO51" i="78"/>
  <c r="AN51" i="78"/>
  <c r="AP50" i="78"/>
  <c r="AO50" i="78"/>
  <c r="AN50" i="78"/>
  <c r="AP48" i="78"/>
  <c r="AO48" i="78"/>
  <c r="AN48" i="78"/>
  <c r="AP47" i="78"/>
  <c r="AO47" i="78"/>
  <c r="AN47" i="78"/>
  <c r="AP46" i="78"/>
  <c r="AO46" i="78"/>
  <c r="AN46" i="78"/>
  <c r="AP45" i="78"/>
  <c r="AO45" i="78"/>
  <c r="AN45" i="78"/>
  <c r="AP43" i="78"/>
  <c r="AO43" i="78"/>
  <c r="AN43" i="78"/>
  <c r="AP42" i="78"/>
  <c r="AO42" i="78"/>
  <c r="AN42" i="78"/>
  <c r="AP41" i="78"/>
  <c r="AO41" i="78"/>
  <c r="AN41" i="78"/>
  <c r="AP40" i="78"/>
  <c r="AO40" i="78"/>
  <c r="AN40" i="78"/>
  <c r="AP38" i="78"/>
  <c r="AO38" i="78"/>
  <c r="AN38" i="78"/>
  <c r="AP37" i="78"/>
  <c r="AO37" i="78"/>
  <c r="AN37" i="78"/>
  <c r="AP36" i="78"/>
  <c r="AO36" i="78"/>
  <c r="AN36" i="78"/>
  <c r="AP35" i="78"/>
  <c r="AO35" i="78"/>
  <c r="AN35" i="78"/>
  <c r="AP33" i="78"/>
  <c r="AO33" i="78"/>
  <c r="AN33" i="78"/>
  <c r="AP32" i="78"/>
  <c r="AO32" i="78"/>
  <c r="AN32" i="78"/>
  <c r="AP31" i="78"/>
  <c r="AO31" i="78"/>
  <c r="AN31" i="78"/>
  <c r="AP30" i="78"/>
  <c r="AO30" i="78"/>
  <c r="AN30" i="78"/>
  <c r="AP28" i="78"/>
  <c r="AO28" i="78"/>
  <c r="AN28" i="78"/>
  <c r="AP27" i="78"/>
  <c r="AO27" i="78"/>
  <c r="AN27" i="78"/>
  <c r="AP26" i="78"/>
  <c r="AO26" i="78"/>
  <c r="AN26" i="78"/>
  <c r="AP25" i="78"/>
  <c r="AO25" i="78"/>
  <c r="AN25" i="78"/>
  <c r="AP23" i="78"/>
  <c r="AO23" i="78"/>
  <c r="AN23" i="78"/>
  <c r="AP22" i="78"/>
  <c r="AO22" i="78"/>
  <c r="AN22" i="78"/>
  <c r="AP21" i="78"/>
  <c r="AO21" i="78"/>
  <c r="AN21" i="78"/>
  <c r="AP20" i="78"/>
  <c r="AO20" i="78"/>
  <c r="AN20" i="78"/>
  <c r="AP18" i="78"/>
  <c r="AO18" i="78"/>
  <c r="AN18" i="78"/>
  <c r="AP17" i="78"/>
  <c r="AO17" i="78"/>
  <c r="AN17" i="78"/>
  <c r="AP16" i="78"/>
  <c r="AO16" i="78"/>
  <c r="AN16" i="78"/>
  <c r="AP15" i="78"/>
  <c r="AO15" i="78"/>
  <c r="AN15" i="78"/>
  <c r="AP13" i="78"/>
  <c r="AO13" i="78"/>
  <c r="AN13" i="78"/>
  <c r="AP12" i="78"/>
  <c r="AO12" i="78"/>
  <c r="AN12" i="78"/>
  <c r="AP11" i="78"/>
  <c r="AO11" i="78"/>
  <c r="AN11" i="78"/>
  <c r="AP10" i="78"/>
  <c r="AO10" i="78"/>
  <c r="AN10" i="78"/>
  <c r="AP8" i="78"/>
  <c r="AO8" i="78"/>
  <c r="AN8" i="78"/>
  <c r="AP7" i="78"/>
  <c r="AO7" i="78"/>
  <c r="AN7" i="78"/>
  <c r="AP6" i="78"/>
  <c r="AO6" i="78"/>
  <c r="AN6" i="78"/>
  <c r="AP5" i="78"/>
  <c r="AO5" i="78"/>
  <c r="AN5" i="78"/>
  <c r="F242" i="77"/>
  <c r="E242" i="77"/>
  <c r="D242" i="77"/>
  <c r="A242" i="77"/>
  <c r="G241" i="77"/>
  <c r="F241" i="77"/>
  <c r="E241" i="77"/>
  <c r="D241" i="77"/>
  <c r="A241" i="77"/>
  <c r="F240" i="77"/>
  <c r="E240" i="77"/>
  <c r="D240" i="77"/>
  <c r="B240" i="77"/>
  <c r="A240" i="77"/>
  <c r="F239" i="77"/>
  <c r="E239" i="77"/>
  <c r="D239" i="77"/>
  <c r="A239" i="77"/>
  <c r="F238" i="77"/>
  <c r="D238" i="77"/>
  <c r="B238" i="77"/>
  <c r="A238" i="77"/>
  <c r="G237" i="77"/>
  <c r="F237" i="77"/>
  <c r="E237" i="77"/>
  <c r="D237" i="77"/>
  <c r="A237" i="77"/>
  <c r="F236" i="77"/>
  <c r="D236" i="77"/>
  <c r="B236" i="77"/>
  <c r="A236" i="77"/>
  <c r="F235" i="77"/>
  <c r="D235" i="77"/>
  <c r="A235" i="77"/>
  <c r="F234" i="77"/>
  <c r="E234" i="77"/>
  <c r="D234" i="77"/>
  <c r="B234" i="77"/>
  <c r="A234" i="77"/>
  <c r="G233" i="77"/>
  <c r="F233" i="77"/>
  <c r="E233" i="77"/>
  <c r="D233" i="77"/>
  <c r="B233" i="77"/>
  <c r="A233" i="77"/>
  <c r="F232" i="77"/>
  <c r="D232" i="77"/>
  <c r="A232" i="77"/>
  <c r="F231" i="77"/>
  <c r="D231" i="77"/>
  <c r="A231" i="77"/>
  <c r="F230" i="77"/>
  <c r="D230" i="77"/>
  <c r="A230" i="77"/>
  <c r="G229" i="77"/>
  <c r="F229" i="77"/>
  <c r="E229" i="77"/>
  <c r="D229" i="77"/>
  <c r="A229" i="77"/>
  <c r="G215" i="77"/>
  <c r="E215" i="77"/>
  <c r="D215" i="77"/>
  <c r="C215" i="77"/>
  <c r="B215" i="77"/>
  <c r="A215" i="77"/>
  <c r="G214" i="77"/>
  <c r="E214" i="77"/>
  <c r="D214" i="77"/>
  <c r="C214" i="77"/>
  <c r="B214" i="77"/>
  <c r="A214" i="77"/>
  <c r="G213" i="77"/>
  <c r="E213" i="77"/>
  <c r="D213" i="77"/>
  <c r="C213" i="77"/>
  <c r="B213" i="77"/>
  <c r="A213" i="77"/>
  <c r="G212" i="77"/>
  <c r="E212" i="77"/>
  <c r="D212" i="77"/>
  <c r="C212" i="77"/>
  <c r="B212" i="77"/>
  <c r="A212" i="77"/>
  <c r="G211" i="77"/>
  <c r="E211" i="77"/>
  <c r="D211" i="77"/>
  <c r="B211" i="77"/>
  <c r="A211" i="77"/>
  <c r="E210" i="77"/>
  <c r="D210" i="77"/>
  <c r="B210" i="77"/>
  <c r="A210" i="77"/>
  <c r="E209" i="77"/>
  <c r="D209" i="77"/>
  <c r="B209" i="77"/>
  <c r="A209" i="77"/>
  <c r="E208" i="77"/>
  <c r="D208" i="77"/>
  <c r="B208" i="77"/>
  <c r="A208" i="77"/>
  <c r="E207" i="77"/>
  <c r="D207" i="77"/>
  <c r="B207" i="77"/>
  <c r="A207" i="77"/>
  <c r="E206" i="77"/>
  <c r="D206" i="77"/>
  <c r="C206" i="77"/>
  <c r="C226" i="77" s="1"/>
  <c r="B206" i="77"/>
  <c r="B226" i="77" s="1"/>
  <c r="A206" i="77"/>
  <c r="E203" i="77"/>
  <c r="B203" i="77"/>
  <c r="B202" i="77"/>
  <c r="F183" i="77"/>
  <c r="E183" i="77"/>
  <c r="D183" i="77"/>
  <c r="A183" i="77"/>
  <c r="G182" i="77"/>
  <c r="F182" i="77"/>
  <c r="E182" i="77"/>
  <c r="D182" i="77"/>
  <c r="A182" i="77"/>
  <c r="F181" i="77"/>
  <c r="E181" i="77"/>
  <c r="D181" i="77"/>
  <c r="B181" i="77"/>
  <c r="A181" i="77"/>
  <c r="F180" i="77"/>
  <c r="E180" i="77"/>
  <c r="D180" i="77"/>
  <c r="A180" i="77"/>
  <c r="F179" i="77"/>
  <c r="D179" i="77"/>
  <c r="B179" i="77"/>
  <c r="A179" i="77"/>
  <c r="G178" i="77"/>
  <c r="F178" i="77"/>
  <c r="E178" i="77"/>
  <c r="D178" i="77"/>
  <c r="A178" i="77"/>
  <c r="F177" i="77"/>
  <c r="D177" i="77"/>
  <c r="B177" i="77"/>
  <c r="A177" i="77"/>
  <c r="F176" i="77"/>
  <c r="D176" i="77"/>
  <c r="A176" i="77"/>
  <c r="F175" i="77"/>
  <c r="E175" i="77"/>
  <c r="D175" i="77"/>
  <c r="B175" i="77"/>
  <c r="A175" i="77"/>
  <c r="G174" i="77"/>
  <c r="F174" i="77"/>
  <c r="E174" i="77"/>
  <c r="D174" i="77"/>
  <c r="B174" i="77"/>
  <c r="A174" i="77"/>
  <c r="F173" i="77"/>
  <c r="D173" i="77"/>
  <c r="A173" i="77"/>
  <c r="F172" i="77"/>
  <c r="D172" i="77"/>
  <c r="A172" i="77"/>
  <c r="F171" i="77"/>
  <c r="D171" i="77"/>
  <c r="A171" i="77"/>
  <c r="G170" i="77"/>
  <c r="F170" i="77"/>
  <c r="E170" i="77"/>
  <c r="D170" i="77"/>
  <c r="A170" i="77"/>
  <c r="G156" i="77"/>
  <c r="E156" i="77"/>
  <c r="D156" i="77"/>
  <c r="C156" i="77"/>
  <c r="B156" i="77"/>
  <c r="A156" i="77"/>
  <c r="G155" i="77"/>
  <c r="E155" i="77"/>
  <c r="D155" i="77"/>
  <c r="C155" i="77"/>
  <c r="B155" i="77"/>
  <c r="A155" i="77"/>
  <c r="G154" i="77"/>
  <c r="E154" i="77"/>
  <c r="D154" i="77"/>
  <c r="C154" i="77"/>
  <c r="B154" i="77"/>
  <c r="A154" i="77"/>
  <c r="G153" i="77"/>
  <c r="E153" i="77"/>
  <c r="D153" i="77"/>
  <c r="C153" i="77"/>
  <c r="B153" i="77"/>
  <c r="A153" i="77"/>
  <c r="G152" i="77"/>
  <c r="E152" i="77"/>
  <c r="D152" i="77"/>
  <c r="B152" i="77"/>
  <c r="A152" i="77"/>
  <c r="E151" i="77"/>
  <c r="D151" i="77"/>
  <c r="B151" i="77"/>
  <c r="A151" i="77"/>
  <c r="E150" i="77"/>
  <c r="D150" i="77"/>
  <c r="B150" i="77"/>
  <c r="A150" i="77"/>
  <c r="E149" i="77"/>
  <c r="D149" i="77"/>
  <c r="B149" i="77"/>
  <c r="A149" i="77"/>
  <c r="E148" i="77"/>
  <c r="D148" i="77"/>
  <c r="B148" i="77"/>
  <c r="A148" i="77"/>
  <c r="E147" i="77"/>
  <c r="D147" i="77"/>
  <c r="C147" i="77"/>
  <c r="F167" i="77" s="1"/>
  <c r="B147" i="77"/>
  <c r="A147" i="77"/>
  <c r="F143" i="77"/>
  <c r="C144" i="77" s="1"/>
  <c r="F142" i="77"/>
  <c r="E140" i="77"/>
  <c r="B140" i="77"/>
  <c r="B139" i="77"/>
  <c r="D130" i="77"/>
  <c r="F129" i="77"/>
  <c r="D129" i="77"/>
  <c r="A129" i="77"/>
  <c r="F128" i="77"/>
  <c r="D128" i="77"/>
  <c r="A128" i="77"/>
  <c r="F127" i="77"/>
  <c r="D127" i="77"/>
  <c r="A127" i="77"/>
  <c r="G126" i="77"/>
  <c r="F126" i="77"/>
  <c r="E126" i="77"/>
  <c r="D126" i="77"/>
  <c r="A126" i="77"/>
  <c r="F125" i="77"/>
  <c r="D125" i="77"/>
  <c r="A125" i="77"/>
  <c r="F124" i="77"/>
  <c r="D124" i="77"/>
  <c r="A124" i="77"/>
  <c r="F123" i="77"/>
  <c r="E123" i="77"/>
  <c r="D123" i="77"/>
  <c r="A123" i="77"/>
  <c r="G122" i="77"/>
  <c r="F122" i="77"/>
  <c r="E122" i="77"/>
  <c r="D122" i="77"/>
  <c r="B122" i="77"/>
  <c r="A122" i="77"/>
  <c r="F121" i="77"/>
  <c r="E121" i="77"/>
  <c r="D121" i="77"/>
  <c r="B121" i="77"/>
  <c r="A121" i="77"/>
  <c r="F120" i="77"/>
  <c r="E120" i="77"/>
  <c r="D120" i="77"/>
  <c r="B120" i="77"/>
  <c r="A120" i="77"/>
  <c r="F103" i="77"/>
  <c r="F80" i="77"/>
  <c r="C81" i="77" s="1"/>
  <c r="F79" i="77"/>
  <c r="E77" i="77"/>
  <c r="B77" i="77"/>
  <c r="B76" i="77"/>
  <c r="H68" i="77"/>
  <c r="G129" i="77" s="1"/>
  <c r="G68" i="77"/>
  <c r="C129" i="77" s="1"/>
  <c r="F68" i="77"/>
  <c r="G128" i="77" s="1"/>
  <c r="E68" i="77"/>
  <c r="C128" i="77" s="1"/>
  <c r="D68" i="77"/>
  <c r="G127" i="77" s="1"/>
  <c r="C68" i="77"/>
  <c r="C127" i="77" s="1"/>
  <c r="B68" i="77"/>
  <c r="C126" i="77" s="1"/>
  <c r="H67" i="77"/>
  <c r="G67" i="77"/>
  <c r="F67" i="77"/>
  <c r="E67" i="77"/>
  <c r="D67" i="77"/>
  <c r="C67" i="77"/>
  <c r="B67" i="77"/>
  <c r="H66" i="77"/>
  <c r="G66" i="77"/>
  <c r="F66" i="77"/>
  <c r="E66" i="77"/>
  <c r="D66" i="77"/>
  <c r="C66" i="77"/>
  <c r="B66" i="77"/>
  <c r="M65" i="77"/>
  <c r="H64" i="77"/>
  <c r="E129" i="77" s="1"/>
  <c r="G64" i="77"/>
  <c r="B129" i="77" s="1"/>
  <c r="F64" i="77"/>
  <c r="E128" i="77" s="1"/>
  <c r="E64" i="77"/>
  <c r="B128" i="77" s="1"/>
  <c r="D64" i="77"/>
  <c r="E127" i="77" s="1"/>
  <c r="C64" i="77"/>
  <c r="B127" i="77" s="1"/>
  <c r="B64" i="77"/>
  <c r="B126" i="77" s="1"/>
  <c r="H62" i="77"/>
  <c r="G125" i="77" s="1"/>
  <c r="G62" i="77"/>
  <c r="C125" i="77" s="1"/>
  <c r="F62" i="77"/>
  <c r="G124" i="77" s="1"/>
  <c r="E62" i="77"/>
  <c r="C124" i="77" s="1"/>
  <c r="B62" i="77"/>
  <c r="C122" i="77" s="1"/>
  <c r="H61" i="77"/>
  <c r="G61" i="77"/>
  <c r="F61" i="77"/>
  <c r="E61" i="77"/>
  <c r="H60" i="77"/>
  <c r="G60" i="77"/>
  <c r="F60" i="77"/>
  <c r="E60" i="77"/>
  <c r="H58" i="77"/>
  <c r="E125" i="77" s="1"/>
  <c r="G58" i="77"/>
  <c r="B125" i="77" s="1"/>
  <c r="F58" i="77"/>
  <c r="E124" i="77" s="1"/>
  <c r="E58" i="77"/>
  <c r="B124" i="77" s="1"/>
  <c r="C58" i="77"/>
  <c r="B123" i="77" s="1"/>
  <c r="K56" i="77"/>
  <c r="H56" i="77"/>
  <c r="G121" i="77" s="1"/>
  <c r="G56" i="77"/>
  <c r="C121" i="77" s="1"/>
  <c r="F56" i="77"/>
  <c r="G120" i="77" s="1"/>
  <c r="E56" i="77"/>
  <c r="C120" i="77" s="1"/>
  <c r="D56" i="77"/>
  <c r="G242" i="77" s="1"/>
  <c r="C55" i="77"/>
  <c r="C56" i="77" s="1"/>
  <c r="F12" i="83" s="1"/>
  <c r="B55" i="77"/>
  <c r="B56" i="77" s="1"/>
  <c r="F9" i="83" s="1"/>
  <c r="C52" i="77"/>
  <c r="B183" i="77" s="1"/>
  <c r="B52" i="77"/>
  <c r="B241" i="77" s="1"/>
  <c r="H50" i="77"/>
  <c r="G50" i="77"/>
  <c r="F50" i="77"/>
  <c r="E50" i="77"/>
  <c r="C180" i="77" s="1"/>
  <c r="C50" i="77"/>
  <c r="E49" i="77"/>
  <c r="D49" i="77"/>
  <c r="D50" i="77" s="1"/>
  <c r="F5" i="83" s="1"/>
  <c r="B49" i="77"/>
  <c r="B50" i="77" s="1"/>
  <c r="F3" i="83" s="1"/>
  <c r="E46" i="77"/>
  <c r="B239" i="77" s="1"/>
  <c r="D46" i="77"/>
  <c r="E238" i="77" s="1"/>
  <c r="B46" i="77"/>
  <c r="B237" i="77" s="1"/>
  <c r="H43" i="77"/>
  <c r="H44" i="77" s="1"/>
  <c r="B16" i="83" s="1"/>
  <c r="G43" i="77"/>
  <c r="G44" i="77" s="1"/>
  <c r="B15" i="83" s="1"/>
  <c r="F43" i="77"/>
  <c r="F44" i="77" s="1"/>
  <c r="B14" i="83" s="1"/>
  <c r="E43" i="77"/>
  <c r="E44" i="77" s="1"/>
  <c r="B13" i="83" s="1"/>
  <c r="D43" i="77"/>
  <c r="D44" i="77" s="1"/>
  <c r="B12" i="83" s="1"/>
  <c r="C43" i="77"/>
  <c r="C44" i="77" s="1"/>
  <c r="B11" i="83" s="1"/>
  <c r="B43" i="77"/>
  <c r="B44" i="77" s="1"/>
  <c r="B10" i="83" s="1"/>
  <c r="H40" i="77"/>
  <c r="F40" i="77"/>
  <c r="E176" i="77" s="1"/>
  <c r="E40" i="77"/>
  <c r="H37" i="77"/>
  <c r="H38" i="77" s="1"/>
  <c r="B9" i="83" s="1"/>
  <c r="G37" i="77"/>
  <c r="G38" i="77" s="1"/>
  <c r="B8" i="83" s="1"/>
  <c r="F37" i="77"/>
  <c r="F38" i="77" s="1"/>
  <c r="B7" i="83" s="1"/>
  <c r="E37" i="77"/>
  <c r="E38" i="77" s="1"/>
  <c r="B6" i="83" s="1"/>
  <c r="D37" i="77"/>
  <c r="D38" i="77" s="1"/>
  <c r="B5" i="83" s="1"/>
  <c r="C37" i="77"/>
  <c r="C38" i="77" s="1"/>
  <c r="B4" i="83" s="1"/>
  <c r="B37" i="77"/>
  <c r="B38" i="77" s="1"/>
  <c r="B3" i="83" s="1"/>
  <c r="H34" i="77"/>
  <c r="G34" i="77"/>
  <c r="F34" i="77"/>
  <c r="E34" i="77"/>
  <c r="D34" i="77"/>
  <c r="C34" i="77"/>
  <c r="B34" i="77"/>
  <c r="B31" i="77"/>
  <c r="AU29" i="77"/>
  <c r="AT29" i="77"/>
  <c r="AS29" i="77"/>
  <c r="AR29" i="77"/>
  <c r="AO29" i="77"/>
  <c r="AN29" i="77"/>
  <c r="AM29" i="77"/>
  <c r="AL29" i="77"/>
  <c r="AK29" i="77"/>
  <c r="AJ29" i="77"/>
  <c r="AI29" i="77"/>
  <c r="AH29" i="77"/>
  <c r="AG29" i="77"/>
  <c r="AF29" i="77"/>
  <c r="AE29" i="77"/>
  <c r="AD29" i="77"/>
  <c r="AC29" i="77"/>
  <c r="AB29" i="77"/>
  <c r="AA29" i="77"/>
  <c r="Z29" i="77"/>
  <c r="Y29" i="77"/>
  <c r="X29" i="77"/>
  <c r="W29" i="77"/>
  <c r="V29" i="77"/>
  <c r="T29" i="77"/>
  <c r="S29" i="77"/>
  <c r="R29" i="77"/>
  <c r="Q29" i="77"/>
  <c r="P29" i="77"/>
  <c r="BG27" i="77"/>
  <c r="BF27"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D27" i="77"/>
  <c r="AE27" i="77" s="1"/>
  <c r="AC27" i="77"/>
  <c r="AB27" i="77"/>
  <c r="AA27" i="77"/>
  <c r="Z27" i="77"/>
  <c r="Y27" i="77"/>
  <c r="X27" i="77"/>
  <c r="W27" i="77"/>
  <c r="V27" i="77"/>
  <c r="U27" i="77"/>
  <c r="T27" i="77"/>
  <c r="S27" i="77"/>
  <c r="R27" i="77"/>
  <c r="Q27" i="77"/>
  <c r="P27" i="77"/>
  <c r="O27" i="77"/>
  <c r="N27" i="77"/>
  <c r="M27" i="77"/>
  <c r="L27" i="77"/>
  <c r="K27" i="77"/>
  <c r="J27" i="77"/>
  <c r="I27" i="77"/>
  <c r="H27" i="77"/>
  <c r="G27" i="77"/>
  <c r="F27" i="77"/>
  <c r="E27" i="77"/>
  <c r="D27" i="77"/>
  <c r="C27" i="77"/>
  <c r="BI24" i="77"/>
  <c r="BH24" i="77"/>
  <c r="BG24" i="77"/>
  <c r="BF24" i="77"/>
  <c r="BE24" i="77"/>
  <c r="BD24" i="77"/>
  <c r="BC24" i="77"/>
  <c r="BB24" i="77"/>
  <c r="BA24" i="77"/>
  <c r="AZ24" i="77"/>
  <c r="AY24" i="77"/>
  <c r="AX24" i="77"/>
  <c r="AW24" i="77"/>
  <c r="AV24" i="77"/>
  <c r="AU24" i="77"/>
  <c r="AT24" i="77"/>
  <c r="AS24" i="77"/>
  <c r="AR24" i="77"/>
  <c r="AQ24" i="77"/>
  <c r="AP24" i="77"/>
  <c r="AO24" i="77"/>
  <c r="AN24" i="77"/>
  <c r="AM24" i="77"/>
  <c r="AL24" i="77"/>
  <c r="AK24" i="77"/>
  <c r="AJ24" i="77"/>
  <c r="AI24" i="77"/>
  <c r="AH24" i="77"/>
  <c r="AG24" i="77"/>
  <c r="AF24" i="77"/>
  <c r="AE24" i="77"/>
  <c r="AD24" i="77"/>
  <c r="AC24" i="77"/>
  <c r="AB24" i="77"/>
  <c r="AA24" i="77"/>
  <c r="Z24" i="77"/>
  <c r="Y24" i="77"/>
  <c r="X24" i="77"/>
  <c r="W24" i="77"/>
  <c r="V24" i="77"/>
  <c r="U24" i="77"/>
  <c r="T24" i="77"/>
  <c r="S24" i="77"/>
  <c r="R24" i="77"/>
  <c r="Q24" i="77"/>
  <c r="P24" i="77"/>
  <c r="O24" i="77"/>
  <c r="N24" i="77"/>
  <c r="M24" i="77"/>
  <c r="L24" i="77"/>
  <c r="K24" i="77"/>
  <c r="J24" i="77"/>
  <c r="I24" i="77"/>
  <c r="H24" i="77"/>
  <c r="G24" i="77"/>
  <c r="F24" i="77"/>
  <c r="E24" i="77"/>
  <c r="D24" i="77"/>
  <c r="C24" i="77"/>
  <c r="L22" i="77"/>
  <c r="K22" i="77"/>
  <c r="J22" i="77"/>
  <c r="I22" i="77"/>
  <c r="F22" i="77"/>
  <c r="E22" i="77"/>
  <c r="BI20" i="77"/>
  <c r="BH20" i="77"/>
  <c r="BG20" i="77"/>
  <c r="BF20" i="77"/>
  <c r="BE20" i="77"/>
  <c r="BD20" i="77"/>
  <c r="BC20" i="77"/>
  <c r="BB20" i="77"/>
  <c r="BA20" i="77"/>
  <c r="AZ20" i="77"/>
  <c r="AY20" i="77"/>
  <c r="AX20" i="77"/>
  <c r="AW20" i="77"/>
  <c r="AV20" i="77"/>
  <c r="AU20" i="77"/>
  <c r="AT20" i="77"/>
  <c r="AS20" i="77"/>
  <c r="AR20" i="77"/>
  <c r="AQ20" i="77"/>
  <c r="AP20" i="77"/>
  <c r="AO20" i="77"/>
  <c r="AN20" i="77"/>
  <c r="AM20" i="77"/>
  <c r="AL20" i="77"/>
  <c r="AK20" i="77"/>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F20" i="77"/>
  <c r="E20" i="77"/>
  <c r="D20" i="77"/>
  <c r="C20" i="77"/>
  <c r="BA17" i="77"/>
  <c r="AY17" i="77"/>
  <c r="H17" i="77"/>
  <c r="F17" i="77"/>
  <c r="E17" i="77"/>
  <c r="D17" i="77"/>
  <c r="U16" i="77"/>
  <c r="G16" i="77"/>
  <c r="F16" i="77"/>
  <c r="H16" i="77" s="1"/>
  <c r="AY15" i="77"/>
  <c r="V15" i="77"/>
  <c r="R15" i="77"/>
  <c r="P15" i="77"/>
  <c r="AY14" i="77"/>
  <c r="F14" i="77"/>
  <c r="G14" i="77" s="1"/>
  <c r="AR13" i="77"/>
  <c r="AE13" i="77"/>
  <c r="N13" i="77"/>
  <c r="H13" i="77"/>
  <c r="F13" i="77"/>
  <c r="G13" i="77" s="1"/>
  <c r="BI11" i="77"/>
  <c r="BH11" i="77"/>
  <c r="BG11" i="77"/>
  <c r="BF11" i="77"/>
  <c r="BE11" i="77"/>
  <c r="BD11" i="77"/>
  <c r="BC11" i="77"/>
  <c r="BB11" i="77"/>
  <c r="BA11" i="77"/>
  <c r="AZ11" i="77"/>
  <c r="AY11" i="77"/>
  <c r="AX11" i="77"/>
  <c r="AW11" i="77"/>
  <c r="AV11" i="77"/>
  <c r="AU11" i="77"/>
  <c r="AT11" i="77"/>
  <c r="AS11" i="77"/>
  <c r="AR11" i="77"/>
  <c r="AQ11" i="77"/>
  <c r="AP11" i="77"/>
  <c r="AO11" i="77"/>
  <c r="AN11" i="77"/>
  <c r="AM11" i="77"/>
  <c r="AL11" i="77"/>
  <c r="AK11" i="77"/>
  <c r="AJ11" i="77"/>
  <c r="AI11" i="77"/>
  <c r="AH11" i="77"/>
  <c r="AG11" i="77"/>
  <c r="AF11" i="77"/>
  <c r="AE11" i="77"/>
  <c r="AD11" i="77"/>
  <c r="AC11" i="77"/>
  <c r="AB11" i="77"/>
  <c r="AA11" i="77"/>
  <c r="Z11" i="77"/>
  <c r="Y11" i="77"/>
  <c r="W11" i="77"/>
  <c r="V11" i="77"/>
  <c r="U11" i="77"/>
  <c r="T11" i="77"/>
  <c r="R11" i="77"/>
  <c r="P11" i="77"/>
  <c r="O11" i="77"/>
  <c r="N11" i="77"/>
  <c r="M11" i="77"/>
  <c r="L11" i="77"/>
  <c r="K11" i="77"/>
  <c r="J11" i="77"/>
  <c r="I11" i="77"/>
  <c r="H11" i="77"/>
  <c r="G11" i="77"/>
  <c r="E11" i="77"/>
  <c r="D11" i="77"/>
  <c r="C11" i="77"/>
  <c r="BG10" i="77"/>
  <c r="BF10" i="77"/>
  <c r="BE10" i="77"/>
  <c r="BD10" i="77"/>
  <c r="BC10" i="77"/>
  <c r="BB10" i="77"/>
  <c r="BA10" i="77"/>
  <c r="AZ10" i="77"/>
  <c r="AY10" i="77"/>
  <c r="AX10" i="77"/>
  <c r="AW10" i="77"/>
  <c r="AV10" i="77"/>
  <c r="AU10" i="77"/>
  <c r="AT10" i="77"/>
  <c r="AS10" i="77"/>
  <c r="AR10" i="77"/>
  <c r="AQ10" i="77"/>
  <c r="AP10" i="77"/>
  <c r="AO10" i="77"/>
  <c r="AN10" i="77"/>
  <c r="AM10" i="77"/>
  <c r="AL10" i="77"/>
  <c r="AK10" i="77"/>
  <c r="AJ10" i="77"/>
  <c r="AI10" i="77"/>
  <c r="AH10" i="77"/>
  <c r="AG10" i="77"/>
  <c r="AF10" i="77"/>
  <c r="AE10" i="77"/>
  <c r="AD10" i="77"/>
  <c r="AC10" i="77"/>
  <c r="AB10" i="77"/>
  <c r="AA10" i="77"/>
  <c r="Z10" i="77"/>
  <c r="Y10" i="77"/>
  <c r="X10" i="77"/>
  <c r="W10" i="77"/>
  <c r="V10" i="77"/>
  <c r="U10" i="77"/>
  <c r="T10" i="77"/>
  <c r="S10" i="77"/>
  <c r="R10" i="77"/>
  <c r="Q10" i="77"/>
  <c r="P10" i="77"/>
  <c r="O10" i="77"/>
  <c r="N10" i="77"/>
  <c r="M10" i="77"/>
  <c r="L10" i="77"/>
  <c r="K10" i="77"/>
  <c r="J10" i="77"/>
  <c r="I10" i="77"/>
  <c r="H10" i="77"/>
  <c r="G10" i="77"/>
  <c r="F10" i="77"/>
  <c r="E10" i="77"/>
  <c r="D10" i="77"/>
  <c r="C10" i="77"/>
  <c r="BI9" i="77"/>
  <c r="BH9" i="77"/>
  <c r="BI8" i="77"/>
  <c r="G11" i="83" s="1"/>
  <c r="BH8" i="77"/>
  <c r="G10" i="83" s="1"/>
  <c r="B8" i="77"/>
  <c r="AW6" i="77"/>
  <c r="AN6" i="77"/>
  <c r="AL6" i="77"/>
  <c r="AK6" i="77"/>
  <c r="AB6" i="77"/>
  <c r="AA6" i="77"/>
  <c r="X6" i="77"/>
  <c r="Q6" i="77"/>
  <c r="H6" i="77"/>
  <c r="X5" i="77"/>
  <c r="X11" i="77" s="1"/>
  <c r="Q5" i="77"/>
  <c r="S5" i="77" s="1"/>
  <c r="F5" i="77"/>
  <c r="F11" i="77" s="1"/>
  <c r="BG4" i="77"/>
  <c r="BG9" i="77" s="1"/>
  <c r="BG18" i="77" s="1"/>
  <c r="BF4" i="77"/>
  <c r="BF9" i="77" s="1"/>
  <c r="BF18" i="77" s="1"/>
  <c r="BE4" i="77"/>
  <c r="BE6" i="77" s="1"/>
  <c r="BD4" i="77"/>
  <c r="BC4" i="77"/>
  <c r="BC9" i="77" s="1"/>
  <c r="BC18" i="77" s="1"/>
  <c r="BB4" i="77"/>
  <c r="BB9" i="77" s="1"/>
  <c r="BB18" i="77" s="1"/>
  <c r="BA4" i="77"/>
  <c r="BA9" i="77" s="1"/>
  <c r="BA18" i="77" s="1"/>
  <c r="AZ4" i="77"/>
  <c r="AY4" i="77"/>
  <c r="AX4" i="77"/>
  <c r="AX9" i="77" s="1"/>
  <c r="AX18" i="77" s="1"/>
  <c r="AW4" i="77"/>
  <c r="AW9" i="77" s="1"/>
  <c r="AW18" i="77" s="1"/>
  <c r="AV4" i="77"/>
  <c r="AV9" i="77" s="1"/>
  <c r="AV18" i="77" s="1"/>
  <c r="AU4" i="77"/>
  <c r="AU9" i="77" s="1"/>
  <c r="AU18" i="77" s="1"/>
  <c r="AT4" i="77"/>
  <c r="AT9" i="77" s="1"/>
  <c r="AT18" i="77" s="1"/>
  <c r="AS4" i="77"/>
  <c r="AS9" i="77" s="1"/>
  <c r="AS18" i="77" s="1"/>
  <c r="AR4" i="77"/>
  <c r="AR9" i="77" s="1"/>
  <c r="AR18" i="77" s="1"/>
  <c r="AQ4" i="77"/>
  <c r="AQ9" i="77" s="1"/>
  <c r="AQ18" i="77" s="1"/>
  <c r="AP4" i="77"/>
  <c r="AP9" i="77" s="1"/>
  <c r="AP18" i="77" s="1"/>
  <c r="AO4" i="77"/>
  <c r="AN4" i="77"/>
  <c r="AN9" i="77" s="1"/>
  <c r="AN18" i="77" s="1"/>
  <c r="AM4" i="77"/>
  <c r="AM9" i="77" s="1"/>
  <c r="AM18" i="77" s="1"/>
  <c r="AL4" i="77"/>
  <c r="AL9" i="77" s="1"/>
  <c r="AL18" i="77" s="1"/>
  <c r="AK4" i="77"/>
  <c r="AJ4" i="77"/>
  <c r="AJ9" i="77" s="1"/>
  <c r="AJ18" i="77" s="1"/>
  <c r="AI4" i="77"/>
  <c r="AI9" i="77" s="1"/>
  <c r="AI18" i="77" s="1"/>
  <c r="AH4" i="77"/>
  <c r="AG4" i="77"/>
  <c r="AG9" i="77" s="1"/>
  <c r="AG18" i="77" s="1"/>
  <c r="AF4" i="77"/>
  <c r="AE4" i="77"/>
  <c r="AE9" i="77" s="1"/>
  <c r="AE18" i="77" s="1"/>
  <c r="AD4" i="77"/>
  <c r="AD9" i="77" s="1"/>
  <c r="AD18" i="77" s="1"/>
  <c r="AC4" i="77"/>
  <c r="AC9" i="77" s="1"/>
  <c r="AC18" i="77" s="1"/>
  <c r="AB4" i="77"/>
  <c r="AB9" i="77" s="1"/>
  <c r="AB18" i="77" s="1"/>
  <c r="AA4" i="77"/>
  <c r="Z4" i="77"/>
  <c r="Z9" i="77" s="1"/>
  <c r="Z18" i="77" s="1"/>
  <c r="Y4" i="77"/>
  <c r="Y9" i="77" s="1"/>
  <c r="Y18" i="77" s="1"/>
  <c r="W4" i="77"/>
  <c r="W9" i="77" s="1"/>
  <c r="W18" i="77" s="1"/>
  <c r="W21" i="77" s="1"/>
  <c r="V4" i="77"/>
  <c r="V9" i="77" s="1"/>
  <c r="V18" i="77" s="1"/>
  <c r="U4" i="77"/>
  <c r="U9" i="77" s="1"/>
  <c r="U18" i="77" s="1"/>
  <c r="U21" i="77" s="1"/>
  <c r="T4" i="77"/>
  <c r="R4" i="77"/>
  <c r="R9" i="77" s="1"/>
  <c r="R18" i="77" s="1"/>
  <c r="P4" i="77"/>
  <c r="O4" i="77"/>
  <c r="O6" i="77" s="1"/>
  <c r="N4" i="77"/>
  <c r="N9" i="77" s="1"/>
  <c r="N18" i="77" s="1"/>
  <c r="M4" i="77"/>
  <c r="L4" i="77"/>
  <c r="K4" i="77"/>
  <c r="J4" i="77"/>
  <c r="I4" i="77"/>
  <c r="H4" i="77"/>
  <c r="H9" i="77" s="1"/>
  <c r="H18" i="77" s="1"/>
  <c r="G4" i="77"/>
  <c r="E4" i="77"/>
  <c r="E9" i="77" s="1"/>
  <c r="E18" i="77" s="1"/>
  <c r="D4" i="77"/>
  <c r="D9" i="77" s="1"/>
  <c r="D18" i="77" s="1"/>
  <c r="C4" i="77"/>
  <c r="C9" i="77" s="1"/>
  <c r="N21" i="77" l="1"/>
  <c r="V21" i="77"/>
  <c r="AA9" i="77"/>
  <c r="AA18" i="77" s="1"/>
  <c r="AK9" i="77"/>
  <c r="AK18" i="77" s="1"/>
  <c r="B132" i="77"/>
  <c r="E132" i="77" s="1"/>
  <c r="BD9" i="77"/>
  <c r="BD18" i="77" s="1"/>
  <c r="BD21" i="77" s="1"/>
  <c r="BD30" i="77" s="1"/>
  <c r="AH6" i="77"/>
  <c r="AH9" i="77" s="1"/>
  <c r="AH18" i="77" s="1"/>
  <c r="AH21" i="77" s="1"/>
  <c r="AH30" i="77" s="1"/>
  <c r="BH10" i="77"/>
  <c r="C238" i="77"/>
  <c r="F4" i="83"/>
  <c r="G180" i="77"/>
  <c r="F6" i="83"/>
  <c r="G240" i="77"/>
  <c r="F8" i="83"/>
  <c r="BD6" i="77"/>
  <c r="BH18" i="77"/>
  <c r="BH21" i="77" s="1"/>
  <c r="C240" i="77"/>
  <c r="F7" i="83"/>
  <c r="D131" i="77"/>
  <c r="Y21" i="77"/>
  <c r="Y30" i="77" s="1"/>
  <c r="Y32" i="77" s="1"/>
  <c r="AA21" i="77"/>
  <c r="AA30" i="77" s="1"/>
  <c r="AC21" i="77"/>
  <c r="AC30" i="77" s="1"/>
  <c r="AC32" i="77" s="1"/>
  <c r="AE21" i="77"/>
  <c r="AG21" i="77"/>
  <c r="AG30" i="77" s="1"/>
  <c r="AG32" i="77" s="1"/>
  <c r="AI21" i="77"/>
  <c r="AI30" i="77" s="1"/>
  <c r="H11" i="68" s="1"/>
  <c r="AK21" i="77"/>
  <c r="AK30" i="77" s="1"/>
  <c r="AK32" i="77" s="1"/>
  <c r="AM21" i="77"/>
  <c r="AM30" i="77" s="1"/>
  <c r="H15" i="68" s="1"/>
  <c r="AQ21" i="77"/>
  <c r="AQ30" i="77" s="1"/>
  <c r="AQ32" i="77" s="1"/>
  <c r="AS21" i="77"/>
  <c r="AS30" i="77" s="1"/>
  <c r="AS32" i="77" s="1"/>
  <c r="AU21" i="77"/>
  <c r="AU30" i="77" s="1"/>
  <c r="AU32" i="77" s="1"/>
  <c r="AW21" i="77"/>
  <c r="AW30" i="77" s="1"/>
  <c r="AW32" i="77" s="1"/>
  <c r="BC21" i="77"/>
  <c r="BC30" i="77" s="1"/>
  <c r="BC32" i="77" s="1"/>
  <c r="BG21" i="77"/>
  <c r="BG30" i="77" s="1"/>
  <c r="D30" i="83" s="1"/>
  <c r="H14" i="77"/>
  <c r="AA32" i="77"/>
  <c r="H4" i="68"/>
  <c r="AI32" i="77"/>
  <c r="H13" i="68"/>
  <c r="AM32" i="77"/>
  <c r="R21" i="77"/>
  <c r="R30" i="77" s="1"/>
  <c r="Z21" i="77"/>
  <c r="AB21" i="77"/>
  <c r="AB30" i="77" s="1"/>
  <c r="AD21" i="77"/>
  <c r="AJ21" i="77"/>
  <c r="AJ30" i="77" s="1"/>
  <c r="AL21" i="77"/>
  <c r="AN21" i="77"/>
  <c r="AN30" i="77" s="1"/>
  <c r="AP21" i="77"/>
  <c r="AR21" i="77"/>
  <c r="AR30" i="77" s="1"/>
  <c r="AT21" i="77"/>
  <c r="AT30" i="77" s="1"/>
  <c r="AV21" i="77"/>
  <c r="AV30" i="77" s="1"/>
  <c r="AX21" i="77"/>
  <c r="BB21" i="77"/>
  <c r="BB30" i="77" s="1"/>
  <c r="BF21" i="77"/>
  <c r="BF30" i="77" s="1"/>
  <c r="BF32" i="77" s="1"/>
  <c r="W30" i="77"/>
  <c r="Z30" i="77"/>
  <c r="AD30" i="77"/>
  <c r="AL30" i="77"/>
  <c r="AP30" i="77"/>
  <c r="AX30" i="77"/>
  <c r="C18" i="77"/>
  <c r="C21" i="77" s="1"/>
  <c r="C30" i="77" s="1"/>
  <c r="D3" i="68" s="1"/>
  <c r="S4" i="77"/>
  <c r="S11" i="77"/>
  <c r="S6" i="77"/>
  <c r="D21" i="77"/>
  <c r="H21" i="77"/>
  <c r="G6" i="77"/>
  <c r="G9" i="77" s="1"/>
  <c r="G18" i="77" s="1"/>
  <c r="I6" i="77"/>
  <c r="I9" i="77" s="1"/>
  <c r="I18" i="77" s="1"/>
  <c r="I21" i="77" s="1"/>
  <c r="K6" i="77"/>
  <c r="K9" i="77" s="1"/>
  <c r="K18" i="77" s="1"/>
  <c r="M6" i="77"/>
  <c r="M9" i="77" s="1"/>
  <c r="M18" i="77" s="1"/>
  <c r="M21" i="77" s="1"/>
  <c r="P6" i="77"/>
  <c r="P9" i="77" s="1"/>
  <c r="P18" i="77" s="1"/>
  <c r="P21" i="77" s="1"/>
  <c r="AO6" i="77"/>
  <c r="AO9" i="77" s="1"/>
  <c r="AO18" i="77" s="1"/>
  <c r="AO21" i="77" s="1"/>
  <c r="AO30" i="77" s="1"/>
  <c r="AY6" i="77"/>
  <c r="AY9" i="77" s="1"/>
  <c r="AY18" i="77" s="1"/>
  <c r="AY21" i="77" s="1"/>
  <c r="AY30" i="77" s="1"/>
  <c r="D22" i="83" s="1"/>
  <c r="O9" i="77"/>
  <c r="O18" i="77" s="1"/>
  <c r="O21" i="77" s="1"/>
  <c r="Q9" i="77"/>
  <c r="Q18" i="77" s="1"/>
  <c r="Q21" i="77" s="1"/>
  <c r="Q30" i="77" s="1"/>
  <c r="BE9" i="77"/>
  <c r="BE18" i="77" s="1"/>
  <c r="BE21" i="77" s="1"/>
  <c r="BE30" i="77" s="1"/>
  <c r="BI18" i="77"/>
  <c r="BI21" i="77" s="1"/>
  <c r="Q11" i="77"/>
  <c r="N30" i="77"/>
  <c r="O13" i="77"/>
  <c r="AE30" i="77"/>
  <c r="AE32" i="77" s="1"/>
  <c r="F15" i="77"/>
  <c r="J15" i="77" s="1"/>
  <c r="H15" i="77"/>
  <c r="L15" i="77" s="1"/>
  <c r="G15" i="77"/>
  <c r="K15" i="77" s="1"/>
  <c r="V30" i="77"/>
  <c r="U30" i="77"/>
  <c r="K17" i="77"/>
  <c r="G17" i="77"/>
  <c r="L17" i="77"/>
  <c r="BA21" i="77"/>
  <c r="BA30" i="77" s="1"/>
  <c r="C230" i="77"/>
  <c r="C171" i="77"/>
  <c r="C172" i="77"/>
  <c r="C231" i="77"/>
  <c r="C232" i="77"/>
  <c r="C173" i="77"/>
  <c r="F6" i="77"/>
  <c r="F9" i="77" s="1"/>
  <c r="J6" i="77"/>
  <c r="J9" i="77" s="1"/>
  <c r="J18" i="77" s="1"/>
  <c r="J21" i="77" s="1"/>
  <c r="L6" i="77"/>
  <c r="L9" i="77" s="1"/>
  <c r="L18" i="77" s="1"/>
  <c r="T6" i="77"/>
  <c r="T9" i="77" s="1"/>
  <c r="T18" i="77" s="1"/>
  <c r="T21" i="77" s="1"/>
  <c r="T30" i="77" s="1"/>
  <c r="AF6" i="77"/>
  <c r="AF9" i="77" s="1"/>
  <c r="AF18" i="77" s="1"/>
  <c r="AF21" i="77" s="1"/>
  <c r="AF30" i="77" s="1"/>
  <c r="AZ6" i="77"/>
  <c r="AZ9" i="77" s="1"/>
  <c r="AZ18" i="77" s="1"/>
  <c r="AZ21" i="77" s="1"/>
  <c r="AZ30" i="77" s="1"/>
  <c r="BH30" i="77"/>
  <c r="F10" i="83" s="1"/>
  <c r="X9" i="77"/>
  <c r="X18" i="77" s="1"/>
  <c r="X21" i="77" s="1"/>
  <c r="X30" i="77" s="1"/>
  <c r="BI10" i="77"/>
  <c r="I15" i="77"/>
  <c r="E21" i="77"/>
  <c r="C170" i="77"/>
  <c r="C229" i="77"/>
  <c r="G230" i="77"/>
  <c r="G171" i="77"/>
  <c r="G172" i="77"/>
  <c r="G231" i="77"/>
  <c r="B229" i="77"/>
  <c r="B170" i="77"/>
  <c r="E230" i="77"/>
  <c r="E171" i="77"/>
  <c r="E172" i="77"/>
  <c r="E231" i="77"/>
  <c r="E232" i="77"/>
  <c r="E173" i="77"/>
  <c r="G232" i="77"/>
  <c r="G173" i="77"/>
  <c r="B235" i="77"/>
  <c r="B176" i="77"/>
  <c r="E236" i="77"/>
  <c r="E177" i="77"/>
  <c r="C234" i="77"/>
  <c r="C175" i="77"/>
  <c r="C176" i="77"/>
  <c r="C235" i="77"/>
  <c r="C236" i="77"/>
  <c r="C177" i="77"/>
  <c r="G238" i="77"/>
  <c r="G179" i="77"/>
  <c r="C242" i="77"/>
  <c r="C183" i="77"/>
  <c r="B171" i="77"/>
  <c r="B230" i="77"/>
  <c r="B231" i="77"/>
  <c r="B172" i="77"/>
  <c r="B173" i="77"/>
  <c r="B232" i="77"/>
  <c r="C174" i="77"/>
  <c r="C233" i="77"/>
  <c r="G234" i="77"/>
  <c r="G175" i="77"/>
  <c r="G176" i="77"/>
  <c r="G235" i="77"/>
  <c r="G236" i="77"/>
  <c r="G177" i="77"/>
  <c r="C178" i="77"/>
  <c r="C237" i="77"/>
  <c r="C182" i="77"/>
  <c r="C241" i="77"/>
  <c r="B178" i="77"/>
  <c r="C179" i="77"/>
  <c r="E179" i="77"/>
  <c r="B180" i="77"/>
  <c r="C181" i="77"/>
  <c r="G181" i="77"/>
  <c r="B182" i="77"/>
  <c r="G183" i="77"/>
  <c r="E235" i="77"/>
  <c r="C239" i="77"/>
  <c r="G239" i="77"/>
  <c r="B242" i="77"/>
  <c r="K21" i="77" l="1"/>
  <c r="BI30" i="77"/>
  <c r="F11" i="83" s="1"/>
  <c r="G21" i="77"/>
  <c r="H21" i="68"/>
  <c r="H6" i="68"/>
  <c r="D25" i="68"/>
  <c r="D26" i="83"/>
  <c r="H23" i="68"/>
  <c r="H9" i="68"/>
  <c r="BG32" i="77"/>
  <c r="H25" i="68"/>
  <c r="H19" i="68"/>
  <c r="H30" i="77"/>
  <c r="D8" i="68" s="1"/>
  <c r="R32" i="77"/>
  <c r="D18" i="68"/>
  <c r="AR32" i="77"/>
  <c r="H20" i="68"/>
  <c r="AF32" i="77"/>
  <c r="H8" i="68"/>
  <c r="V32" i="77"/>
  <c r="D22" i="68"/>
  <c r="N32" i="77"/>
  <c r="D14" i="68"/>
  <c r="BI32" i="77"/>
  <c r="Q32" i="77"/>
  <c r="D17" i="68"/>
  <c r="BD32" i="77"/>
  <c r="D27" i="83"/>
  <c r="AX32" i="77"/>
  <c r="D21" i="83"/>
  <c r="AT32" i="77"/>
  <c r="H22" i="68"/>
  <c r="AN32" i="77"/>
  <c r="H16" i="68"/>
  <c r="AJ32" i="77"/>
  <c r="H12" i="68"/>
  <c r="AD32" i="77"/>
  <c r="H7" i="68"/>
  <c r="Z32" i="77"/>
  <c r="H3" i="68"/>
  <c r="X32" i="77"/>
  <c r="D24" i="68"/>
  <c r="AZ32" i="77"/>
  <c r="D23" i="83"/>
  <c r="T32" i="77"/>
  <c r="D20" i="68"/>
  <c r="BA32" i="77"/>
  <c r="D24" i="83"/>
  <c r="U32" i="77"/>
  <c r="D21" i="68"/>
  <c r="K30" i="77"/>
  <c r="D11" i="68" s="1"/>
  <c r="BE32" i="77"/>
  <c r="D28" i="83"/>
  <c r="AO32" i="77"/>
  <c r="H17" i="68"/>
  <c r="BB32" i="77"/>
  <c r="D25" i="83"/>
  <c r="AV32" i="77"/>
  <c r="H24" i="68"/>
  <c r="AP32" i="77"/>
  <c r="H18" i="68"/>
  <c r="AL32" i="77"/>
  <c r="H14" i="68"/>
  <c r="AH32" i="77"/>
  <c r="H10" i="68"/>
  <c r="AB32" i="77"/>
  <c r="H5" i="68"/>
  <c r="W32" i="77"/>
  <c r="D23" i="68"/>
  <c r="D30" i="77"/>
  <c r="F18" i="77"/>
  <c r="F21" i="77" s="1"/>
  <c r="F30" i="77" s="1"/>
  <c r="D6" i="68" s="1"/>
  <c r="BG33" i="77"/>
  <c r="C62" i="77" s="1"/>
  <c r="AY32" i="77"/>
  <c r="D194" i="77"/>
  <c r="D195" i="77" s="1"/>
  <c r="B196" i="77" s="1"/>
  <c r="E196" i="77" s="1"/>
  <c r="G206" i="77"/>
  <c r="G147" i="77"/>
  <c r="C32" i="77"/>
  <c r="I30" i="77"/>
  <c r="D9" i="68" s="1"/>
  <c r="M15" i="77"/>
  <c r="M30" i="77" s="1"/>
  <c r="L21" i="77"/>
  <c r="L30" i="77" s="1"/>
  <c r="D12" i="68" s="1"/>
  <c r="E30" i="77"/>
  <c r="D5" i="68" s="1"/>
  <c r="O30" i="77"/>
  <c r="P13" i="77"/>
  <c r="P30" i="77" s="1"/>
  <c r="G30" i="77"/>
  <c r="D7" i="68" s="1"/>
  <c r="B253" i="77"/>
  <c r="B254" i="77" s="1"/>
  <c r="BH32" i="77"/>
  <c r="J30" i="77"/>
  <c r="D10" i="68" s="1"/>
  <c r="S9" i="77"/>
  <c r="S18" i="77" s="1"/>
  <c r="S21" i="77" s="1"/>
  <c r="S30" i="77" s="1"/>
  <c r="N6" i="69"/>
  <c r="L6" i="69"/>
  <c r="J6" i="69"/>
  <c r="F6" i="69"/>
  <c r="K4" i="75"/>
  <c r="E4" i="75"/>
  <c r="K5" i="76"/>
  <c r="D5" i="9"/>
  <c r="E25" i="69"/>
  <c r="E26" i="69" s="1"/>
  <c r="N7" i="69"/>
  <c r="L7" i="69"/>
  <c r="J7" i="69"/>
  <c r="H7" i="69"/>
  <c r="G26" i="69" s="1"/>
  <c r="M5" i="69"/>
  <c r="K5" i="69"/>
  <c r="I5" i="69"/>
  <c r="G5" i="69"/>
  <c r="E5" i="69"/>
  <c r="M4" i="69"/>
  <c r="K4" i="69"/>
  <c r="I4" i="69"/>
  <c r="G4" i="69"/>
  <c r="E4" i="69"/>
  <c r="F1" i="46"/>
  <c r="B59" i="1"/>
  <c r="F26" i="68"/>
  <c r="B26" i="68"/>
  <c r="I13" i="3"/>
  <c r="D3" i="4"/>
  <c r="BJ30" i="77" l="1"/>
  <c r="D62" i="77" s="1"/>
  <c r="G123" i="77" s="1"/>
  <c r="C150" i="77"/>
  <c r="G151" i="77"/>
  <c r="H32" i="77"/>
  <c r="C209" i="77"/>
  <c r="K32" i="77"/>
  <c r="G210" i="77"/>
  <c r="P32" i="77"/>
  <c r="D16" i="68"/>
  <c r="M32" i="77"/>
  <c r="D13" i="68"/>
  <c r="C207" i="77"/>
  <c r="D4" i="68"/>
  <c r="S32" i="77"/>
  <c r="D19" i="68"/>
  <c r="O32" i="77"/>
  <c r="D15" i="68"/>
  <c r="H26" i="68"/>
  <c r="D31" i="83"/>
  <c r="F13" i="83" s="1"/>
  <c r="F16" i="83" s="1"/>
  <c r="B27" i="68"/>
  <c r="C148" i="77"/>
  <c r="D32" i="77"/>
  <c r="C210" i="77"/>
  <c r="C151" i="77"/>
  <c r="J32" i="77"/>
  <c r="G207" i="77"/>
  <c r="G148" i="77"/>
  <c r="E32" i="77"/>
  <c r="B9" i="77"/>
  <c r="G208" i="77"/>
  <c r="G149" i="77"/>
  <c r="G32" i="77"/>
  <c r="C211" i="77"/>
  <c r="C152" i="77"/>
  <c r="L32" i="77"/>
  <c r="C208" i="77"/>
  <c r="C149" i="77"/>
  <c r="F32" i="77"/>
  <c r="G209" i="77"/>
  <c r="G150" i="77"/>
  <c r="I32" i="77"/>
  <c r="B30" i="77"/>
  <c r="C123" i="77"/>
  <c r="B69" i="77"/>
  <c r="M26" i="69"/>
  <c r="K26" i="69"/>
  <c r="I26" i="69"/>
  <c r="AH5" i="59"/>
  <c r="AG5" i="59"/>
  <c r="AE5" i="59"/>
  <c r="AF5" i="59" s="1"/>
  <c r="AD5" i="59"/>
  <c r="Q5" i="59"/>
  <c r="P5" i="59"/>
  <c r="O5" i="59"/>
  <c r="N5" i="59"/>
  <c r="R5" i="75" l="1"/>
  <c r="E32" i="83"/>
  <c r="G25" i="83"/>
  <c r="E27" i="83"/>
  <c r="A27" i="69"/>
  <c r="K27" i="69"/>
  <c r="E8" i="11" s="1"/>
  <c r="D26" i="68"/>
  <c r="B28" i="68" s="1"/>
  <c r="R4" i="75" s="1"/>
  <c r="K63" i="77"/>
  <c r="L63" i="77" s="1"/>
  <c r="L37" i="77"/>
  <c r="K62" i="77"/>
  <c r="I69" i="77"/>
  <c r="C69" i="77"/>
  <c r="E69" i="77" s="1"/>
  <c r="L36" i="77"/>
  <c r="L40" i="77" s="1"/>
  <c r="B32" i="77"/>
  <c r="L28" i="69"/>
  <c r="AH6" i="59"/>
  <c r="AG6" i="59"/>
  <c r="AE6" i="59"/>
  <c r="AF6" i="59" s="1"/>
  <c r="AD6" i="59"/>
  <c r="Q6" i="59"/>
  <c r="P6" i="59"/>
  <c r="O6" i="59"/>
  <c r="N6" i="59"/>
  <c r="Q17" i="69" l="1"/>
  <c r="R17" i="69" s="1"/>
  <c r="S17" i="69" s="1"/>
  <c r="K65" i="77"/>
  <c r="L65" i="77"/>
  <c r="F25" i="12" l="1"/>
  <c r="C25" i="12" s="1"/>
  <c r="C16" i="11" l="1"/>
  <c r="C15" i="11"/>
  <c r="C14" i="11"/>
  <c r="C9" i="11"/>
  <c r="K36" i="36" l="1"/>
  <c r="K38" i="35"/>
  <c r="K42" i="37"/>
  <c r="K49" i="34"/>
  <c r="K48" i="33" l="1"/>
  <c r="K48" i="21"/>
  <c r="K44" i="40" l="1"/>
  <c r="K49" i="39"/>
  <c r="E77" i="9"/>
  <c r="F77" i="9"/>
  <c r="AH7" i="59" l="1"/>
  <c r="AG7" i="59"/>
  <c r="AE7" i="59"/>
  <c r="AF7" i="59" s="1"/>
  <c r="AD7" i="59"/>
  <c r="Q7" i="59"/>
  <c r="P7" i="59"/>
  <c r="O7" i="59"/>
  <c r="N7" i="59"/>
  <c r="Q25" i="69" l="1"/>
  <c r="R25" i="69" s="1"/>
  <c r="S25" i="69" s="1"/>
  <c r="Q18" i="69"/>
  <c r="R18" i="69" s="1"/>
  <c r="S18" i="69" s="1"/>
  <c r="A21" i="31"/>
  <c r="AH8" i="59" l="1"/>
  <c r="AG8" i="59"/>
  <c r="AE8" i="59"/>
  <c r="AF8" i="59" s="1"/>
  <c r="AD8" i="59"/>
  <c r="Q8" i="59"/>
  <c r="P8" i="59"/>
  <c r="O8" i="59"/>
  <c r="N8" i="59"/>
  <c r="Q19" i="69" l="1"/>
  <c r="R19" i="69" s="1"/>
  <c r="S19" i="69" s="1"/>
  <c r="Q26" i="69"/>
  <c r="R26" i="69" s="1"/>
  <c r="S26" i="69" s="1"/>
  <c r="Q10" i="59"/>
  <c r="P10" i="59"/>
  <c r="O10" i="59"/>
  <c r="N10" i="59"/>
  <c r="AH9" i="59"/>
  <c r="AG9" i="59"/>
  <c r="AE9" i="59"/>
  <c r="AF9" i="59" s="1"/>
  <c r="AD9" i="59"/>
  <c r="Q9" i="59"/>
  <c r="P9" i="59"/>
  <c r="O9" i="59"/>
  <c r="N9" i="59"/>
  <c r="AH10" i="59"/>
  <c r="AG10" i="59"/>
  <c r="AE10" i="59"/>
  <c r="AF10" i="59"/>
  <c r="AD10" i="59"/>
  <c r="Q11" i="59"/>
  <c r="AB3" i="59" s="1"/>
  <c r="Q12" i="59"/>
  <c r="P11" i="59"/>
  <c r="P12" i="59"/>
  <c r="O11" i="59"/>
  <c r="O12" i="59"/>
  <c r="N11" i="59"/>
  <c r="N12" i="59"/>
  <c r="AH11" i="59"/>
  <c r="AG11" i="59"/>
  <c r="AE11" i="59"/>
  <c r="AF11" i="59" s="1"/>
  <c r="AD11" i="59"/>
  <c r="AH12" i="59"/>
  <c r="AG12" i="59"/>
  <c r="AE12" i="59"/>
  <c r="AF12" i="59" s="1"/>
  <c r="AD12" i="59"/>
  <c r="M15" i="49"/>
  <c r="L15" i="49"/>
  <c r="K15" i="49"/>
  <c r="J15" i="49"/>
  <c r="I15" i="49"/>
  <c r="H15" i="49"/>
  <c r="G15" i="49"/>
  <c r="F15" i="49"/>
  <c r="E15" i="49"/>
  <c r="D15" i="49"/>
  <c r="C15" i="49"/>
  <c r="B15" i="49"/>
  <c r="AH13" i="59"/>
  <c r="AG13" i="59"/>
  <c r="AE13" i="59"/>
  <c r="AF13" i="59" s="1"/>
  <c r="AD13" i="59"/>
  <c r="Q13" i="59"/>
  <c r="P13" i="59"/>
  <c r="O13" i="59"/>
  <c r="N13" i="59"/>
  <c r="L3" i="59"/>
  <c r="AH3" i="59" s="1"/>
  <c r="K3" i="59"/>
  <c r="AG3" i="59" s="1"/>
  <c r="J3" i="59"/>
  <c r="AE3" i="59" s="1"/>
  <c r="AF3" i="59" s="1"/>
  <c r="I3" i="59"/>
  <c r="AD3" i="59" s="1"/>
  <c r="AH14" i="59"/>
  <c r="AG14" i="59"/>
  <c r="AE14" i="59"/>
  <c r="AF14" i="59" s="1"/>
  <c r="AD14" i="59"/>
  <c r="Q14" i="59"/>
  <c r="Q15" i="59"/>
  <c r="P14" i="59"/>
  <c r="P15" i="59"/>
  <c r="O14" i="59"/>
  <c r="O15" i="59"/>
  <c r="N14" i="59"/>
  <c r="N15" i="59"/>
  <c r="AH15" i="59"/>
  <c r="AG15" i="59"/>
  <c r="AE15" i="59"/>
  <c r="AF15" i="59"/>
  <c r="AD15" i="59"/>
  <c r="Q16" i="59"/>
  <c r="P16" i="59"/>
  <c r="O16" i="59"/>
  <c r="N16" i="59"/>
  <c r="J50" i="15"/>
  <c r="D18" i="59"/>
  <c r="AH16" i="59"/>
  <c r="AG16" i="59"/>
  <c r="AE16" i="59"/>
  <c r="AF16" i="59" s="1"/>
  <c r="AD16" i="59"/>
  <c r="AE17" i="59"/>
  <c r="AF17" i="59" s="1"/>
  <c r="AG17" i="59"/>
  <c r="AH17" i="59"/>
  <c r="AD17" i="59"/>
  <c r="Q17" i="59"/>
  <c r="P17" i="59"/>
  <c r="O17" i="59"/>
  <c r="N17" i="59"/>
  <c r="B17" i="59" s="1"/>
  <c r="N18" i="59"/>
  <c r="Q18" i="59"/>
  <c r="P18" i="59"/>
  <c r="O18" i="59"/>
  <c r="K59" i="15"/>
  <c r="P62" i="15" s="1"/>
  <c r="P75" i="15"/>
  <c r="Q74" i="44"/>
  <c r="Q61" i="44"/>
  <c r="Q60" i="44"/>
  <c r="Q53" i="44"/>
  <c r="J51" i="44"/>
  <c r="J52" i="44"/>
  <c r="M48" i="44"/>
  <c r="A16" i="55"/>
  <c r="B67" i="63" s="1"/>
  <c r="A15" i="55"/>
  <c r="B66" i="63" s="1"/>
  <c r="A14" i="55"/>
  <c r="A11" i="55"/>
  <c r="A10" i="55"/>
  <c r="B61" i="63" s="1"/>
  <c r="A9" i="55"/>
  <c r="B60" i="63" s="1"/>
  <c r="A8" i="55"/>
  <c r="B59" i="63" s="1"/>
  <c r="A6" i="54"/>
  <c r="A8" i="54"/>
  <c r="B53" i="63" s="1"/>
  <c r="A7" i="54"/>
  <c r="A28" i="51"/>
  <c r="N4" i="63" s="1"/>
  <c r="A27" i="51"/>
  <c r="B20" i="63" s="1"/>
  <c r="Q19" i="59"/>
  <c r="O19" i="59"/>
  <c r="N20" i="59"/>
  <c r="O20" i="59"/>
  <c r="P20" i="59"/>
  <c r="Q20" i="59"/>
  <c r="N19" i="59"/>
  <c r="P19" i="59"/>
  <c r="K75" i="9"/>
  <c r="K6" i="4"/>
  <c r="O76" i="9" s="1"/>
  <c r="L76" i="9"/>
  <c r="B22" i="31"/>
  <c r="E15" i="66"/>
  <c r="F15" i="66"/>
  <c r="E16" i="66"/>
  <c r="F16" i="66"/>
  <c r="E17" i="66"/>
  <c r="F17" i="66"/>
  <c r="E18" i="66"/>
  <c r="F18" i="66"/>
  <c r="E19" i="66"/>
  <c r="F19" i="66"/>
  <c r="E20" i="66"/>
  <c r="F20" i="66"/>
  <c r="E21" i="66"/>
  <c r="F21" i="66"/>
  <c r="E22" i="66"/>
  <c r="F22" i="66"/>
  <c r="E23" i="66"/>
  <c r="F23" i="66"/>
  <c r="B3" i="66"/>
  <c r="E17" i="59"/>
  <c r="E16" i="59" s="1"/>
  <c r="E15" i="59" s="1"/>
  <c r="E14" i="59" s="1"/>
  <c r="E13" i="59" s="1"/>
  <c r="E12" i="59" s="1"/>
  <c r="E11" i="59" s="1"/>
  <c r="E10" i="59" s="1"/>
  <c r="F17" i="59"/>
  <c r="V17" i="59" s="1"/>
  <c r="U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H32" i="59"/>
  <c r="AG32" i="59"/>
  <c r="AE32" i="59"/>
  <c r="AF32" i="59"/>
  <c r="AD32" i="59"/>
  <c r="AD33" i="59"/>
  <c r="AE33" i="59"/>
  <c r="AF33" i="59"/>
  <c r="AG33" i="59"/>
  <c r="AH33" i="59"/>
  <c r="S2" i="31"/>
  <c r="M2" i="31"/>
  <c r="N2" i="31"/>
  <c r="O2" i="31"/>
  <c r="P2" i="31"/>
  <c r="Q2" i="31"/>
  <c r="R2" i="31"/>
  <c r="C17" i="59"/>
  <c r="C16" i="59" s="1"/>
  <c r="C3" i="65"/>
  <c r="C1" i="65"/>
  <c r="N1" i="65" s="1"/>
  <c r="T17" i="59"/>
  <c r="B76" i="63"/>
  <c r="M5" i="54"/>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AA12" i="46"/>
  <c r="B73" i="63"/>
  <c r="A21" i="64"/>
  <c r="B75" i="63" s="1"/>
  <c r="A27" i="64"/>
  <c r="A15" i="64"/>
  <c r="A14" i="64"/>
  <c r="A11" i="64"/>
  <c r="A3" i="64"/>
  <c r="A45" i="9"/>
  <c r="A44" i="9"/>
  <c r="C57" i="10"/>
  <c r="A28" i="64" s="1"/>
  <c r="C56" i="10"/>
  <c r="C55" i="10"/>
  <c r="C54" i="10"/>
  <c r="B49" i="63"/>
  <c r="B44" i="63"/>
  <c r="B40" i="63"/>
  <c r="B30" i="63"/>
  <c r="B27" i="63"/>
  <c r="B25" i="63"/>
  <c r="A11" i="5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c r="E5" i="54"/>
  <c r="B32" i="63"/>
  <c r="R2" i="54"/>
  <c r="B24" i="63" s="1"/>
  <c r="B49" i="50"/>
  <c r="B5" i="63" s="1"/>
  <c r="B40" i="50"/>
  <c r="B3" i="63" s="1"/>
  <c r="B21" i="63"/>
  <c r="I19" i="46"/>
  <c r="Q21" i="59"/>
  <c r="P21" i="59"/>
  <c r="O21" i="59"/>
  <c r="N21" i="59"/>
  <c r="B21" i="59" s="1"/>
  <c r="D82" i="59"/>
  <c r="F81" i="59"/>
  <c r="E81" i="59"/>
  <c r="E80" i="59" s="1"/>
  <c r="E79" i="59"/>
  <c r="C81" i="59"/>
  <c r="D81" i="59"/>
  <c r="B81" i="59"/>
  <c r="F80" i="59"/>
  <c r="F79" i="59" s="1"/>
  <c r="B80" i="59"/>
  <c r="B79" i="59" s="1"/>
  <c r="D78" i="59"/>
  <c r="F77" i="59"/>
  <c r="E77" i="59"/>
  <c r="E76" i="59" s="1"/>
  <c r="E75" i="59" s="1"/>
  <c r="C77" i="59"/>
  <c r="D77" i="59"/>
  <c r="B77" i="59"/>
  <c r="F76" i="59"/>
  <c r="F75" i="59" s="1"/>
  <c r="B76" i="59"/>
  <c r="B75" i="59" s="1"/>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s="1"/>
  <c r="F60" i="59"/>
  <c r="B60" i="59"/>
  <c r="N60"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D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C31" i="59"/>
  <c r="C32" i="59" s="1"/>
  <c r="D32" i="59" s="1"/>
  <c r="N30" i="59"/>
  <c r="B31" i="59"/>
  <c r="B32" i="59" s="1"/>
  <c r="B33" i="59" s="1"/>
  <c r="S33" i="59" s="1"/>
  <c r="D30" i="59"/>
  <c r="Q29" i="59"/>
  <c r="P29" i="59"/>
  <c r="O29" i="59"/>
  <c r="Y29" i="59" s="1"/>
  <c r="Z29" i="59" s="1"/>
  <c r="N29" i="59"/>
  <c r="Q28" i="59"/>
  <c r="AB28" i="59" s="1"/>
  <c r="P28" i="59"/>
  <c r="O28" i="59"/>
  <c r="Y28" i="59" s="1"/>
  <c r="Z28" i="59" s="1"/>
  <c r="N28" i="59"/>
  <c r="Q27" i="59"/>
  <c r="AB27" i="59" s="1"/>
  <c r="P27" i="59"/>
  <c r="O27" i="59"/>
  <c r="Y27" i="59" s="1"/>
  <c r="Z27" i="59" s="1"/>
  <c r="N27" i="59"/>
  <c r="Q26" i="59"/>
  <c r="P26" i="59"/>
  <c r="O26" i="59"/>
  <c r="Y26" i="59" s="1"/>
  <c r="Z26" i="59" s="1"/>
  <c r="N26" i="59"/>
  <c r="D26" i="59"/>
  <c r="Q25" i="59"/>
  <c r="P25" i="59"/>
  <c r="O25" i="59"/>
  <c r="N25" i="59"/>
  <c r="Q24" i="59"/>
  <c r="P24" i="59"/>
  <c r="O24" i="59"/>
  <c r="N24" i="59"/>
  <c r="X24" i="59" s="1"/>
  <c r="Q23" i="59"/>
  <c r="P23" i="59"/>
  <c r="O23" i="59"/>
  <c r="N23" i="59"/>
  <c r="X23" i="59" s="1"/>
  <c r="Q22" i="59"/>
  <c r="P22" i="59"/>
  <c r="O22" i="59"/>
  <c r="C23" i="59"/>
  <c r="C24" i="59" s="1"/>
  <c r="D24" i="59" s="1"/>
  <c r="N22" i="59"/>
  <c r="B23" i="59"/>
  <c r="B24" i="59" s="1"/>
  <c r="B25" i="59" s="1"/>
  <c r="S25" i="59" s="1"/>
  <c r="D22" i="59"/>
  <c r="E23" i="59"/>
  <c r="E24" i="59" s="1"/>
  <c r="E25" i="59" s="1"/>
  <c r="U25" i="59" s="1"/>
  <c r="S61" i="59"/>
  <c r="F36" i="59"/>
  <c r="F37" i="59" s="1"/>
  <c r="V37" i="59" s="1"/>
  <c r="F56" i="59"/>
  <c r="F57" i="59" s="1"/>
  <c r="V57" i="59" s="1"/>
  <c r="D23" i="59"/>
  <c r="D31" i="59"/>
  <c r="C44" i="59"/>
  <c r="D44" i="59" s="1"/>
  <c r="E59" i="59"/>
  <c r="P58" i="59" s="1"/>
  <c r="T61" i="59"/>
  <c r="O61" i="59"/>
  <c r="D61" i="59"/>
  <c r="C60" i="59"/>
  <c r="P61" i="59"/>
  <c r="U61" i="59"/>
  <c r="Q61" i="59"/>
  <c r="E64" i="59"/>
  <c r="E63" i="59" s="1"/>
  <c r="C68" i="59"/>
  <c r="C67" i="59" s="1"/>
  <c r="D67" i="59" s="1"/>
  <c r="E68" i="59"/>
  <c r="E67" i="59" s="1"/>
  <c r="D69" i="59"/>
  <c r="C72" i="59"/>
  <c r="E72" i="59"/>
  <c r="E71" i="59" s="1"/>
  <c r="D73" i="59"/>
  <c r="C76" i="59"/>
  <c r="C75" i="59" s="1"/>
  <c r="D75" i="59" s="1"/>
  <c r="C80" i="59"/>
  <c r="D80" i="59" s="1"/>
  <c r="U16" i="4"/>
  <c r="S16" i="4"/>
  <c r="Q16" i="4"/>
  <c r="O16" i="4"/>
  <c r="M16" i="4"/>
  <c r="K16" i="4"/>
  <c r="P59" i="59"/>
  <c r="C79" i="59"/>
  <c r="D79" i="59" s="1"/>
  <c r="D72" i="59"/>
  <c r="C71" i="59"/>
  <c r="D71" i="59"/>
  <c r="C59" i="59"/>
  <c r="O59" i="59" s="1"/>
  <c r="O60" i="59"/>
  <c r="D60" i="59"/>
  <c r="D68" i="59"/>
  <c r="C33" i="59"/>
  <c r="D33" i="59" s="1"/>
  <c r="C25" i="59"/>
  <c r="D25" i="59" s="1"/>
  <c r="L16" i="4"/>
  <c r="T25" i="59"/>
  <c r="T33" i="59"/>
  <c r="D59"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Q21" i="33"/>
  <c r="Z21" i="33" s="1"/>
  <c r="C21" i="33"/>
  <c r="D83" i="33"/>
  <c r="E83" i="33" s="1"/>
  <c r="F83" i="33" s="1"/>
  <c r="G83" i="33" s="1"/>
  <c r="Q21" i="21"/>
  <c r="Z21" i="21" s="1"/>
  <c r="D83" i="21"/>
  <c r="E83" i="21"/>
  <c r="F83" i="21" s="1"/>
  <c r="G83" i="21" s="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D85" i="46"/>
  <c r="D82" i="46"/>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G11" i="1" s="1"/>
  <c r="D12" i="1"/>
  <c r="D13" i="1"/>
  <c r="D6" i="1"/>
  <c r="D7" i="1"/>
  <c r="D8" i="1"/>
  <c r="D9" i="1"/>
  <c r="F10" i="1"/>
  <c r="AP10" i="1" s="1"/>
  <c r="D10" i="1"/>
  <c r="G10" i="1" s="1"/>
  <c r="B2" i="1"/>
  <c r="C42" i="1" s="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c r="C60" i="39" s="1"/>
  <c r="L25" i="4"/>
  <c r="C145" i="21"/>
  <c r="K139" i="21" s="1"/>
  <c r="K143"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A487" i="3" s="1"/>
  <c r="AZ487" i="3" s="1"/>
  <c r="BD487" i="3"/>
  <c r="BE487" i="3"/>
  <c r="BF487" i="3"/>
  <c r="BG487" i="3"/>
  <c r="BH487" i="3"/>
  <c r="BI487" i="3"/>
  <c r="BJ487" i="3"/>
  <c r="BK487" i="3"/>
  <c r="BM487" i="3"/>
  <c r="BN487" i="3"/>
  <c r="BO487" i="3"/>
  <c r="BP487" i="3"/>
  <c r="BQ487" i="3"/>
  <c r="BR487" i="3"/>
  <c r="BS487" i="3"/>
  <c r="BT487" i="3"/>
  <c r="H488" i="3"/>
  <c r="AC488" i="3"/>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L527" i="3" s="1"/>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AZ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L560" i="3" s="1"/>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c r="G99" i="39" s="1"/>
  <c r="D97" i="39"/>
  <c r="D95" i="39"/>
  <c r="E95" i="39" s="1"/>
  <c r="F95" i="39" s="1"/>
  <c r="G95" i="39" s="1"/>
  <c r="D93" i="39"/>
  <c r="E93" i="39"/>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D105" i="37"/>
  <c r="E105" i="37" s="1"/>
  <c r="F105" i="37" s="1"/>
  <c r="G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AC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F11" i="35" s="1"/>
  <c r="S11" i="35" s="1"/>
  <c r="B61" i="35"/>
  <c r="B59" i="35"/>
  <c r="H12" i="35" s="1"/>
  <c r="U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I48" i="35" s="1"/>
  <c r="J48" i="35" s="1"/>
  <c r="K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c r="B89" i="34"/>
  <c r="J27" i="34"/>
  <c r="AC27" i="34" s="1"/>
  <c r="D88" i="34"/>
  <c r="E88" i="34"/>
  <c r="F88" i="34" s="1"/>
  <c r="G88" i="34" s="1"/>
  <c r="H88" i="34" s="1"/>
  <c r="I88" i="34" s="1"/>
  <c r="J88" i="34" s="1"/>
  <c r="K88" i="34" s="1"/>
  <c r="L88" i="34" s="1"/>
  <c r="M88" i="34" s="1"/>
  <c r="D86" i="34"/>
  <c r="E86" i="34"/>
  <c r="D82" i="34"/>
  <c r="E82" i="34"/>
  <c r="F82" i="34" s="1"/>
  <c r="G82" i="34" s="1"/>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F39" i="34"/>
  <c r="S39" i="34" s="1"/>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E123" i="33" s="1"/>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s="1"/>
  <c r="C7" i="33"/>
  <c r="C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F30" i="21" s="1"/>
  <c r="S30" i="21" s="1"/>
  <c r="B94" i="21"/>
  <c r="B92" i="21"/>
  <c r="J28" i="21" s="1"/>
  <c r="AC28" i="21" s="1"/>
  <c r="B90" i="21"/>
  <c r="B74" i="21"/>
  <c r="J14" i="21" s="1"/>
  <c r="AC14" i="21" s="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K5" i="3" s="1"/>
  <c r="BM13" i="3"/>
  <c r="BN13" i="3"/>
  <c r="BO13" i="3"/>
  <c r="BP13" i="3"/>
  <c r="BP5" i="3" s="1"/>
  <c r="G29" i="6" s="1"/>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H8" i="21"/>
  <c r="H9" i="21"/>
  <c r="H10" i="21"/>
  <c r="H39" i="21"/>
  <c r="AB39" i="21" s="1"/>
  <c r="J34" i="21"/>
  <c r="W34" i="21" s="1"/>
  <c r="H36" i="21"/>
  <c r="U36" i="21" s="1"/>
  <c r="F35" i="21"/>
  <c r="AA35" i="21" s="1"/>
  <c r="J33" i="21"/>
  <c r="W33" i="21" s="1"/>
  <c r="H33" i="21"/>
  <c r="F33" i="21"/>
  <c r="S33" i="21" s="1"/>
  <c r="J10" i="21"/>
  <c r="AC10" i="21" s="1"/>
  <c r="H26" i="21"/>
  <c r="U26" i="21" s="1"/>
  <c r="F19" i="21"/>
  <c r="AA19" i="21"/>
  <c r="H19" i="21"/>
  <c r="AB19" i="21"/>
  <c r="J19" i="21"/>
  <c r="W19" i="21"/>
  <c r="H12" i="21"/>
  <c r="U12" i="21" s="1"/>
  <c r="J26" i="21"/>
  <c r="W26" i="21" s="1"/>
  <c r="F26" i="21"/>
  <c r="AB41" i="21"/>
  <c r="S41" i="21"/>
  <c r="W41" i="21"/>
  <c r="S10" i="39"/>
  <c r="U30" i="37"/>
  <c r="E103" i="37"/>
  <c r="F103" i="37" s="1"/>
  <c r="G103" i="37" s="1"/>
  <c r="H103" i="37" s="1"/>
  <c r="I103" i="37" s="1"/>
  <c r="J103" i="37" s="1"/>
  <c r="K103" i="37" s="1"/>
  <c r="L103" i="37" s="1"/>
  <c r="M103" i="37" s="1"/>
  <c r="F39" i="37"/>
  <c r="S39" i="37" s="1"/>
  <c r="F29" i="36"/>
  <c r="AA29" i="36" s="1"/>
  <c r="F16" i="36"/>
  <c r="AA16" i="36" s="1"/>
  <c r="U22" i="36"/>
  <c r="W22" i="36"/>
  <c r="AC31" i="36"/>
  <c r="J33" i="36"/>
  <c r="W33" i="36" s="1"/>
  <c r="AC27" i="35"/>
  <c r="S34" i="35"/>
  <c r="W36" i="35"/>
  <c r="W24" i="35"/>
  <c r="S31" i="35"/>
  <c r="W31" i="35"/>
  <c r="U34" i="35"/>
  <c r="F36" i="34"/>
  <c r="S36" i="34" s="1"/>
  <c r="W9" i="34"/>
  <c r="S34" i="34"/>
  <c r="H39" i="33"/>
  <c r="AB39" i="33" s="1"/>
  <c r="F26" i="33"/>
  <c r="AA26" i="33" s="1"/>
  <c r="U33" i="33"/>
  <c r="W38" i="33"/>
  <c r="S40" i="33"/>
  <c r="S33" i="33"/>
  <c r="W33" i="33"/>
  <c r="U38" i="33"/>
  <c r="S8" i="21"/>
  <c r="W8" i="21"/>
  <c r="H39" i="37"/>
  <c r="S10" i="40"/>
  <c r="W10" i="40"/>
  <c r="S11" i="40"/>
  <c r="U11" i="40"/>
  <c r="S36" i="40"/>
  <c r="U36" i="40"/>
  <c r="S40" i="39"/>
  <c r="S36" i="39"/>
  <c r="F11" i="21"/>
  <c r="S11" i="21" s="1"/>
  <c r="AC40" i="21"/>
  <c r="AB36" i="21"/>
  <c r="C29" i="39"/>
  <c r="C23" i="39"/>
  <c r="U36" i="39"/>
  <c r="S42" i="39"/>
  <c r="H32" i="33"/>
  <c r="AB32" i="33" s="1"/>
  <c r="H11" i="21"/>
  <c r="U11" i="21" s="1"/>
  <c r="J11" i="21"/>
  <c r="W11" i="21" s="1"/>
  <c r="F100" i="40"/>
  <c r="G100" i="40" s="1"/>
  <c r="AA12" i="33"/>
  <c r="J27" i="36"/>
  <c r="W27" i="36" s="1"/>
  <c r="J30" i="35"/>
  <c r="W30" i="35" s="1"/>
  <c r="F22" i="35"/>
  <c r="AA22" i="35" s="1"/>
  <c r="H10" i="35"/>
  <c r="E85" i="36"/>
  <c r="F85" i="36" s="1"/>
  <c r="G85" i="36" s="1"/>
  <c r="H85" i="36" s="1"/>
  <c r="I85" i="36" s="1"/>
  <c r="J85" i="36" s="1"/>
  <c r="K85" i="36" s="1"/>
  <c r="L85" i="36" s="1"/>
  <c r="M85" i="36" s="1"/>
  <c r="J29" i="36"/>
  <c r="AC29" i="36" s="1"/>
  <c r="F24" i="36"/>
  <c r="S10" i="36"/>
  <c r="H16" i="35"/>
  <c r="H33" i="35"/>
  <c r="AB33" i="35" s="1"/>
  <c r="W8" i="35"/>
  <c r="F35" i="37"/>
  <c r="S35" i="37" s="1"/>
  <c r="E101" i="37"/>
  <c r="F101" i="37"/>
  <c r="G101" i="37" s="1"/>
  <c r="H101" i="37" s="1"/>
  <c r="I101" i="37" s="1"/>
  <c r="J101" i="37" s="1"/>
  <c r="K101" i="37" s="1"/>
  <c r="L101" i="37" s="1"/>
  <c r="M101" i="37" s="1"/>
  <c r="J34" i="37"/>
  <c r="W34" i="37" s="1"/>
  <c r="AA39" i="37"/>
  <c r="H43" i="34"/>
  <c r="U42" i="34"/>
  <c r="E114" i="34"/>
  <c r="H36" i="34"/>
  <c r="F37" i="34"/>
  <c r="AA37" i="34" s="1"/>
  <c r="F33" i="34"/>
  <c r="S33" i="34" s="1"/>
  <c r="AA28" i="34"/>
  <c r="F19" i="34"/>
  <c r="AA19" i="34" s="1"/>
  <c r="J10" i="34"/>
  <c r="AC10" i="34" s="1"/>
  <c r="U9" i="34"/>
  <c r="J28" i="34"/>
  <c r="W28" i="34" s="1"/>
  <c r="S38" i="33"/>
  <c r="F36" i="33"/>
  <c r="S36" i="33" s="1"/>
  <c r="F19" i="33"/>
  <c r="S19" i="33" s="1"/>
  <c r="J19" i="33"/>
  <c r="W19" i="33" s="1"/>
  <c r="S10" i="21"/>
  <c r="W40" i="33"/>
  <c r="G86" i="40"/>
  <c r="S22" i="35"/>
  <c r="H29" i="35"/>
  <c r="U29" i="35" s="1"/>
  <c r="U34" i="37"/>
  <c r="S34" i="37"/>
  <c r="AC43" i="34"/>
  <c r="AB42" i="34"/>
  <c r="AB40" i="34"/>
  <c r="J19" i="34"/>
  <c r="AC19" i="34" s="1"/>
  <c r="H37" i="33"/>
  <c r="AB37" i="33" s="1"/>
  <c r="S37" i="33"/>
  <c r="W43" i="34"/>
  <c r="W42" i="34"/>
  <c r="AA42" i="34"/>
  <c r="S42" i="34"/>
  <c r="W38" i="34"/>
  <c r="S38" i="34"/>
  <c r="J37" i="33"/>
  <c r="W37" i="33" s="1"/>
  <c r="J42" i="21"/>
  <c r="AC42" i="21" s="1"/>
  <c r="J44" i="34"/>
  <c r="AC44" i="34" s="1"/>
  <c r="F44" i="34"/>
  <c r="J10" i="35"/>
  <c r="W10" i="35" s="1"/>
  <c r="AL5" i="3"/>
  <c r="BQ13" i="3"/>
  <c r="F14" i="21"/>
  <c r="AA14" i="21" s="1"/>
  <c r="H28" i="21"/>
  <c r="H30" i="21"/>
  <c r="U30" i="21" s="1"/>
  <c r="H26" i="33"/>
  <c r="U26" i="33"/>
  <c r="F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J29" i="33"/>
  <c r="W29" i="33" s="1"/>
  <c r="J31" i="33"/>
  <c r="AC31" i="33" s="1"/>
  <c r="H31" i="33"/>
  <c r="U31" i="33" s="1"/>
  <c r="S31" i="33"/>
  <c r="J45" i="33"/>
  <c r="W45" i="33" s="1"/>
  <c r="F45" i="33"/>
  <c r="H28" i="36"/>
  <c r="J32" i="36"/>
  <c r="AC32" i="36" s="1"/>
  <c r="W11" i="36"/>
  <c r="H13" i="36"/>
  <c r="AB13" i="36"/>
  <c r="J13" i="36"/>
  <c r="W13" i="36"/>
  <c r="F13" i="36"/>
  <c r="S13" i="36"/>
  <c r="J29" i="37"/>
  <c r="W29" i="37" s="1"/>
  <c r="F29" i="37"/>
  <c r="AA29" i="37" s="1"/>
  <c r="AB36" i="37"/>
  <c r="J37" i="37"/>
  <c r="AC37" i="37" s="1"/>
  <c r="H37" i="37"/>
  <c r="U37" i="37" s="1"/>
  <c r="H40" i="37"/>
  <c r="U40" i="37" s="1"/>
  <c r="J40" i="37"/>
  <c r="AC40" i="37" s="1"/>
  <c r="F40" i="37"/>
  <c r="AA40" i="37" s="1"/>
  <c r="H14" i="33"/>
  <c r="U14" i="33" s="1"/>
  <c r="F14" i="33"/>
  <c r="AA14" i="33" s="1"/>
  <c r="J14" i="33"/>
  <c r="AC14" i="33" s="1"/>
  <c r="H30" i="33"/>
  <c r="AB30" i="33" s="1"/>
  <c r="F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AA38" i="37"/>
  <c r="AB13" i="35"/>
  <c r="AB40" i="37"/>
  <c r="J36" i="37"/>
  <c r="AC36" i="37"/>
  <c r="AB30" i="21"/>
  <c r="W14" i="21"/>
  <c r="W42" i="21"/>
  <c r="S46" i="33"/>
  <c r="AC13" i="36"/>
  <c r="AB45" i="33"/>
  <c r="AB27" i="33"/>
  <c r="S19" i="21"/>
  <c r="G529" i="3"/>
  <c r="G517" i="3"/>
  <c r="G508" i="3"/>
  <c r="G493" i="3"/>
  <c r="G17" i="3"/>
  <c r="G561" i="3"/>
  <c r="G549" i="3"/>
  <c r="G539" i="3"/>
  <c r="BL561" i="3"/>
  <c r="BL553" i="3"/>
  <c r="BL535" i="3"/>
  <c r="BL519" i="3"/>
  <c r="BL501" i="3"/>
  <c r="BL483" i="3"/>
  <c r="BL563" i="3"/>
  <c r="BL551" i="3"/>
  <c r="BL533" i="3"/>
  <c r="G518" i="3"/>
  <c r="G510" i="3"/>
  <c r="BL495" i="3"/>
  <c r="AZ495" i="3" s="1"/>
  <c r="G18" i="3"/>
  <c r="BA565" i="3"/>
  <c r="BA557" i="3"/>
  <c r="AZ557" i="3" s="1"/>
  <c r="BA551" i="3"/>
  <c r="BA543" i="3"/>
  <c r="BA531" i="3"/>
  <c r="BA509" i="3"/>
  <c r="AZ509" i="3" s="1"/>
  <c r="BA501" i="3"/>
  <c r="BA19" i="3"/>
  <c r="BA566" i="3"/>
  <c r="BA560" i="3"/>
  <c r="BA556" i="3"/>
  <c r="AZ556" i="3" s="1"/>
  <c r="BA550" i="3"/>
  <c r="BA544" i="3"/>
  <c r="BA536" i="3"/>
  <c r="BA528" i="3"/>
  <c r="BA520" i="3"/>
  <c r="BA512" i="3"/>
  <c r="BA502" i="3"/>
  <c r="BA492" i="3"/>
  <c r="BA484" i="3"/>
  <c r="G566" i="3"/>
  <c r="G560" i="3"/>
  <c r="G556" i="3"/>
  <c r="G550" i="3"/>
  <c r="BL543" i="3"/>
  <c r="AZ543" i="3" s="1"/>
  <c r="AC542" i="3"/>
  <c r="BQ542" i="3"/>
  <c r="BQ568" i="3"/>
  <c r="BQ566" i="3"/>
  <c r="BQ564" i="3"/>
  <c r="BL564" i="3" s="1"/>
  <c r="AZ564" i="3" s="1"/>
  <c r="BQ562" i="3"/>
  <c r="BQ560" i="3"/>
  <c r="BQ558" i="3"/>
  <c r="BQ556" i="3"/>
  <c r="BQ554" i="3"/>
  <c r="BL554" i="3" s="1"/>
  <c r="BQ552" i="3"/>
  <c r="BL552" i="3"/>
  <c r="BQ550" i="3"/>
  <c r="BL550" i="3"/>
  <c r="BQ548" i="3"/>
  <c r="BQ546" i="3"/>
  <c r="BL546" i="3" s="1"/>
  <c r="AZ546" i="3" s="1"/>
  <c r="BQ544" i="3"/>
  <c r="G544" i="3"/>
  <c r="G534" i="3"/>
  <c r="G526" i="3"/>
  <c r="BQ540" i="3"/>
  <c r="BQ538" i="3"/>
  <c r="BQ536" i="3"/>
  <c r="BL536" i="3" s="1"/>
  <c r="AZ536" i="3" s="1"/>
  <c r="BQ534" i="3"/>
  <c r="BQ532" i="3"/>
  <c r="BL532" i="3" s="1"/>
  <c r="AZ532" i="3" s="1"/>
  <c r="BQ530" i="3"/>
  <c r="BQ528" i="3"/>
  <c r="BQ526" i="3"/>
  <c r="BQ524" i="3"/>
  <c r="BL524" i="3" s="1"/>
  <c r="AZ524" i="3" s="1"/>
  <c r="BQ522" i="3"/>
  <c r="BQ520" i="3"/>
  <c r="BQ518" i="3"/>
  <c r="BL518" i="3" s="1"/>
  <c r="BQ516" i="3"/>
  <c r="BQ514" i="3"/>
  <c r="BL514" i="3" s="1"/>
  <c r="BQ512" i="3"/>
  <c r="BQ510" i="3"/>
  <c r="BQ508" i="3"/>
  <c r="AC506" i="3"/>
  <c r="BQ506" i="3"/>
  <c r="G498" i="3"/>
  <c r="BQ504" i="3"/>
  <c r="BQ502" i="3"/>
  <c r="BQ500" i="3"/>
  <c r="BQ498" i="3"/>
  <c r="BL498" i="3" s="1"/>
  <c r="AZ498" i="3" s="1"/>
  <c r="BQ496" i="3"/>
  <c r="AC494" i="3"/>
  <c r="G494" i="3" s="1"/>
  <c r="BQ494" i="3"/>
  <c r="BL493" i="3"/>
  <c r="AZ493" i="3" s="1"/>
  <c r="G488" i="3"/>
  <c r="G20" i="3"/>
  <c r="BQ492" i="3"/>
  <c r="BQ490" i="3"/>
  <c r="BL490" i="3" s="1"/>
  <c r="BQ488" i="3"/>
  <c r="BL488" i="3"/>
  <c r="BQ486" i="3"/>
  <c r="BQ484" i="3"/>
  <c r="BL484" i="3" s="1"/>
  <c r="BQ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s="1"/>
  <c r="E125" i="33"/>
  <c r="F125" i="33" s="1"/>
  <c r="G125" i="33" s="1"/>
  <c r="H43" i="33"/>
  <c r="U43" i="33" s="1"/>
  <c r="H17" i="37"/>
  <c r="F23" i="37"/>
  <c r="S23" i="37" s="1"/>
  <c r="F79" i="37"/>
  <c r="G79" i="37" s="1"/>
  <c r="F39" i="33"/>
  <c r="AA39" i="33" s="1"/>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AB43" i="33"/>
  <c r="D3" i="21"/>
  <c r="AC33" i="36"/>
  <c r="W23" i="35"/>
  <c r="S27" i="37"/>
  <c r="AC8" i="37"/>
  <c r="AC36" i="34"/>
  <c r="AB8" i="34"/>
  <c r="AC37" i="33"/>
  <c r="AC45" i="33"/>
  <c r="U19" i="21"/>
  <c r="AC33" i="21"/>
  <c r="AA36" i="21"/>
  <c r="S39" i="33"/>
  <c r="F43" i="33"/>
  <c r="AA43" i="33" s="1"/>
  <c r="AA23" i="37"/>
  <c r="H107" i="37"/>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U12" i="37"/>
  <c r="J11" i="37"/>
  <c r="W11" i="37" s="1"/>
  <c r="U31" i="37"/>
  <c r="E90" i="40"/>
  <c r="F21" i="40"/>
  <c r="S21" i="40" s="1"/>
  <c r="W36" i="40"/>
  <c r="U40" i="39"/>
  <c r="F90" i="40"/>
  <c r="J21" i="40"/>
  <c r="AC21" i="40" s="1"/>
  <c r="G90" i="40"/>
  <c r="S27" i="31"/>
  <c r="AZ540" i="3"/>
  <c r="G483" i="3"/>
  <c r="G507" i="3"/>
  <c r="G501" i="3"/>
  <c r="BA15" i="3"/>
  <c r="BL17" i="3"/>
  <c r="BL15" i="3"/>
  <c r="BA14" i="3"/>
  <c r="AZ14" i="3" s="1"/>
  <c r="J57" i="39"/>
  <c r="H13" i="40"/>
  <c r="U13" i="40"/>
  <c r="I4" i="4"/>
  <c r="K141" i="21"/>
  <c r="K144" i="21"/>
  <c r="I59" i="40"/>
  <c r="C59" i="40" s="1"/>
  <c r="I60" i="40"/>
  <c r="C60" i="40" s="1"/>
  <c r="G297" i="3"/>
  <c r="BL298" i="3"/>
  <c r="G299" i="3"/>
  <c r="BL300" i="3"/>
  <c r="BA302" i="3"/>
  <c r="AZ302" i="3"/>
  <c r="BA303" i="3"/>
  <c r="BL303" i="3"/>
  <c r="G304" i="3"/>
  <c r="BA305" i="3"/>
  <c r="AZ305" i="3" s="1"/>
  <c r="G321" i="3"/>
  <c r="BL322" i="3"/>
  <c r="AZ322" i="3" s="1"/>
  <c r="G323" i="3"/>
  <c r="BL324" i="3"/>
  <c r="BA326" i="3"/>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G155" i="3"/>
  <c r="BA157" i="3"/>
  <c r="AZ157" i="3" s="1"/>
  <c r="BL158" i="3"/>
  <c r="G159" i="3"/>
  <c r="BA161" i="3"/>
  <c r="BL162" i="3"/>
  <c r="G163" i="3"/>
  <c r="BA165" i="3"/>
  <c r="BL166" i="3"/>
  <c r="AZ166" i="3" s="1"/>
  <c r="G167" i="3"/>
  <c r="BA169" i="3"/>
  <c r="AZ169" i="3" s="1"/>
  <c r="BL170" i="3"/>
  <c r="G171" i="3"/>
  <c r="BA173" i="3"/>
  <c r="AZ173" i="3" s="1"/>
  <c r="BL174" i="3"/>
  <c r="G175" i="3"/>
  <c r="BA178" i="3"/>
  <c r="BL179" i="3"/>
  <c r="G180" i="3"/>
  <c r="AZ27" i="3"/>
  <c r="AZ35" i="3"/>
  <c r="AZ43" i="3"/>
  <c r="AZ51" i="3"/>
  <c r="AZ59"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70" i="3"/>
  <c r="AZ78" i="3"/>
  <c r="AZ201" i="3"/>
  <c r="AZ90" i="3"/>
  <c r="AZ98" i="3"/>
  <c r="AZ106" i="3"/>
  <c r="G491" i="3"/>
  <c r="BA298" i="3"/>
  <c r="AZ298" i="3" s="1"/>
  <c r="BA299" i="3"/>
  <c r="BL299" i="3"/>
  <c r="G300" i="3"/>
  <c r="G303" i="3"/>
  <c r="BL304" i="3"/>
  <c r="BA306" i="3"/>
  <c r="BA307" i="3"/>
  <c r="BL307" i="3"/>
  <c r="AZ307" i="3" s="1"/>
  <c r="G308" i="3"/>
  <c r="G319" i="3"/>
  <c r="BL320" i="3"/>
  <c r="BA322" i="3"/>
  <c r="BA323" i="3"/>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BA355" i="3"/>
  <c r="AZ355" i="3"/>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79" i="3"/>
  <c r="AZ183" i="3"/>
  <c r="AZ187" i="3"/>
  <c r="AZ191" i="3"/>
  <c r="AZ195" i="3"/>
  <c r="AZ199" i="3"/>
  <c r="AZ203" i="3"/>
  <c r="BL297" i="3"/>
  <c r="G298" i="3"/>
  <c r="BA300" i="3"/>
  <c r="AZ300" i="3" s="1"/>
  <c r="BL301" i="3"/>
  <c r="G302" i="3"/>
  <c r="BA304" i="3"/>
  <c r="AZ304" i="3"/>
  <c r="BL305" i="3"/>
  <c r="G306" i="3"/>
  <c r="BA308" i="3"/>
  <c r="AZ308" i="3" s="1"/>
  <c r="BL309" i="3"/>
  <c r="G310" i="3"/>
  <c r="BA310" i="3"/>
  <c r="AZ310" i="3" s="1"/>
  <c r="BL311" i="3"/>
  <c r="G312" i="3"/>
  <c r="BA312" i="3"/>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BL333" i="3"/>
  <c r="G334" i="3"/>
  <c r="BA336" i="3"/>
  <c r="AZ336" i="3" s="1"/>
  <c r="BL337" i="3"/>
  <c r="G338" i="3"/>
  <c r="BA340" i="3"/>
  <c r="BL341" i="3"/>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45" i="3"/>
  <c r="AZ309" i="3"/>
  <c r="AZ321" i="3"/>
  <c r="AZ333" i="3"/>
  <c r="AZ353" i="3"/>
  <c r="AZ363" i="3"/>
  <c r="G368" i="3"/>
  <c r="BA370" i="3"/>
  <c r="AZ370" i="3" s="1"/>
  <c r="BL371" i="3"/>
  <c r="AZ371" i="3" s="1"/>
  <c r="G372" i="3"/>
  <c r="BA374" i="3"/>
  <c r="AZ374" i="3" s="1"/>
  <c r="BL375" i="3"/>
  <c r="AZ375" i="3" s="1"/>
  <c r="G376" i="3"/>
  <c r="BA378" i="3"/>
  <c r="AZ378" i="3" s="1"/>
  <c r="BL379" i="3"/>
  <c r="AZ379" i="3" s="1"/>
  <c r="G380" i="3"/>
  <c r="BA382" i="3"/>
  <c r="AZ382" i="3" s="1"/>
  <c r="BL383" i="3"/>
  <c r="G384" i="3"/>
  <c r="AZ249" i="3"/>
  <c r="AZ261" i="3"/>
  <c r="AZ265" i="3"/>
  <c r="AZ383" i="3"/>
  <c r="AZ270" i="3"/>
  <c r="AZ282" i="3"/>
  <c r="AZ286" i="3"/>
  <c r="AZ303" i="3"/>
  <c r="AZ311" i="3"/>
  <c r="AZ313" i="3"/>
  <c r="AZ335" i="3"/>
  <c r="AZ347" i="3"/>
  <c r="AZ361" i="3"/>
  <c r="AZ394" i="3"/>
  <c r="AZ410" i="3"/>
  <c r="AZ418" i="3"/>
  <c r="AZ426" i="3"/>
  <c r="AZ430" i="3"/>
  <c r="AZ442" i="3"/>
  <c r="AZ446" i="3"/>
  <c r="AZ459" i="3"/>
  <c r="AZ463" i="3"/>
  <c r="AZ475" i="3"/>
  <c r="AZ479" i="3"/>
  <c r="H7" i="48"/>
  <c r="F33" i="46"/>
  <c r="H16" i="48"/>
  <c r="H8" i="48"/>
  <c r="C12" i="46"/>
  <c r="AB15" i="37"/>
  <c r="AA43" i="21"/>
  <c r="U43" i="21"/>
  <c r="E78" i="40"/>
  <c r="F78" i="40" s="1"/>
  <c r="G78" i="40" s="1"/>
  <c r="H78" i="40" s="1"/>
  <c r="I78" i="40" s="1"/>
  <c r="J78" i="40" s="1"/>
  <c r="K78" i="40" s="1"/>
  <c r="L78" i="40" s="1"/>
  <c r="M78" i="40" s="1"/>
  <c r="R16" i="4"/>
  <c r="P16" i="4"/>
  <c r="D3" i="35"/>
  <c r="G4" i="4"/>
  <c r="S37" i="34"/>
  <c r="J16" i="35"/>
  <c r="W16" i="35" s="1"/>
  <c r="U42" i="21"/>
  <c r="AC26" i="36"/>
  <c r="W25" i="35"/>
  <c r="AZ354" i="3"/>
  <c r="H13" i="39"/>
  <c r="AB13" i="39" s="1"/>
  <c r="F13" i="39"/>
  <c r="J13" i="39"/>
  <c r="AC13" i="39" s="1"/>
  <c r="AA36" i="35"/>
  <c r="H11" i="37"/>
  <c r="AB11" i="37" s="1"/>
  <c r="W37" i="37"/>
  <c r="AA36" i="37"/>
  <c r="AZ488" i="3"/>
  <c r="AC11" i="36"/>
  <c r="AB45" i="34"/>
  <c r="AB35" i="35"/>
  <c r="W44" i="33"/>
  <c r="AC30" i="33"/>
  <c r="W30" i="33"/>
  <c r="AC29" i="37"/>
  <c r="W32" i="36"/>
  <c r="J33" i="34"/>
  <c r="AC33" i="34" s="1"/>
  <c r="J40" i="34"/>
  <c r="W40" i="34" s="1"/>
  <c r="F16" i="35"/>
  <c r="AA16" i="35" s="1"/>
  <c r="W42" i="33"/>
  <c r="J35" i="34"/>
  <c r="W35" i="34" s="1"/>
  <c r="F107" i="34"/>
  <c r="G107" i="34" s="1"/>
  <c r="H107" i="34" s="1"/>
  <c r="I107" i="34" s="1"/>
  <c r="J107" i="34" s="1"/>
  <c r="K107" i="34" s="1"/>
  <c r="L107" i="34" s="1"/>
  <c r="M107" i="34" s="1"/>
  <c r="S30" i="36"/>
  <c r="H16" i="36"/>
  <c r="AB16" i="36" s="1"/>
  <c r="H35" i="37"/>
  <c r="AB35" i="37"/>
  <c r="H32" i="21"/>
  <c r="U32" i="21" s="1"/>
  <c r="AB26" i="21"/>
  <c r="AA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F11" i="34"/>
  <c r="S11" i="34" s="1"/>
  <c r="E80" i="34"/>
  <c r="F80" i="34" s="1"/>
  <c r="H17" i="34"/>
  <c r="AB17" i="34" s="1"/>
  <c r="W27" i="34"/>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F96" i="37"/>
  <c r="H32" i="37"/>
  <c r="AB32" i="37"/>
  <c r="F19" i="39"/>
  <c r="S19" i="39" s="1"/>
  <c r="H19" i="39"/>
  <c r="U19" i="39" s="1"/>
  <c r="J19" i="39"/>
  <c r="W19" i="39"/>
  <c r="F43" i="39"/>
  <c r="H43" i="39"/>
  <c r="U43" i="39" s="1"/>
  <c r="J43" i="39"/>
  <c r="F99" i="37"/>
  <c r="U31" i="34"/>
  <c r="AC45" i="21"/>
  <c r="AB29" i="35"/>
  <c r="AC19" i="33"/>
  <c r="U43" i="34"/>
  <c r="AB43" i="34"/>
  <c r="AC34" i="37"/>
  <c r="AA32" i="21"/>
  <c r="S32" i="21"/>
  <c r="U38" i="21"/>
  <c r="AB34" i="21"/>
  <c r="BL571" i="3"/>
  <c r="F42" i="21"/>
  <c r="AA42" i="21" s="1"/>
  <c r="AB40" i="33"/>
  <c r="U40" i="33"/>
  <c r="AA35" i="34"/>
  <c r="E90" i="34"/>
  <c r="F90" i="34" s="1"/>
  <c r="G90" i="34" s="1"/>
  <c r="H90" i="34" s="1"/>
  <c r="I90" i="34" s="1"/>
  <c r="J90" i="34" s="1"/>
  <c r="K90" i="34" s="1"/>
  <c r="L90" i="34" s="1"/>
  <c r="M90" i="34" s="1"/>
  <c r="H27" i="34"/>
  <c r="AB27" i="34" s="1"/>
  <c r="AB8" i="35"/>
  <c r="U8" i="35"/>
  <c r="S9" i="35"/>
  <c r="J14" i="35"/>
  <c r="AC14" i="35" s="1"/>
  <c r="F14" i="35"/>
  <c r="S14" i="35" s="1"/>
  <c r="H14" i="35"/>
  <c r="U14" i="35"/>
  <c r="E94" i="35"/>
  <c r="F94" i="35" s="1"/>
  <c r="G94" i="35" s="1"/>
  <c r="H94" i="35" s="1"/>
  <c r="I94" i="35" s="1"/>
  <c r="J94" i="35" s="1"/>
  <c r="K94" i="35" s="1"/>
  <c r="L94" i="35" s="1"/>
  <c r="M94" i="35" s="1"/>
  <c r="J32" i="35"/>
  <c r="AC32" i="35"/>
  <c r="W16" i="36"/>
  <c r="AC16" i="36"/>
  <c r="F78" i="36"/>
  <c r="G78" i="36" s="1"/>
  <c r="H78" i="36" s="1"/>
  <c r="I78" i="36" s="1"/>
  <c r="J78" i="36" s="1"/>
  <c r="K78" i="36" s="1"/>
  <c r="L78" i="36" s="1"/>
  <c r="M78" i="36" s="1"/>
  <c r="F26" i="36"/>
  <c r="S26" i="36" s="1"/>
  <c r="U34" i="36"/>
  <c r="H33" i="36"/>
  <c r="U33" i="36" s="1"/>
  <c r="F33" i="36"/>
  <c r="AA33" i="36" s="1"/>
  <c r="H27" i="36"/>
  <c r="AB27" i="36" s="1"/>
  <c r="AA31" i="36"/>
  <c r="AC25" i="37"/>
  <c r="W26" i="37"/>
  <c r="AB29" i="37"/>
  <c r="AA30" i="37"/>
  <c r="AC30" i="37"/>
  <c r="W31"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A553" i="3"/>
  <c r="AZ553" i="3" s="1"/>
  <c r="BA552" i="3"/>
  <c r="BL549" i="3"/>
  <c r="AZ549" i="3" s="1"/>
  <c r="BA549" i="3"/>
  <c r="BL548" i="3"/>
  <c r="BA548" i="3"/>
  <c r="BL547" i="3"/>
  <c r="AZ547" i="3" s="1"/>
  <c r="BA547" i="3"/>
  <c r="BL539" i="3"/>
  <c r="BA539" i="3"/>
  <c r="BA538" i="3"/>
  <c r="BL537" i="3"/>
  <c r="BA537" i="3"/>
  <c r="BA535" i="3"/>
  <c r="BA534" i="3"/>
  <c r="BA533" i="3"/>
  <c r="AZ533" i="3" s="1"/>
  <c r="BL531" i="3"/>
  <c r="BL530" i="3"/>
  <c r="BA530" i="3"/>
  <c r="BL529" i="3"/>
  <c r="BA529" i="3"/>
  <c r="BL528" i="3"/>
  <c r="BA527" i="3"/>
  <c r="BA526" i="3"/>
  <c r="BA525" i="3"/>
  <c r="BL523" i="3"/>
  <c r="BA523" i="3"/>
  <c r="AZ523" i="3"/>
  <c r="BL522" i="3"/>
  <c r="BA522" i="3"/>
  <c r="AZ522" i="3" s="1"/>
  <c r="BL521" i="3"/>
  <c r="BA519" i="3"/>
  <c r="AZ519" i="3" s="1"/>
  <c r="BA518" i="3"/>
  <c r="AZ518" i="3" s="1"/>
  <c r="BL517" i="3"/>
  <c r="BA517" i="3"/>
  <c r="BL515" i="3"/>
  <c r="BA515" i="3"/>
  <c r="BA514" i="3"/>
  <c r="BL513" i="3"/>
  <c r="BA513" i="3"/>
  <c r="AZ513" i="3" s="1"/>
  <c r="BL512" i="3"/>
  <c r="BA511" i="3"/>
  <c r="BA510" i="3"/>
  <c r="BL509" i="3"/>
  <c r="BL507" i="3"/>
  <c r="BA507" i="3"/>
  <c r="BL506" i="3"/>
  <c r="BA506" i="3"/>
  <c r="AZ506" i="3"/>
  <c r="BL505" i="3"/>
  <c r="AZ505" i="3"/>
  <c r="BL504" i="3"/>
  <c r="BA504" i="3"/>
  <c r="BA503" i="3"/>
  <c r="AZ503" i="3"/>
  <c r="BA500" i="3"/>
  <c r="AZ500" i="3"/>
  <c r="BL499" i="3"/>
  <c r="BA499" i="3"/>
  <c r="AZ499" i="3" s="1"/>
  <c r="BL497" i="3"/>
  <c r="BA497" i="3"/>
  <c r="BL496" i="3"/>
  <c r="BA496" i="3"/>
  <c r="AZ496" i="3"/>
  <c r="BA495" i="3"/>
  <c r="BL494" i="3"/>
  <c r="BA494" i="3"/>
  <c r="AZ494" i="3" s="1"/>
  <c r="BA491" i="3"/>
  <c r="AZ491" i="3" s="1"/>
  <c r="BA490" i="3"/>
  <c r="BL489" i="3"/>
  <c r="BA489" i="3"/>
  <c r="AZ489" i="3"/>
  <c r="BL487" i="3"/>
  <c r="BL486" i="3"/>
  <c r="BA486" i="3"/>
  <c r="BA485" i="3"/>
  <c r="BA483" i="3"/>
  <c r="AZ483" i="3"/>
  <c r="BA482" i="3"/>
  <c r="BL481" i="3"/>
  <c r="BJ5" i="3"/>
  <c r="BA481" i="3"/>
  <c r="AZ481" i="3" s="1"/>
  <c r="BB5" i="3"/>
  <c r="BL19" i="3"/>
  <c r="BA18" i="3"/>
  <c r="F36" i="44"/>
  <c r="F114" i="34"/>
  <c r="G114" i="34" s="1"/>
  <c r="H114" i="34" s="1"/>
  <c r="I114" i="34" s="1"/>
  <c r="J114" i="34" s="1"/>
  <c r="K114" i="34" s="1"/>
  <c r="L114" i="34" s="1"/>
  <c r="M114" i="34" s="1"/>
  <c r="H38" i="34"/>
  <c r="U38" i="34" s="1"/>
  <c r="H30" i="40"/>
  <c r="AB30" i="40" s="1"/>
  <c r="J30" i="40"/>
  <c r="AC30" i="40" s="1"/>
  <c r="F38" i="40"/>
  <c r="AA38" i="40" s="1"/>
  <c r="AA36" i="34"/>
  <c r="U8" i="21"/>
  <c r="AB8" i="21"/>
  <c r="S34" i="21"/>
  <c r="AC36" i="21"/>
  <c r="AB8" i="33"/>
  <c r="U8" i="33"/>
  <c r="E106" i="33"/>
  <c r="H34" i="33"/>
  <c r="U34" i="33" s="1"/>
  <c r="F34" i="33"/>
  <c r="S34" i="33" s="1"/>
  <c r="F41" i="33"/>
  <c r="S41" i="33" s="1"/>
  <c r="AC34" i="34"/>
  <c r="AA39" i="34"/>
  <c r="S43" i="34"/>
  <c r="F15" i="34"/>
  <c r="AC28" i="35"/>
  <c r="W28" i="35"/>
  <c r="J20" i="35"/>
  <c r="AC20" i="35" s="1"/>
  <c r="E72" i="35"/>
  <c r="F72" i="35" s="1"/>
  <c r="G72" i="35" s="1"/>
  <c r="H22" i="35"/>
  <c r="AB22" i="35"/>
  <c r="H23" i="35"/>
  <c r="F23" i="35"/>
  <c r="AA23" i="35" s="1"/>
  <c r="AB36" i="35"/>
  <c r="U36" i="35"/>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AC41" i="40" s="1"/>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9" i="3"/>
  <c r="AZ403" i="3"/>
  <c r="AZ415" i="3"/>
  <c r="AZ431" i="3"/>
  <c r="AZ439" i="3"/>
  <c r="B41" i="1"/>
  <c r="F34" i="44" s="1"/>
  <c r="J42" i="40"/>
  <c r="AC42" i="40"/>
  <c r="J40" i="40"/>
  <c r="AC40" i="40"/>
  <c r="J34" i="40"/>
  <c r="AC34" i="40"/>
  <c r="H16" i="40"/>
  <c r="AB16" i="40"/>
  <c r="H14" i="40"/>
  <c r="U14" i="40"/>
  <c r="F32" i="40"/>
  <c r="AA32" i="40"/>
  <c r="AZ401" i="3"/>
  <c r="AZ428" i="3"/>
  <c r="AZ433" i="3"/>
  <c r="AZ441" i="3"/>
  <c r="AZ444" i="3"/>
  <c r="M1" i="46"/>
  <c r="M10" i="46"/>
  <c r="N5" i="46"/>
  <c r="F58" i="46"/>
  <c r="H61" i="46" s="1"/>
  <c r="N7" i="46"/>
  <c r="AZ461" i="3"/>
  <c r="AZ466" i="3"/>
  <c r="AZ477" i="3"/>
  <c r="AZ388" i="3"/>
  <c r="AZ207" i="3"/>
  <c r="AZ220" i="3"/>
  <c r="AZ223" i="3"/>
  <c r="AZ236" i="3"/>
  <c r="AZ247" i="3"/>
  <c r="AZ252" i="3"/>
  <c r="AZ263" i="3"/>
  <c r="AZ268" i="3"/>
  <c r="AZ281" i="3"/>
  <c r="AZ284" i="3"/>
  <c r="AZ121" i="3"/>
  <c r="AZ137" i="3"/>
  <c r="AZ152" i="3"/>
  <c r="M7" i="46"/>
  <c r="N3" i="46"/>
  <c r="N6" i="46"/>
  <c r="N10" i="46"/>
  <c r="AZ167" i="3"/>
  <c r="AZ180" i="3"/>
  <c r="AZ32" i="3"/>
  <c r="AZ40" i="3"/>
  <c r="AZ56" i="3"/>
  <c r="AZ79" i="3"/>
  <c r="AZ99" i="3"/>
  <c r="J13" i="40"/>
  <c r="W13" i="40" s="1"/>
  <c r="AB14" i="40"/>
  <c r="W40" i="40"/>
  <c r="F27" i="43"/>
  <c r="AC14" i="40"/>
  <c r="W35" i="40"/>
  <c r="S33" i="40"/>
  <c r="AB32" i="40"/>
  <c r="AC47" i="39"/>
  <c r="S47" i="39"/>
  <c r="AB25" i="39"/>
  <c r="AB37" i="34"/>
  <c r="W41" i="40"/>
  <c r="J23" i="40"/>
  <c r="AC23" i="40" s="1"/>
  <c r="F23" i="40"/>
  <c r="S23" i="40" s="1"/>
  <c r="AC15" i="40"/>
  <c r="W15" i="40"/>
  <c r="W27" i="39"/>
  <c r="S23" i="39"/>
  <c r="W14" i="39"/>
  <c r="U23" i="35"/>
  <c r="AB23" i="35"/>
  <c r="H20" i="35"/>
  <c r="F20" i="35"/>
  <c r="S20" i="35" s="1"/>
  <c r="H15" i="34"/>
  <c r="AB15" i="34" s="1"/>
  <c r="J15" i="34"/>
  <c r="W15" i="34" s="1"/>
  <c r="H41" i="33"/>
  <c r="U41" i="33"/>
  <c r="F30" i="40"/>
  <c r="AA30" i="40"/>
  <c r="H100" i="40"/>
  <c r="I100" i="40"/>
  <c r="J100" i="40" s="1"/>
  <c r="K100" i="40" s="1"/>
  <c r="L100" i="40" s="1"/>
  <c r="M100" i="40" s="1"/>
  <c r="AB38" i="34"/>
  <c r="AZ486" i="3"/>
  <c r="AZ497" i="3"/>
  <c r="AZ504" i="3"/>
  <c r="AZ515" i="3"/>
  <c r="AZ529" i="3"/>
  <c r="AZ530" i="3"/>
  <c r="AZ537" i="3"/>
  <c r="AZ548" i="3"/>
  <c r="AB37" i="39"/>
  <c r="U39" i="39"/>
  <c r="J29" i="39"/>
  <c r="AC29" i="39"/>
  <c r="AB21" i="39"/>
  <c r="U21" i="39"/>
  <c r="AB17" i="39"/>
  <c r="AB33" i="36"/>
  <c r="AA14" i="35"/>
  <c r="G99" i="37"/>
  <c r="H99" i="37" s="1"/>
  <c r="I99" i="37" s="1"/>
  <c r="J99" i="37" s="1"/>
  <c r="K99" i="37" s="1"/>
  <c r="L99" i="37" s="1"/>
  <c r="M99" i="37" s="1"/>
  <c r="F33" i="37"/>
  <c r="AB19" i="39"/>
  <c r="U46" i="34"/>
  <c r="AA14" i="34"/>
  <c r="U29" i="33"/>
  <c r="U17" i="34"/>
  <c r="AA11" i="34"/>
  <c r="W32" i="33"/>
  <c r="H15" i="33"/>
  <c r="U15" i="33" s="1"/>
  <c r="AA11" i="33"/>
  <c r="AA40" i="21"/>
  <c r="U17" i="21"/>
  <c r="S13" i="39"/>
  <c r="AA13" i="39"/>
  <c r="U16" i="40"/>
  <c r="W34" i="40"/>
  <c r="AB34" i="40"/>
  <c r="AB42" i="40"/>
  <c r="AC16" i="40"/>
  <c r="H25" i="40"/>
  <c r="AB25" i="40" s="1"/>
  <c r="U47" i="39"/>
  <c r="W15" i="39"/>
  <c r="J37" i="34"/>
  <c r="AC37" i="34" s="1"/>
  <c r="J36" i="33"/>
  <c r="W36" i="33" s="1"/>
  <c r="S41" i="40"/>
  <c r="AB23" i="40"/>
  <c r="U27" i="39"/>
  <c r="H23" i="39"/>
  <c r="AB23" i="39"/>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F80" i="35"/>
  <c r="G80" i="35" s="1"/>
  <c r="H80" i="35" s="1"/>
  <c r="I80" i="35" s="1"/>
  <c r="J80" i="35" s="1"/>
  <c r="K80" i="35" s="1"/>
  <c r="L80" i="35" s="1"/>
  <c r="M80" i="35" s="1"/>
  <c r="W14" i="35"/>
  <c r="F27" i="34"/>
  <c r="S27" i="34"/>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AC15" i="34"/>
  <c r="U20" i="35"/>
  <c r="AB20" i="35"/>
  <c r="AP11" i="1"/>
  <c r="B11" i="1"/>
  <c r="E11" i="1" s="1"/>
  <c r="K11" i="1"/>
  <c r="M11" i="1" s="1"/>
  <c r="O11" i="1" s="1"/>
  <c r="P11" i="1" s="1"/>
  <c r="B9" i="1"/>
  <c r="E9" i="1"/>
  <c r="K9" i="1"/>
  <c r="M9" i="1" s="1"/>
  <c r="B7" i="1"/>
  <c r="E7" i="1" s="1"/>
  <c r="K7" i="1"/>
  <c r="M7" i="1" s="1"/>
  <c r="O7" i="1" s="1"/>
  <c r="P7" i="1" s="1"/>
  <c r="C20" i="43"/>
  <c r="F6" i="1"/>
  <c r="AP6" i="1" s="1"/>
  <c r="M22" i="44"/>
  <c r="D86" i="9"/>
  <c r="AC25" i="36"/>
  <c r="S23" i="36"/>
  <c r="S8" i="36"/>
  <c r="AA26" i="36"/>
  <c r="AA28" i="36"/>
  <c r="H20" i="36"/>
  <c r="U20" i="36" s="1"/>
  <c r="F68" i="36"/>
  <c r="G68" i="36" s="1"/>
  <c r="J20" i="36"/>
  <c r="AC20" i="36" s="1"/>
  <c r="F20" i="36"/>
  <c r="S20" i="36" s="1"/>
  <c r="F62" i="36"/>
  <c r="G62" i="36" s="1"/>
  <c r="J14" i="36"/>
  <c r="AC14" i="36" s="1"/>
  <c r="H14" i="36"/>
  <c r="F14" i="36"/>
  <c r="AA14" i="36" s="1"/>
  <c r="U27"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F26" i="35"/>
  <c r="H26" i="35"/>
  <c r="AB26" i="35" s="1"/>
  <c r="AB9" i="37"/>
  <c r="W12" i="37"/>
  <c r="AA9" i="37"/>
  <c r="S17" i="37"/>
  <c r="W28" i="37"/>
  <c r="AB37" i="37"/>
  <c r="S33" i="37"/>
  <c r="AA33" i="37"/>
  <c r="U32" i="37"/>
  <c r="AA32" i="37"/>
  <c r="J33" i="37"/>
  <c r="W33" i="37" s="1"/>
  <c r="S29" i="37"/>
  <c r="J19" i="37"/>
  <c r="AC19" i="37" s="1"/>
  <c r="G75" i="37"/>
  <c r="F19" i="37"/>
  <c r="AA19" i="37" s="1"/>
  <c r="H19" i="37"/>
  <c r="U19" i="37" s="1"/>
  <c r="J17" i="37"/>
  <c r="S15" i="37"/>
  <c r="AC21" i="37"/>
  <c r="W21" i="37"/>
  <c r="AC11" i="37"/>
  <c r="W32" i="37"/>
  <c r="U35" i="37"/>
  <c r="U8" i="37"/>
  <c r="AB21" i="37"/>
  <c r="U21" i="37"/>
  <c r="S37" i="37"/>
  <c r="S40" i="37"/>
  <c r="AA11" i="37"/>
  <c r="S10" i="37"/>
  <c r="W46" i="34"/>
  <c r="AA40" i="34"/>
  <c r="W33" i="34"/>
  <c r="U30" i="34"/>
  <c r="AB33" i="34"/>
  <c r="AC35" i="34"/>
  <c r="AA30" i="34"/>
  <c r="AC32" i="34"/>
  <c r="U44" i="34"/>
  <c r="U34" i="34"/>
  <c r="U28" i="34"/>
  <c r="AA27" i="34"/>
  <c r="J25" i="34"/>
  <c r="AC25" i="34" s="1"/>
  <c r="H25" i="34"/>
  <c r="F25" i="34"/>
  <c r="S25" i="34" s="1"/>
  <c r="J23" i="34"/>
  <c r="F86" i="34"/>
  <c r="G86" i="34" s="1"/>
  <c r="F23" i="34"/>
  <c r="H23" i="34"/>
  <c r="AB23" i="34" s="1"/>
  <c r="AC11" i="34"/>
  <c r="U11" i="34"/>
  <c r="W10" i="34"/>
  <c r="U10" i="34"/>
  <c r="W37" i="34"/>
  <c r="W44" i="34"/>
  <c r="W19" i="34"/>
  <c r="W29" i="34"/>
  <c r="AC21" i="34"/>
  <c r="W21" i="34"/>
  <c r="AB21" i="34"/>
  <c r="U21" i="34"/>
  <c r="U27" i="34"/>
  <c r="U19" i="34"/>
  <c r="AB41" i="34"/>
  <c r="AA41" i="34"/>
  <c r="S9" i="34"/>
  <c r="S10" i="34"/>
  <c r="U37" i="33"/>
  <c r="W34" i="33"/>
  <c r="AC12" i="33"/>
  <c r="AB11" i="33"/>
  <c r="AB41" i="33"/>
  <c r="U36"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s="1"/>
  <c r="F17" i="33"/>
  <c r="S17" i="33" s="1"/>
  <c r="H17" i="33"/>
  <c r="J17" i="33"/>
  <c r="AC17" i="33" s="1"/>
  <c r="AB15" i="33"/>
  <c r="AC11" i="33"/>
  <c r="S14" i="33"/>
  <c r="AC21" i="33"/>
  <c r="W21" i="33"/>
  <c r="W14" i="33"/>
  <c r="U25" i="33"/>
  <c r="AB21" i="33"/>
  <c r="U21" i="33"/>
  <c r="AA21" i="33"/>
  <c r="S21" i="33"/>
  <c r="AA36" i="33"/>
  <c r="W39" i="21"/>
  <c r="W32" i="21"/>
  <c r="U35" i="21"/>
  <c r="W43" i="21"/>
  <c r="AA37" i="21"/>
  <c r="S42" i="21"/>
  <c r="AB37" i="21"/>
  <c r="AB32" i="21"/>
  <c r="AC26"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9" i="40" s="1"/>
  <c r="H39" i="40"/>
  <c r="U39" i="40" s="1"/>
  <c r="J39" i="40"/>
  <c r="W38" i="40"/>
  <c r="F29" i="40"/>
  <c r="H29" i="40"/>
  <c r="AB29" i="40" s="1"/>
  <c r="J29" i="40"/>
  <c r="F98" i="40"/>
  <c r="G98" i="40" s="1"/>
  <c r="H98" i="40" s="1"/>
  <c r="I98" i="40" s="1"/>
  <c r="J98" i="40" s="1"/>
  <c r="K98" i="40" s="1"/>
  <c r="L98" i="40" s="1"/>
  <c r="M98" i="40" s="1"/>
  <c r="S30" i="40"/>
  <c r="S25" i="40"/>
  <c r="F88" i="40"/>
  <c r="G88" i="40" s="1"/>
  <c r="F19" i="40"/>
  <c r="S19" i="40" s="1"/>
  <c r="H19" i="40"/>
  <c r="J19" i="40"/>
  <c r="AC19" i="40" s="1"/>
  <c r="W17" i="40"/>
  <c r="AC17" i="40"/>
  <c r="F17" i="40"/>
  <c r="AA17" i="40" s="1"/>
  <c r="H17" i="40"/>
  <c r="AB17" i="40" s="1"/>
  <c r="W21" i="40"/>
  <c r="AB40" i="40"/>
  <c r="U10" i="40"/>
  <c r="U27" i="40"/>
  <c r="AB27" i="40"/>
  <c r="AC44" i="39"/>
  <c r="S11" i="39"/>
  <c r="AB45" i="39"/>
  <c r="S27" i="39"/>
  <c r="AA21" i="39"/>
  <c r="AC19" i="39"/>
  <c r="W29" i="39"/>
  <c r="S29" i="39"/>
  <c r="AC21" i="39"/>
  <c r="AC17" i="39"/>
  <c r="S14" i="39"/>
  <c r="AB15" i="39"/>
  <c r="U11" i="39"/>
  <c r="U23" i="39"/>
  <c r="AB38" i="39"/>
  <c r="U31" i="39"/>
  <c r="AB31" i="39"/>
  <c r="S25" i="39"/>
  <c r="S38" i="39"/>
  <c r="S22" i="31"/>
  <c r="R22" i="31" s="1"/>
  <c r="B21" i="31" s="1"/>
  <c r="M20" i="15"/>
  <c r="D96" i="9"/>
  <c r="A18" i="64"/>
  <c r="B74" i="63" s="1"/>
  <c r="C53" i="10"/>
  <c r="A25" i="64" s="1"/>
  <c r="A18" i="51"/>
  <c r="B14" i="63" s="1"/>
  <c r="BA16" i="3"/>
  <c r="AZ16" i="3" s="1"/>
  <c r="BA17" i="3"/>
  <c r="AZ17" i="3"/>
  <c r="F3" i="35"/>
  <c r="K1" i="43"/>
  <c r="K1" i="12"/>
  <c r="G1" i="44"/>
  <c r="I4" i="6"/>
  <c r="AZ15" i="3"/>
  <c r="BO5" i="3"/>
  <c r="BN5" i="3"/>
  <c r="BL18" i="3"/>
  <c r="AZ18" i="3"/>
  <c r="E8" i="6"/>
  <c r="E53" i="40" s="1"/>
  <c r="BD5" i="3"/>
  <c r="BR5" i="3"/>
  <c r="BS5" i="3"/>
  <c r="BQ5" i="3"/>
  <c r="F28" i="6" s="1"/>
  <c r="BL16" i="3"/>
  <c r="BM5" i="3"/>
  <c r="G28" i="12"/>
  <c r="G22" i="43"/>
  <c r="G26" i="12"/>
  <c r="D24" i="44"/>
  <c r="D26" i="44"/>
  <c r="G27" i="12"/>
  <c r="G23" i="43"/>
  <c r="G21" i="43"/>
  <c r="N8" i="46"/>
  <c r="N4" i="46"/>
  <c r="N1" i="46"/>
  <c r="F69" i="46" s="1"/>
  <c r="F47" i="46"/>
  <c r="M9" i="46"/>
  <c r="M2" i="46"/>
  <c r="N11" i="46"/>
  <c r="N9" i="46"/>
  <c r="M4" i="46"/>
  <c r="M12" i="46"/>
  <c r="M8" i="46"/>
  <c r="M3" i="46"/>
  <c r="M5" i="46"/>
  <c r="H6" i="48"/>
  <c r="H15" i="48"/>
  <c r="H5" i="48"/>
  <c r="H14" i="48"/>
  <c r="F36" i="46"/>
  <c r="F39" i="46"/>
  <c r="H13" i="48"/>
  <c r="H11" i="48"/>
  <c r="D71" i="46"/>
  <c r="D84" i="46"/>
  <c r="D69" i="46"/>
  <c r="E69" i="46" s="1"/>
  <c r="B67" i="46" s="1"/>
  <c r="E47" i="46"/>
  <c r="B45" i="46" s="1"/>
  <c r="E58" i="46"/>
  <c r="B56" i="46" s="1"/>
  <c r="A4" i="64"/>
  <c r="A4" i="51"/>
  <c r="B6" i="63" s="1"/>
  <c r="C51" i="10"/>
  <c r="I100" i="46"/>
  <c r="N100" i="46"/>
  <c r="H100" i="46"/>
  <c r="F108" i="46"/>
  <c r="E100" i="46"/>
  <c r="G100" i="46"/>
  <c r="C100" i="46"/>
  <c r="J100" i="46"/>
  <c r="M100" i="46"/>
  <c r="AB12" i="35"/>
  <c r="AA11" i="35"/>
  <c r="U13" i="37"/>
  <c r="C24" i="9"/>
  <c r="C25" i="9"/>
  <c r="G8" i="1"/>
  <c r="L5" i="54"/>
  <c r="B39" i="63" s="1"/>
  <c r="K5" i="54"/>
  <c r="B38" i="63" s="1"/>
  <c r="T41" i="4"/>
  <c r="A17" i="64" s="1"/>
  <c r="B46" i="50"/>
  <c r="B4" i="63" s="1"/>
  <c r="C46" i="36"/>
  <c r="C52" i="37"/>
  <c r="D52" i="37" s="1"/>
  <c r="E52" i="37" s="1"/>
  <c r="F52" i="37" s="1"/>
  <c r="G52" i="37" s="1"/>
  <c r="H52" i="37" s="1"/>
  <c r="I52" i="37" s="1"/>
  <c r="J52" i="37" s="1"/>
  <c r="K52" i="37" s="1"/>
  <c r="O19" i="46"/>
  <c r="A22" i="51"/>
  <c r="B16" i="63" s="1"/>
  <c r="H10" i="48"/>
  <c r="K10" i="1"/>
  <c r="M10" i="1" s="1"/>
  <c r="O10" i="1" s="1"/>
  <c r="P10" i="1" s="1"/>
  <c r="S11" i="1"/>
  <c r="R11" i="1"/>
  <c r="S13" i="1"/>
  <c r="R13" i="1"/>
  <c r="B6" i="1"/>
  <c r="E6" i="1" s="1"/>
  <c r="B10" i="1"/>
  <c r="E10" i="1"/>
  <c r="S10" i="1"/>
  <c r="B8" i="1"/>
  <c r="E8" i="1" s="1"/>
  <c r="B12" i="1"/>
  <c r="E12" i="1" s="1"/>
  <c r="S12" i="1"/>
  <c r="G1" i="15"/>
  <c r="F66" i="36"/>
  <c r="H18" i="36"/>
  <c r="AB18" i="36" s="1"/>
  <c r="U16" i="36"/>
  <c r="S25" i="36"/>
  <c r="U23" i="36"/>
  <c r="AC27" i="36"/>
  <c r="W28" i="36"/>
  <c r="AA32" i="36"/>
  <c r="U13" i="36"/>
  <c r="AA22" i="36"/>
  <c r="U10" i="36"/>
  <c r="AA13" i="36"/>
  <c r="W8" i="36"/>
  <c r="U24" i="35"/>
  <c r="W32" i="35"/>
  <c r="S24" i="35"/>
  <c r="AA33" i="35"/>
  <c r="U32" i="35"/>
  <c r="W22" i="35"/>
  <c r="W34" i="35"/>
  <c r="S32" i="35"/>
  <c r="W35" i="37"/>
  <c r="U33" i="37"/>
  <c r="AA13" i="37"/>
  <c r="S12" i="37"/>
  <c r="W38" i="37"/>
  <c r="W36" i="37"/>
  <c r="S28" i="37"/>
  <c r="W13" i="37"/>
  <c r="U38" i="37"/>
  <c r="S26" i="37"/>
  <c r="AA31" i="34"/>
  <c r="W47" i="34"/>
  <c r="AB29" i="34"/>
  <c r="AB47" i="34"/>
  <c r="AC13" i="34"/>
  <c r="S47" i="34"/>
  <c r="AA29" i="34"/>
  <c r="S8" i="34"/>
  <c r="AC25" i="33"/>
  <c r="S43" i="33"/>
  <c r="AB42" i="33"/>
  <c r="S26" i="33"/>
  <c r="AB12" i="33"/>
  <c r="S15" i="33"/>
  <c r="S39" i="21"/>
  <c r="AB25" i="21"/>
  <c r="W25" i="21"/>
  <c r="AA25" i="21"/>
  <c r="AC37" i="21"/>
  <c r="U27" i="21"/>
  <c r="W31" i="21"/>
  <c r="S27" i="21"/>
  <c r="AC27"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A20" i="36"/>
  <c r="W14" i="36"/>
  <c r="U14" i="36"/>
  <c r="AB14" i="36"/>
  <c r="U18" i="36"/>
  <c r="AA26" i="35"/>
  <c r="S26" i="35"/>
  <c r="U26" i="35"/>
  <c r="W26" i="35"/>
  <c r="S19" i="37"/>
  <c r="W19" i="37"/>
  <c r="AB19" i="37"/>
  <c r="AC17" i="37"/>
  <c r="W17" i="37"/>
  <c r="U25" i="34"/>
  <c r="AB25" i="34"/>
  <c r="AA25" i="34"/>
  <c r="W25" i="34"/>
  <c r="U23" i="34"/>
  <c r="AA23" i="34"/>
  <c r="S23" i="34"/>
  <c r="AC23" i="34"/>
  <c r="W23" i="34"/>
  <c r="AA25" i="33"/>
  <c r="U23" i="33"/>
  <c r="AB23" i="33"/>
  <c r="W23" i="33"/>
  <c r="AC23" i="33"/>
  <c r="S23" i="33"/>
  <c r="W17" i="33"/>
  <c r="AA17" i="33"/>
  <c r="U17" i="33"/>
  <c r="AB17" i="33"/>
  <c r="U23" i="21"/>
  <c r="AB23" i="21"/>
  <c r="AA23" i="21"/>
  <c r="U15" i="21"/>
  <c r="AB15" i="21"/>
  <c r="W15" i="21"/>
  <c r="AB39" i="40"/>
  <c r="AC39" i="40"/>
  <c r="W39" i="40"/>
  <c r="AA39" i="40"/>
  <c r="U37" i="40"/>
  <c r="AB37" i="40"/>
  <c r="AA37" i="40"/>
  <c r="S37" i="40"/>
  <c r="U29" i="40"/>
  <c r="AC29" i="40"/>
  <c r="W29" i="40"/>
  <c r="AA29" i="40"/>
  <c r="S29" i="40"/>
  <c r="W19" i="40"/>
  <c r="AA19" i="40"/>
  <c r="AB19" i="40"/>
  <c r="U19" i="40"/>
  <c r="AC27" i="40"/>
  <c r="W27" i="40"/>
  <c r="W31" i="39"/>
  <c r="AC31" i="39"/>
  <c r="B20" i="31"/>
  <c r="A17" i="51"/>
  <c r="B13" i="63" s="1"/>
  <c r="E58" i="39"/>
  <c r="E5" i="6"/>
  <c r="D12" i="11" s="1"/>
  <c r="C12" i="11" s="1"/>
  <c r="AT6" i="3"/>
  <c r="A9" i="64"/>
  <c r="A9" i="51"/>
  <c r="B9" i="63" s="1"/>
  <c r="A3" i="55"/>
  <c r="B56" i="63" s="1"/>
  <c r="G66" i="36"/>
  <c r="J18" i="36"/>
  <c r="W18" i="36" s="1"/>
  <c r="AE8" i="1"/>
  <c r="AE7" i="1"/>
  <c r="AC18" i="36"/>
  <c r="AG6" i="1"/>
  <c r="L20" i="6"/>
  <c r="S7" i="1"/>
  <c r="S8" i="1"/>
  <c r="S9" i="1"/>
  <c r="R9" i="1"/>
  <c r="R7" i="1"/>
  <c r="R8" i="1"/>
  <c r="C45" i="9"/>
  <c r="H14" i="66"/>
  <c r="B7" i="66" s="1"/>
  <c r="C44" i="9"/>
  <c r="G14" i="66" s="1"/>
  <c r="B6" i="66" s="1"/>
  <c r="O40" i="9"/>
  <c r="K31" i="9" s="1"/>
  <c r="K32" i="9" s="1"/>
  <c r="R7" i="54"/>
  <c r="B52" i="63" s="1"/>
  <c r="N69" i="9"/>
  <c r="M86" i="9" s="1"/>
  <c r="N86" i="9" s="1"/>
  <c r="K29" i="9"/>
  <c r="K30" i="9" s="1"/>
  <c r="N76" i="9"/>
  <c r="C46" i="9"/>
  <c r="K33" i="9" s="1"/>
  <c r="K34" i="9" s="1"/>
  <c r="O41" i="9"/>
  <c r="R8" i="54" s="1"/>
  <c r="B54" i="63" s="1"/>
  <c r="J17" i="46"/>
  <c r="F34" i="46"/>
  <c r="F37" i="46"/>
  <c r="H49" i="46"/>
  <c r="H53" i="46"/>
  <c r="D16" i="59"/>
  <c r="C15" i="59"/>
  <c r="D15" i="59"/>
  <c r="U13" i="59"/>
  <c r="F16" i="59"/>
  <c r="F15" i="59" s="1"/>
  <c r="F14" i="59" s="1"/>
  <c r="F13" i="59" s="1"/>
  <c r="H1" i="65"/>
  <c r="H51" i="46"/>
  <c r="X7" i="46"/>
  <c r="N17" i="46"/>
  <c r="M17" i="46"/>
  <c r="P12" i="1"/>
  <c r="AP7" i="1"/>
  <c r="G13" i="1"/>
  <c r="D46" i="36"/>
  <c r="H50" i="46"/>
  <c r="H48" i="46"/>
  <c r="F35" i="46"/>
  <c r="H63" i="46"/>
  <c r="H66" i="46"/>
  <c r="D100" i="46"/>
  <c r="H62" i="46"/>
  <c r="AF12" i="46"/>
  <c r="K100" i="46"/>
  <c r="AB12" i="46"/>
  <c r="AJ12" i="46"/>
  <c r="H59" i="46"/>
  <c r="H55" i="46"/>
  <c r="H54" i="46"/>
  <c r="H52" i="46"/>
  <c r="H47" i="46"/>
  <c r="AD12" i="46"/>
  <c r="AH12" i="46"/>
  <c r="C14" i="59"/>
  <c r="C13" i="59" s="1"/>
  <c r="C12" i="59" s="1"/>
  <c r="E46" i="36"/>
  <c r="C7" i="46"/>
  <c r="F46" i="36"/>
  <c r="G46" i="36" s="1"/>
  <c r="H46" i="36" s="1"/>
  <c r="N5" i="65"/>
  <c r="M27" i="15"/>
  <c r="E12" i="67"/>
  <c r="F10" i="44"/>
  <c r="J6" i="65"/>
  <c r="B13" i="67"/>
  <c r="M9" i="15"/>
  <c r="F6" i="15"/>
  <c r="J5" i="65"/>
  <c r="F26" i="15"/>
  <c r="M22" i="15"/>
  <c r="B12" i="67"/>
  <c r="E13" i="67"/>
  <c r="L47" i="15"/>
  <c r="E10" i="67"/>
  <c r="M8" i="44"/>
  <c r="N3" i="65"/>
  <c r="M26" i="15"/>
  <c r="L48" i="15"/>
  <c r="I7" i="65"/>
  <c r="N7" i="65"/>
  <c r="F13" i="15"/>
  <c r="F12" i="67"/>
  <c r="I3" i="65"/>
  <c r="F14" i="67"/>
  <c r="F38" i="15"/>
  <c r="J3" i="65"/>
  <c r="I6" i="65"/>
  <c r="M23" i="15"/>
  <c r="L48" i="44"/>
  <c r="E8" i="67"/>
  <c r="B11" i="67"/>
  <c r="F13" i="67"/>
  <c r="J4" i="65"/>
  <c r="E11" i="67"/>
  <c r="M29" i="44"/>
  <c r="F42" i="15"/>
  <c r="M24" i="15"/>
  <c r="J15" i="15"/>
  <c r="B10" i="67"/>
  <c r="J36" i="15"/>
  <c r="M30" i="44"/>
  <c r="F9" i="15"/>
  <c r="F11" i="67"/>
  <c r="I4" i="65"/>
  <c r="F43" i="44"/>
  <c r="F16" i="15"/>
  <c r="F36" i="15"/>
  <c r="F37" i="15"/>
  <c r="F18" i="44"/>
  <c r="F40" i="15"/>
  <c r="E14" i="67"/>
  <c r="J7" i="65"/>
  <c r="M28" i="15"/>
  <c r="F8" i="44"/>
  <c r="M8" i="15"/>
  <c r="M6" i="15"/>
  <c r="M25" i="44"/>
  <c r="N4" i="65"/>
  <c r="F9" i="44"/>
  <c r="F8" i="15"/>
  <c r="E9" i="67"/>
  <c r="M31" i="44"/>
  <c r="F46" i="44"/>
  <c r="B9" i="67"/>
  <c r="F10" i="67"/>
  <c r="M10" i="44"/>
  <c r="I5" i="65"/>
  <c r="F9" i="67"/>
  <c r="F8" i="67"/>
  <c r="B8" i="67"/>
  <c r="B14" i="67"/>
  <c r="N6" i="65"/>
  <c r="C11" i="59" l="1"/>
  <c r="C10" i="59" s="1"/>
  <c r="C9" i="59" s="1"/>
  <c r="D9" i="59" s="1"/>
  <c r="D12" i="59"/>
  <c r="AZ512" i="3"/>
  <c r="S27" i="33"/>
  <c r="AA27" i="33"/>
  <c r="U36" i="34"/>
  <c r="AB36" i="34"/>
  <c r="AB39" i="37"/>
  <c r="U39" i="37"/>
  <c r="AA26" i="21"/>
  <c r="S26" i="21"/>
  <c r="U10" i="21"/>
  <c r="AB10" i="21"/>
  <c r="BA572" i="3"/>
  <c r="AZ572" i="3" s="1"/>
  <c r="BA571" i="3"/>
  <c r="AZ571" i="3" s="1"/>
  <c r="BA570" i="3"/>
  <c r="BT5" i="3"/>
  <c r="BI5" i="3"/>
  <c r="BG5" i="3"/>
  <c r="BE5" i="3"/>
  <c r="W35" i="21"/>
  <c r="AC35" i="21"/>
  <c r="F12" i="21"/>
  <c r="J12" i="21"/>
  <c r="J44" i="21"/>
  <c r="H44" i="21"/>
  <c r="F44" i="21"/>
  <c r="H46" i="21"/>
  <c r="J46" i="21"/>
  <c r="F46" i="21"/>
  <c r="AC8" i="34"/>
  <c r="W8" i="34"/>
  <c r="U39" i="34"/>
  <c r="AB39" i="34"/>
  <c r="U27" i="37"/>
  <c r="AB27" i="37"/>
  <c r="BL558" i="3"/>
  <c r="AZ558" i="3"/>
  <c r="AZ555" i="3"/>
  <c r="AZ554" i="3"/>
  <c r="BL538" i="3"/>
  <c r="AZ538" i="3" s="1"/>
  <c r="BL510" i="3"/>
  <c r="AZ510" i="3" s="1"/>
  <c r="BL502" i="3"/>
  <c r="G28" i="6"/>
  <c r="E28" i="6" s="1"/>
  <c r="K14" i="1" s="1"/>
  <c r="M14" i="1" s="1"/>
  <c r="AA10" i="35"/>
  <c r="S10" i="35"/>
  <c r="W14" i="37"/>
  <c r="AC14" i="37"/>
  <c r="AC31" i="34"/>
  <c r="W31" i="34"/>
  <c r="S30" i="33"/>
  <c r="AA30" i="33"/>
  <c r="U28" i="36"/>
  <c r="AB28" i="36"/>
  <c r="U13" i="21"/>
  <c r="AB13" i="21"/>
  <c r="AA28" i="33"/>
  <c r="S28" i="33"/>
  <c r="AB28" i="21"/>
  <c r="U28" i="21"/>
  <c r="U10" i="35"/>
  <c r="AB10" i="35"/>
  <c r="U33" i="21"/>
  <c r="AB33" i="21"/>
  <c r="D14" i="59"/>
  <c r="I14" i="66"/>
  <c r="B8" i="66" s="1"/>
  <c r="AB20" i="36"/>
  <c r="W29" i="21"/>
  <c r="AA15" i="21"/>
  <c r="AA29" i="21"/>
  <c r="AB45" i="21"/>
  <c r="AB14" i="33"/>
  <c r="AA19" i="33"/>
  <c r="S19" i="34"/>
  <c r="AB13" i="34"/>
  <c r="AB35" i="34"/>
  <c r="AB28" i="37"/>
  <c r="AC15" i="37"/>
  <c r="AC33" i="37"/>
  <c r="AC30" i="35"/>
  <c r="W29" i="36"/>
  <c r="S13" i="21"/>
  <c r="S14" i="37"/>
  <c r="BA13" i="3"/>
  <c r="BC5" i="3"/>
  <c r="E15" i="6" s="1"/>
  <c r="M18" i="15"/>
  <c r="U41" i="39"/>
  <c r="AC38" i="39"/>
  <c r="W13" i="39"/>
  <c r="AA23" i="40"/>
  <c r="S38" i="40"/>
  <c r="U33" i="40"/>
  <c r="W28" i="21"/>
  <c r="AC34" i="21"/>
  <c r="AA44" i="33"/>
  <c r="AB10" i="33"/>
  <c r="W10" i="33"/>
  <c r="S10" i="33"/>
  <c r="AC35" i="33"/>
  <c r="S35" i="33"/>
  <c r="U39" i="33"/>
  <c r="S13" i="34"/>
  <c r="U15" i="34"/>
  <c r="AC40" i="34"/>
  <c r="W17" i="34"/>
  <c r="AA33" i="34"/>
  <c r="AA12" i="34"/>
  <c r="S32" i="34"/>
  <c r="AC45" i="34"/>
  <c r="AB25" i="37"/>
  <c r="AC9" i="37"/>
  <c r="AC10" i="37"/>
  <c r="AA31" i="37"/>
  <c r="AA20" i="35"/>
  <c r="W20" i="36"/>
  <c r="U25" i="36"/>
  <c r="F31" i="43"/>
  <c r="C31" i="43" s="1"/>
  <c r="F29" i="12"/>
  <c r="W23" i="40"/>
  <c r="S32" i="33"/>
  <c r="AA34" i="33"/>
  <c r="W32" i="40"/>
  <c r="AC13" i="33"/>
  <c r="W12" i="34"/>
  <c r="AC30" i="34"/>
  <c r="AA29" i="35"/>
  <c r="AB16" i="39"/>
  <c r="U41" i="40"/>
  <c r="F71" i="9"/>
  <c r="S35" i="21"/>
  <c r="AZ511" i="3"/>
  <c r="AZ514" i="3"/>
  <c r="AZ526" i="3"/>
  <c r="AZ528" i="3"/>
  <c r="AZ535" i="3"/>
  <c r="AZ552" i="3"/>
  <c r="AA35" i="37"/>
  <c r="S14" i="21"/>
  <c r="W40" i="37"/>
  <c r="U25" i="35"/>
  <c r="AC5" i="3"/>
  <c r="AB12" i="21"/>
  <c r="AC29" i="33"/>
  <c r="U32" i="33"/>
  <c r="AZ323" i="3"/>
  <c r="AZ178" i="3"/>
  <c r="AB44" i="33"/>
  <c r="W23" i="37"/>
  <c r="AC23" i="37"/>
  <c r="W41" i="34"/>
  <c r="AC41" i="34"/>
  <c r="AA42" i="33"/>
  <c r="S42" i="33"/>
  <c r="U17" i="37"/>
  <c r="AB17" i="37"/>
  <c r="AZ502" i="3"/>
  <c r="AZ550" i="3"/>
  <c r="AZ560" i="3"/>
  <c r="AZ551" i="3"/>
  <c r="AB31" i="33"/>
  <c r="AB31" i="21"/>
  <c r="W27" i="37"/>
  <c r="AC27" i="37"/>
  <c r="AC35" i="35"/>
  <c r="W35" i="35"/>
  <c r="AA25" i="35"/>
  <c r="S25" i="35"/>
  <c r="AA45" i="34"/>
  <c r="S45" i="34"/>
  <c r="AC46" i="33"/>
  <c r="W46" i="33"/>
  <c r="S45" i="33"/>
  <c r="AA45" i="33"/>
  <c r="S13" i="33"/>
  <c r="AA13" i="33"/>
  <c r="AC27" i="33"/>
  <c r="W27" i="33"/>
  <c r="AA45" i="21"/>
  <c r="S45" i="21"/>
  <c r="J30" i="21"/>
  <c r="F28" i="21"/>
  <c r="H14" i="21"/>
  <c r="S44" i="34"/>
  <c r="AA44" i="34"/>
  <c r="U16" i="35"/>
  <c r="AB16" i="35"/>
  <c r="AA24" i="36"/>
  <c r="S24" i="36"/>
  <c r="AB9" i="21"/>
  <c r="U9" i="21"/>
  <c r="AC9" i="21"/>
  <c r="W9" i="21"/>
  <c r="S38" i="21"/>
  <c r="AA38" i="21"/>
  <c r="S9" i="21"/>
  <c r="AA9" i="21"/>
  <c r="H28" i="33"/>
  <c r="J28" i="33"/>
  <c r="AC39" i="34"/>
  <c r="W39" i="34"/>
  <c r="AZ569" i="3"/>
  <c r="AZ545" i="3"/>
  <c r="BL542" i="3"/>
  <c r="AZ542" i="3" s="1"/>
  <c r="G542" i="3"/>
  <c r="AZ541" i="3"/>
  <c r="BL520" i="3"/>
  <c r="AZ520" i="3" s="1"/>
  <c r="BL508" i="3"/>
  <c r="AZ508" i="3"/>
  <c r="G506" i="3"/>
  <c r="AZ19" i="3"/>
  <c r="AZ490" i="3"/>
  <c r="AZ507" i="3"/>
  <c r="AZ517" i="3"/>
  <c r="AZ521" i="3"/>
  <c r="AZ525" i="3"/>
  <c r="AZ527" i="3"/>
  <c r="AZ531" i="3"/>
  <c r="AZ539" i="3"/>
  <c r="AZ568" i="3"/>
  <c r="AB14" i="37"/>
  <c r="F11" i="36"/>
  <c r="H11" i="36"/>
  <c r="J11" i="35"/>
  <c r="S12" i="35"/>
  <c r="AC10" i="36"/>
  <c r="AA13" i="40"/>
  <c r="AZ356" i="3"/>
  <c r="AZ340" i="3"/>
  <c r="AZ332" i="3"/>
  <c r="AZ324" i="3"/>
  <c r="AZ373" i="3"/>
  <c r="AZ365" i="3"/>
  <c r="AZ358" i="3"/>
  <c r="AZ338" i="3"/>
  <c r="AZ299" i="3"/>
  <c r="AZ126" i="3"/>
  <c r="AB10" i="37"/>
  <c r="AC12" i="35"/>
  <c r="BL482" i="3"/>
  <c r="AZ482" i="3" s="1"/>
  <c r="BL492" i="3"/>
  <c r="AZ492" i="3" s="1"/>
  <c r="BL516" i="3"/>
  <c r="AZ516" i="3" s="1"/>
  <c r="BL526" i="3"/>
  <c r="BL534" i="3"/>
  <c r="AZ534" i="3" s="1"/>
  <c r="BL544" i="3"/>
  <c r="AZ544" i="3" s="1"/>
  <c r="BL562" i="3"/>
  <c r="AZ562" i="3" s="1"/>
  <c r="H32" i="36"/>
  <c r="AB30" i="36"/>
  <c r="AB8" i="36"/>
  <c r="F34" i="36"/>
  <c r="F12" i="36"/>
  <c r="U29" i="36"/>
  <c r="J34" i="36"/>
  <c r="AB27" i="35"/>
  <c r="U31" i="35"/>
  <c r="U26" i="36"/>
  <c r="W23" i="36"/>
  <c r="W39" i="37"/>
  <c r="F25" i="37"/>
  <c r="H26" i="37"/>
  <c r="G555" i="3"/>
  <c r="G543" i="3"/>
  <c r="G535" i="3"/>
  <c r="G528" i="3"/>
  <c r="G520" i="3"/>
  <c r="G511" i="3"/>
  <c r="G500" i="3"/>
  <c r="G490" i="3"/>
  <c r="G482" i="3"/>
  <c r="G15" i="3"/>
  <c r="K145" i="21"/>
  <c r="AZ420" i="3"/>
  <c r="AZ432" i="3"/>
  <c r="AZ264" i="3"/>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AZ478" i="3" s="1"/>
  <c r="BA297" i="3"/>
  <c r="AZ297" i="3" s="1"/>
  <c r="BA301" i="3"/>
  <c r="AZ301" i="3" s="1"/>
  <c r="BL306" i="3"/>
  <c r="AZ306" i="3" s="1"/>
  <c r="G311" i="3"/>
  <c r="BL312" i="3"/>
  <c r="AZ312" i="3" s="1"/>
  <c r="BA315" i="3"/>
  <c r="AZ315" i="3" s="1"/>
  <c r="BL319" i="3"/>
  <c r="AZ319" i="3" s="1"/>
  <c r="G325" i="3"/>
  <c r="BL326" i="3"/>
  <c r="AZ326" i="3" s="1"/>
  <c r="BL332" i="3"/>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BA174" i="3"/>
  <c r="AZ174" i="3" s="1"/>
  <c r="BL175" i="3"/>
  <c r="AZ175" i="3" s="1"/>
  <c r="BA176" i="3"/>
  <c r="AZ176" i="3" s="1"/>
  <c r="BA177" i="3"/>
  <c r="AZ177" i="3" s="1"/>
  <c r="BL178" i="3"/>
  <c r="G183" i="3"/>
  <c r="G184" i="3"/>
  <c r="G187" i="3"/>
  <c r="G188" i="3"/>
  <c r="G191" i="3"/>
  <c r="G192" i="3"/>
  <c r="AZ156" i="3"/>
  <c r="AZ172" i="3"/>
  <c r="AZ89" i="3"/>
  <c r="AZ105" i="3"/>
  <c r="AA26" i="59"/>
  <c r="E27" i="59"/>
  <c r="E28" i="59" s="1"/>
  <c r="E29" i="59" s="1"/>
  <c r="U29" i="59" s="1"/>
  <c r="T65" i="59"/>
  <c r="C64" i="59"/>
  <c r="D65" i="59"/>
  <c r="B16" i="59"/>
  <c r="B15" i="59" s="1"/>
  <c r="B14" i="59" s="1"/>
  <c r="B13" i="59" s="1"/>
  <c r="B12" i="59" s="1"/>
  <c r="B11" i="59" s="1"/>
  <c r="B10" i="59" s="1"/>
  <c r="B9" i="59" s="1"/>
  <c r="S17" i="59"/>
  <c r="G195" i="3"/>
  <c r="G196" i="3"/>
  <c r="G199" i="3"/>
  <c r="G200" i="3"/>
  <c r="G202" i="3"/>
  <c r="BL202" i="3"/>
  <c r="G21" i="3"/>
  <c r="BL21" i="3"/>
  <c r="BA22" i="3"/>
  <c r="AZ22" i="3" s="1"/>
  <c r="BA23" i="3"/>
  <c r="AZ23" i="3" s="1"/>
  <c r="BA24" i="3"/>
  <c r="AZ24" i="3" s="1"/>
  <c r="G27" i="3"/>
  <c r="G28" i="3"/>
  <c r="BL28" i="3"/>
  <c r="BA29" i="3"/>
  <c r="AZ29" i="3" s="1"/>
  <c r="BL31" i="3"/>
  <c r="AZ31" i="3" s="1"/>
  <c r="G34" i="3"/>
  <c r="BL34" i="3"/>
  <c r="BL36" i="3"/>
  <c r="BL5" i="3" s="1"/>
  <c r="BA37" i="3"/>
  <c r="AZ37" i="3" s="1"/>
  <c r="BL39" i="3"/>
  <c r="AZ39" i="3" s="1"/>
  <c r="G42" i="3"/>
  <c r="BL42" i="3"/>
  <c r="AZ42" i="3" s="1"/>
  <c r="BA44" i="3"/>
  <c r="AZ44" i="3" s="1"/>
  <c r="BA46" i="3"/>
  <c r="AZ46" i="3" s="1"/>
  <c r="BA47" i="3"/>
  <c r="AZ47" i="3" s="1"/>
  <c r="BA48" i="3"/>
  <c r="AZ48" i="3" s="1"/>
  <c r="G51" i="3"/>
  <c r="G52" i="3"/>
  <c r="BL52" i="3"/>
  <c r="AZ52" i="3" s="1"/>
  <c r="BA53" i="3"/>
  <c r="AZ53" i="3" s="1"/>
  <c r="BL55" i="3"/>
  <c r="AZ55" i="3" s="1"/>
  <c r="G58" i="3"/>
  <c r="BL58" i="3"/>
  <c r="AZ58" i="3" s="1"/>
  <c r="BA60" i="3"/>
  <c r="AZ60" i="3" s="1"/>
  <c r="BA62" i="3"/>
  <c r="AZ62" i="3" s="1"/>
  <c r="BA63" i="3"/>
  <c r="AZ63" i="3" s="1"/>
  <c r="BA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K13" i="1"/>
  <c r="M13" i="1" s="1"/>
  <c r="C45" i="59"/>
  <c r="D76" i="59"/>
  <c r="B59" i="59"/>
  <c r="C52" i="59"/>
  <c r="X3" i="59"/>
  <c r="AA22" i="59"/>
  <c r="AA23" i="59"/>
  <c r="AA24" i="59"/>
  <c r="AA25" i="59"/>
  <c r="AB26" i="59"/>
  <c r="F27" i="59"/>
  <c r="F28" i="59" s="1"/>
  <c r="F29" i="59" s="1"/>
  <c r="V29" i="59" s="1"/>
  <c r="C40" i="59"/>
  <c r="D40" i="59" s="1"/>
  <c r="D39" i="59"/>
  <c r="F59" i="59"/>
  <c r="Q59" i="59" s="1"/>
  <c r="Q60" i="59"/>
  <c r="N16" i="4"/>
  <c r="K17" i="4" s="1"/>
  <c r="X22" i="59"/>
  <c r="AB22" i="59"/>
  <c r="Y23" i="59"/>
  <c r="Z23" i="59" s="1"/>
  <c r="AB23" i="59"/>
  <c r="Y24" i="59"/>
  <c r="Z24" i="59" s="1"/>
  <c r="AB24" i="59"/>
  <c r="Y25" i="59"/>
  <c r="Z25" i="59" s="1"/>
  <c r="AB25" i="59"/>
  <c r="X26" i="59"/>
  <c r="X27" i="59"/>
  <c r="AA27" i="59"/>
  <c r="X28" i="59"/>
  <c r="AA28" i="59"/>
  <c r="X29" i="59"/>
  <c r="AA29" i="59"/>
  <c r="X30" i="59"/>
  <c r="AC12" i="46"/>
  <c r="Z12" i="46"/>
  <c r="D17" i="59"/>
  <c r="S13" i="59"/>
  <c r="F12" i="59"/>
  <c r="F11" i="59" s="1"/>
  <c r="F10" i="59" s="1"/>
  <c r="F9" i="59" s="1"/>
  <c r="V13" i="59"/>
  <c r="AZ484" i="3"/>
  <c r="AZ570" i="3"/>
  <c r="D10" i="59"/>
  <c r="D11" i="59"/>
  <c r="D13" i="59"/>
  <c r="T13" i="59"/>
  <c r="M83" i="9"/>
  <c r="N83" i="9" s="1"/>
  <c r="N89" i="9" s="1"/>
  <c r="O89" i="9" s="1"/>
  <c r="M85" i="9"/>
  <c r="N85" i="9" s="1"/>
  <c r="M87" i="9"/>
  <c r="N87" i="9" s="1"/>
  <c r="M88" i="9"/>
  <c r="N88" i="9" s="1"/>
  <c r="M84" i="9"/>
  <c r="N84" i="9" s="1"/>
  <c r="O39" i="9"/>
  <c r="R6" i="54" s="1"/>
  <c r="B50" i="63" s="1"/>
  <c r="E29" i="6"/>
  <c r="F30" i="6"/>
  <c r="H5" i="3"/>
  <c r="BH5" i="3"/>
  <c r="BF5" i="3"/>
  <c r="J9" i="33"/>
  <c r="H9" i="33"/>
  <c r="F9" i="33"/>
  <c r="J9" i="36"/>
  <c r="H9" i="36"/>
  <c r="F9" i="36"/>
  <c r="J24" i="36"/>
  <c r="H24" i="36"/>
  <c r="U30" i="33"/>
  <c r="G569" i="3"/>
  <c r="G564" i="3"/>
  <c r="AZ395" i="3"/>
  <c r="AZ405" i="3"/>
  <c r="AZ411" i="3"/>
  <c r="AZ447" i="3"/>
  <c r="AZ397" i="3"/>
  <c r="AZ413" i="3"/>
  <c r="AZ424" i="3"/>
  <c r="AZ437" i="3"/>
  <c r="AZ457" i="3"/>
  <c r="AZ210" i="3"/>
  <c r="AZ222" i="3"/>
  <c r="AZ226" i="3"/>
  <c r="AZ251" i="3"/>
  <c r="AZ267" i="3"/>
  <c r="AZ271" i="3"/>
  <c r="AZ287" i="3"/>
  <c r="AZ202" i="3"/>
  <c r="AZ21" i="3"/>
  <c r="AZ28" i="3"/>
  <c r="AZ34" i="3"/>
  <c r="AZ480" i="3"/>
  <c r="AZ243" i="3"/>
  <c r="AZ259" i="3"/>
  <c r="AZ279" i="3"/>
  <c r="AZ294" i="3"/>
  <c r="AZ113" i="3"/>
  <c r="AZ116" i="3"/>
  <c r="AZ129" i="3"/>
  <c r="AZ132" i="3"/>
  <c r="AZ145" i="3"/>
  <c r="AZ148" i="3"/>
  <c r="AZ45" i="3"/>
  <c r="AZ49" i="3"/>
  <c r="AZ61" i="3"/>
  <c r="AZ64" i="3"/>
  <c r="AZ67" i="3"/>
  <c r="AZ73" i="3"/>
  <c r="AZ76" i="3"/>
  <c r="AZ83" i="3"/>
  <c r="AZ87" i="3"/>
  <c r="AZ93" i="3"/>
  <c r="AZ96" i="3"/>
  <c r="AZ103" i="3"/>
  <c r="AZ109" i="3"/>
  <c r="G9" i="1"/>
  <c r="D1" i="57"/>
  <c r="E10" i="57" s="1"/>
  <c r="C36" i="59"/>
  <c r="D35" i="59"/>
  <c r="D47" i="59"/>
  <c r="C48" i="59"/>
  <c r="D55" i="59"/>
  <c r="C56" i="59"/>
  <c r="B54" i="46"/>
  <c r="C27" i="40"/>
  <c r="S27" i="40"/>
  <c r="S21" i="34"/>
  <c r="S18" i="35"/>
  <c r="Y21" i="59"/>
  <c r="Z21" i="59" s="1"/>
  <c r="C21" i="59"/>
  <c r="Q39" i="69"/>
  <c r="R39" i="69" s="1"/>
  <c r="S39" i="69" s="1"/>
  <c r="AB21" i="59"/>
  <c r="F21" i="59"/>
  <c r="X5" i="59"/>
  <c r="AA5" i="59"/>
  <c r="O58" i="59"/>
  <c r="AA3" i="59"/>
  <c r="Y22" i="59"/>
  <c r="Z22" i="59" s="1"/>
  <c r="F23" i="59"/>
  <c r="F24" i="59" s="1"/>
  <c r="F25" i="59" s="1"/>
  <c r="V25" i="59" s="1"/>
  <c r="X25" i="59"/>
  <c r="B27" i="59"/>
  <c r="B28" i="59" s="1"/>
  <c r="B29" i="59" s="1"/>
  <c r="S29" i="59" s="1"/>
  <c r="C27" i="59"/>
  <c r="AB29" i="59"/>
  <c r="Y30" i="59"/>
  <c r="Z30" i="59" s="1"/>
  <c r="E31" i="59"/>
  <c r="E32" i="59" s="1"/>
  <c r="E33" i="59" s="1"/>
  <c r="U33" i="59" s="1"/>
  <c r="F31" i="59"/>
  <c r="F32" i="59" s="1"/>
  <c r="F33" i="59" s="1"/>
  <c r="Q58" i="59"/>
  <c r="S21" i="59"/>
  <c r="B20" i="59"/>
  <c r="B19" i="59" s="1"/>
  <c r="X19" i="59"/>
  <c r="AA20" i="59"/>
  <c r="X20" i="59"/>
  <c r="Q37" i="69"/>
  <c r="R37" i="69" s="1"/>
  <c r="S37" i="69" s="1"/>
  <c r="AB19" i="59"/>
  <c r="AA18" i="59"/>
  <c r="X18" i="59"/>
  <c r="Y17" i="59"/>
  <c r="Z17" i="59" s="1"/>
  <c r="Q35" i="69"/>
  <c r="R35" i="69" s="1"/>
  <c r="S35" i="69" s="1"/>
  <c r="AB17" i="59"/>
  <c r="J51" i="15"/>
  <c r="J57" i="15" s="1"/>
  <c r="J55" i="15" s="1"/>
  <c r="J58" i="15" s="1"/>
  <c r="Q51" i="15" s="1"/>
  <c r="X16" i="59"/>
  <c r="AA16" i="59"/>
  <c r="X14" i="59"/>
  <c r="Y14" i="59"/>
  <c r="Z14" i="59" s="1"/>
  <c r="AA14" i="59"/>
  <c r="Q32" i="69"/>
  <c r="R32" i="69" s="1"/>
  <c r="S32" i="69" s="1"/>
  <c r="AB14" i="59"/>
  <c r="X13" i="59"/>
  <c r="AA13" i="59"/>
  <c r="X12" i="59"/>
  <c r="Y12" i="59"/>
  <c r="Z12" i="59" s="1"/>
  <c r="AA12" i="59"/>
  <c r="Q23" i="69"/>
  <c r="R23" i="69" s="1"/>
  <c r="S23" i="69" s="1"/>
  <c r="Q30" i="69"/>
  <c r="R30" i="69" s="1"/>
  <c r="S30" i="69" s="1"/>
  <c r="AB12" i="59"/>
  <c r="Y9" i="59"/>
  <c r="Z9" i="59" s="1"/>
  <c r="Q27" i="69"/>
  <c r="R27" i="69" s="1"/>
  <c r="S27" i="69" s="1"/>
  <c r="Q20" i="69"/>
  <c r="R20" i="69" s="1"/>
  <c r="S20" i="69" s="1"/>
  <c r="AB9" i="59"/>
  <c r="Y10" i="59"/>
  <c r="Z10" i="59" s="1"/>
  <c r="Q21" i="69"/>
  <c r="R21" i="69" s="1"/>
  <c r="S21" i="69" s="1"/>
  <c r="Q28" i="69"/>
  <c r="R28" i="69" s="1"/>
  <c r="S28" i="69" s="1"/>
  <c r="AB10" i="59"/>
  <c r="Y7" i="59"/>
  <c r="Z7" i="59" s="1"/>
  <c r="Y8" i="59"/>
  <c r="Z8" i="59" s="1"/>
  <c r="AA6" i="59"/>
  <c r="X7" i="59"/>
  <c r="AB7" i="59"/>
  <c r="AB6" i="59"/>
  <c r="X21" i="59"/>
  <c r="AA21" i="59"/>
  <c r="K76" i="9"/>
  <c r="E21" i="59"/>
  <c r="AA19" i="59"/>
  <c r="Q38" i="69"/>
  <c r="R38" i="69" s="1"/>
  <c r="S38" i="69" s="1"/>
  <c r="AB20" i="59"/>
  <c r="Y20" i="59"/>
  <c r="Z20" i="59" s="1"/>
  <c r="Y19" i="59"/>
  <c r="Z19" i="59" s="1"/>
  <c r="Y18" i="59"/>
  <c r="Z18" i="59" s="1"/>
  <c r="Q36" i="69"/>
  <c r="R36" i="69" s="1"/>
  <c r="S36" i="69" s="1"/>
  <c r="AB18" i="59"/>
  <c r="X17" i="59"/>
  <c r="AA17" i="59"/>
  <c r="Y16" i="59"/>
  <c r="Z16" i="59" s="1"/>
  <c r="Q34" i="69"/>
  <c r="R34" i="69" s="1"/>
  <c r="S34" i="69" s="1"/>
  <c r="AB16" i="59"/>
  <c r="X15" i="59"/>
  <c r="Y15" i="59"/>
  <c r="Z15" i="59" s="1"/>
  <c r="AA15" i="59"/>
  <c r="Q33" i="69"/>
  <c r="R33" i="69" s="1"/>
  <c r="S33" i="69" s="1"/>
  <c r="AB15" i="59"/>
  <c r="Y13" i="59"/>
  <c r="Z13" i="59" s="1"/>
  <c r="Q31" i="69"/>
  <c r="R31" i="69" s="1"/>
  <c r="S31" i="69" s="1"/>
  <c r="Q24" i="69"/>
  <c r="R24" i="69" s="1"/>
  <c r="S24" i="69" s="1"/>
  <c r="AB13" i="59"/>
  <c r="X11" i="59"/>
  <c r="Y11" i="59"/>
  <c r="Z11" i="59" s="1"/>
  <c r="AA11" i="59"/>
  <c r="Q29" i="69"/>
  <c r="R29" i="69" s="1"/>
  <c r="S29" i="69" s="1"/>
  <c r="Q22" i="69"/>
  <c r="R22" i="69" s="1"/>
  <c r="S22" i="69" s="1"/>
  <c r="AB11" i="59"/>
  <c r="X9" i="59"/>
  <c r="AA9" i="59"/>
  <c r="X10" i="59"/>
  <c r="AA10" i="59"/>
  <c r="Y6" i="59"/>
  <c r="Z6" i="59" s="1"/>
  <c r="Y5" i="59"/>
  <c r="Z5" i="59" s="1"/>
  <c r="AA7" i="59"/>
  <c r="AA8" i="59"/>
  <c r="X6" i="59"/>
  <c r="X8" i="59"/>
  <c r="AB5" i="59"/>
  <c r="AB8" i="59"/>
  <c r="M43" i="9"/>
  <c r="D18" i="9"/>
  <c r="M44" i="9" s="1"/>
  <c r="A30" i="51"/>
  <c r="B22" i="63" s="1"/>
  <c r="A30" i="64"/>
  <c r="E9" i="46"/>
  <c r="E8" i="46"/>
  <c r="E10" i="46"/>
  <c r="E11" i="46"/>
  <c r="F80" i="46"/>
  <c r="M11" i="46"/>
  <c r="N2" i="46"/>
  <c r="M6" i="46"/>
  <c r="H9" i="48"/>
  <c r="H65" i="46"/>
  <c r="H60" i="46"/>
  <c r="H64" i="46"/>
  <c r="I17" i="46"/>
  <c r="L17" i="46"/>
  <c r="O17" i="46"/>
  <c r="E17" i="46"/>
  <c r="H113" i="46"/>
  <c r="F38" i="46"/>
  <c r="C17" i="46"/>
  <c r="H58" i="46"/>
  <c r="D17" i="46"/>
  <c r="K17" i="46"/>
  <c r="C6" i="46"/>
  <c r="G12" i="1"/>
  <c r="G7" i="1"/>
  <c r="D70" i="39"/>
  <c r="C72" i="39"/>
  <c r="C67" i="40"/>
  <c r="D65" i="40"/>
  <c r="E12" i="6"/>
  <c r="E11" i="6"/>
  <c r="BL13" i="3"/>
  <c r="L19" i="6"/>
  <c r="L27" i="6" s="1"/>
  <c r="C15" i="43"/>
  <c r="H12" i="48"/>
  <c r="G6" i="1"/>
  <c r="I20" i="46"/>
  <c r="L48" i="35"/>
  <c r="M48" i="35" s="1"/>
  <c r="N48" i="35" s="1"/>
  <c r="O48" i="35" s="1"/>
  <c r="H7" i="35"/>
  <c r="I46" i="36"/>
  <c r="J46" i="36" s="1"/>
  <c r="K46" i="36" s="1"/>
  <c r="L46" i="36" s="1"/>
  <c r="M46" i="36" s="1"/>
  <c r="N46" i="36" s="1"/>
  <c r="O46" i="36" s="1"/>
  <c r="J7" i="36"/>
  <c r="L52" i="37"/>
  <c r="M52" i="37" s="1"/>
  <c r="N52" i="37" s="1"/>
  <c r="O52" i="37" s="1"/>
  <c r="H7" i="36"/>
  <c r="D58" i="33"/>
  <c r="D58" i="21"/>
  <c r="D59" i="34"/>
  <c r="A25" i="51"/>
  <c r="B18" i="63" s="1"/>
  <c r="C95" i="9"/>
  <c r="C92" i="9" s="1"/>
  <c r="C27" i="43"/>
  <c r="H71" i="46"/>
  <c r="H75" i="46"/>
  <c r="H72" i="46"/>
  <c r="H77" i="46"/>
  <c r="H70" i="46"/>
  <c r="H73" i="46"/>
  <c r="H74" i="46"/>
  <c r="H69" i="46"/>
  <c r="H76" i="46"/>
  <c r="F28" i="15"/>
  <c r="C28" i="15" s="1"/>
  <c r="F30" i="44"/>
  <c r="C30" i="44" s="1"/>
  <c r="M20" i="44"/>
  <c r="F70" i="9"/>
  <c r="F32" i="15"/>
  <c r="F59" i="15" s="1"/>
  <c r="F72" i="9"/>
  <c r="F66" i="9"/>
  <c r="P72" i="9" s="1"/>
  <c r="O9" i="1"/>
  <c r="P9" i="1" s="1"/>
  <c r="O8" i="1"/>
  <c r="P8" i="1" s="1"/>
  <c r="AZ13" i="3"/>
  <c r="E13" i="6"/>
  <c r="K77" i="9"/>
  <c r="K79" i="9" s="1"/>
  <c r="K81" i="9" s="1"/>
  <c r="E12" i="52"/>
  <c r="B15" i="52"/>
  <c r="F31" i="15"/>
  <c r="F33" i="44"/>
  <c r="E9" i="59"/>
  <c r="B4" i="52"/>
  <c r="B7" i="52"/>
  <c r="E14" i="52"/>
  <c r="E6" i="52"/>
  <c r="E11" i="52"/>
  <c r="E9" i="52"/>
  <c r="E4" i="4" s="1"/>
  <c r="B21" i="55" s="1"/>
  <c r="B72" i="63" s="1"/>
  <c r="E7" i="52"/>
  <c r="B9" i="52"/>
  <c r="E4" i="52"/>
  <c r="E13" i="52"/>
  <c r="B8" i="52"/>
  <c r="E10" i="52"/>
  <c r="B10" i="52"/>
  <c r="B6" i="52"/>
  <c r="B5" i="52"/>
  <c r="B11" i="52"/>
  <c r="B12" i="52"/>
  <c r="E8" i="52"/>
  <c r="B14" i="52"/>
  <c r="E5" i="52"/>
  <c r="C4" i="4" s="1"/>
  <c r="B20" i="55" s="1"/>
  <c r="B70" i="63" s="1"/>
  <c r="Y3" i="59"/>
  <c r="Z3" i="59" s="1"/>
  <c r="P22" i="46"/>
  <c r="P24" i="46"/>
  <c r="B68" i="40" s="1"/>
  <c r="P23" i="46"/>
  <c r="P25" i="46"/>
  <c r="B73" i="39" s="1"/>
  <c r="P21" i="46"/>
  <c r="E20" i="46"/>
  <c r="Q73" i="44"/>
  <c r="F65" i="15"/>
  <c r="J1" i="65"/>
  <c r="F67" i="15"/>
  <c r="F50" i="15"/>
  <c r="C27" i="15"/>
  <c r="F64" i="15"/>
  <c r="I1" i="65"/>
  <c r="M9" i="44"/>
  <c r="L59" i="15"/>
  <c r="L58" i="15"/>
  <c r="L60" i="44"/>
  <c r="J53" i="15"/>
  <c r="I54" i="15"/>
  <c r="Q72" i="15"/>
  <c r="F63" i="15"/>
  <c r="C4" i="65"/>
  <c r="B39" i="1" s="1"/>
  <c r="F40" i="44"/>
  <c r="F38" i="44"/>
  <c r="C18" i="44"/>
  <c r="F39" i="44"/>
  <c r="J17" i="44"/>
  <c r="F11" i="44"/>
  <c r="E3" i="65"/>
  <c r="M11" i="44"/>
  <c r="M26" i="44"/>
  <c r="L49" i="44"/>
  <c r="D21" i="12"/>
  <c r="F45" i="44"/>
  <c r="M24" i="44"/>
  <c r="E2" i="65"/>
  <c r="F28" i="44"/>
  <c r="M28" i="44"/>
  <c r="F33" i="12"/>
  <c r="F15" i="44"/>
  <c r="C19" i="44"/>
  <c r="C29" i="44" l="1"/>
  <c r="C8" i="44"/>
  <c r="C34" i="44" s="1"/>
  <c r="L59" i="44"/>
  <c r="Q75" i="44" s="1"/>
  <c r="J54" i="44"/>
  <c r="Q54" i="44" s="1"/>
  <c r="J58" i="44"/>
  <c r="J56" i="44" s="1"/>
  <c r="J59" i="44" s="1"/>
  <c r="Q52" i="44" s="1"/>
  <c r="J61" i="44"/>
  <c r="Q50" i="44" s="1"/>
  <c r="I55" i="44"/>
  <c r="L57" i="44"/>
  <c r="J60" i="44"/>
  <c r="P14" i="1"/>
  <c r="O14" i="1"/>
  <c r="AZ5" i="3"/>
  <c r="E3" i="6" s="1"/>
  <c r="N58" i="59"/>
  <c r="N59" i="59"/>
  <c r="D45" i="59"/>
  <c r="T45" i="59"/>
  <c r="D64" i="59"/>
  <c r="C63" i="59"/>
  <c r="D63" i="59" s="1"/>
  <c r="AZ36" i="3"/>
  <c r="AB26" i="37"/>
  <c r="U26" i="37"/>
  <c r="S34" i="36"/>
  <c r="AA34" i="36"/>
  <c r="AC11" i="35"/>
  <c r="W11" i="35"/>
  <c r="S11" i="36"/>
  <c r="AA11" i="36"/>
  <c r="AB28" i="33"/>
  <c r="U28" i="33"/>
  <c r="S28" i="21"/>
  <c r="AA28" i="21"/>
  <c r="AA46" i="21"/>
  <c r="S46" i="21"/>
  <c r="U46" i="21"/>
  <c r="AB46" i="21"/>
  <c r="U44" i="21"/>
  <c r="AB44" i="21"/>
  <c r="AC12" i="21"/>
  <c r="W12" i="21"/>
  <c r="L56" i="15"/>
  <c r="J8" i="44"/>
  <c r="J20" i="44" s="1"/>
  <c r="E10" i="6"/>
  <c r="E14" i="6"/>
  <c r="F7" i="36"/>
  <c r="AA7" i="36" s="1"/>
  <c r="R36" i="36" s="1"/>
  <c r="F7" i="35"/>
  <c r="J7" i="35"/>
  <c r="W7" i="35" s="1"/>
  <c r="G30" i="6"/>
  <c r="G31" i="6" s="1"/>
  <c r="BA5" i="3"/>
  <c r="C53" i="59"/>
  <c r="D52" i="59"/>
  <c r="O13" i="1"/>
  <c r="P13" i="1"/>
  <c r="AA25" i="37"/>
  <c r="S25" i="37"/>
  <c r="W34" i="36"/>
  <c r="AC34" i="36"/>
  <c r="S12" i="36"/>
  <c r="AA12" i="36"/>
  <c r="AB32" i="36"/>
  <c r="U32" i="36"/>
  <c r="AB11" i="36"/>
  <c r="U11" i="36"/>
  <c r="W28" i="33"/>
  <c r="AC28" i="33"/>
  <c r="U14" i="21"/>
  <c r="AB14" i="21"/>
  <c r="W30" i="21"/>
  <c r="AC30" i="21"/>
  <c r="W46" i="21"/>
  <c r="AC46" i="21"/>
  <c r="S44" i="21"/>
  <c r="AA44" i="21"/>
  <c r="W44" i="21"/>
  <c r="AC44" i="21"/>
  <c r="AA12" i="21"/>
  <c r="S12" i="21"/>
  <c r="B8" i="59"/>
  <c r="B7" i="59" s="1"/>
  <c r="B6" i="59" s="1"/>
  <c r="B5" i="59" s="1"/>
  <c r="S9" i="59"/>
  <c r="M19" i="46"/>
  <c r="V33" i="59"/>
  <c r="D27" i="59"/>
  <c r="C28" i="59"/>
  <c r="D21" i="59"/>
  <c r="T21" i="59"/>
  <c r="C20" i="59"/>
  <c r="C37" i="59"/>
  <c r="D36" i="59"/>
  <c r="W24" i="36"/>
  <c r="AC24" i="36"/>
  <c r="AB9" i="36"/>
  <c r="U9" i="36"/>
  <c r="AA9" i="33"/>
  <c r="S9" i="33"/>
  <c r="AC9" i="33"/>
  <c r="W9" i="33"/>
  <c r="K15" i="1"/>
  <c r="E30" i="6"/>
  <c r="C8" i="59"/>
  <c r="T9" i="59"/>
  <c r="E8" i="59"/>
  <c r="E7" i="59" s="1"/>
  <c r="E6" i="59" s="1"/>
  <c r="E5" i="59" s="1"/>
  <c r="U9" i="59"/>
  <c r="U21" i="59"/>
  <c r="E20" i="59"/>
  <c r="E19" i="59" s="1"/>
  <c r="F20" i="59"/>
  <c r="F19" i="59" s="1"/>
  <c r="V21" i="59"/>
  <c r="C57" i="59"/>
  <c r="D56" i="59"/>
  <c r="C49" i="59"/>
  <c r="D48" i="59"/>
  <c r="G5" i="3"/>
  <c r="B3" i="3" s="1"/>
  <c r="AB24" i="36"/>
  <c r="U24" i="36"/>
  <c r="S9" i="36"/>
  <c r="AA9" i="36"/>
  <c r="AC9" i="36"/>
  <c r="W9" i="36"/>
  <c r="AB9" i="33"/>
  <c r="U9" i="33"/>
  <c r="F8" i="59"/>
  <c r="F7" i="59" s="1"/>
  <c r="F6" i="59" s="1"/>
  <c r="F5" i="59" s="1"/>
  <c r="V9" i="59"/>
  <c r="H81" i="46"/>
  <c r="G81" i="46" s="1"/>
  <c r="H80" i="46"/>
  <c r="G80" i="46" s="1"/>
  <c r="H84" i="46"/>
  <c r="G84" i="46" s="1"/>
  <c r="H82" i="46"/>
  <c r="G82" i="46" s="1"/>
  <c r="H87" i="46"/>
  <c r="G87" i="46" s="1"/>
  <c r="H83" i="46"/>
  <c r="G83" i="46" s="1"/>
  <c r="H85" i="46"/>
  <c r="G85" i="46" s="1"/>
  <c r="H86" i="46"/>
  <c r="G86" i="46" s="1"/>
  <c r="G17" i="46"/>
  <c r="C16" i="46" s="1"/>
  <c r="C5" i="46" s="1"/>
  <c r="C34" i="12"/>
  <c r="D33" i="12" s="1"/>
  <c r="C21" i="12"/>
  <c r="D5" i="46"/>
  <c r="F7" i="37"/>
  <c r="S7" i="37" s="1"/>
  <c r="D67" i="40"/>
  <c r="E65" i="40"/>
  <c r="E70" i="39"/>
  <c r="D72" i="39"/>
  <c r="E16" i="6"/>
  <c r="E67" i="39"/>
  <c r="E62" i="40"/>
  <c r="E58" i="40"/>
  <c r="E63" i="39"/>
  <c r="E59" i="40"/>
  <c r="E64" i="39"/>
  <c r="J7" i="37"/>
  <c r="H7" i="37"/>
  <c r="AB7" i="37" s="1"/>
  <c r="T42" i="37" s="1"/>
  <c r="G42" i="37" s="1"/>
  <c r="AB7" i="36"/>
  <c r="T36" i="36" s="1"/>
  <c r="G36" i="36" s="1"/>
  <c r="U7" i="36"/>
  <c r="AA7" i="37"/>
  <c r="R42" i="37" s="1"/>
  <c r="S7" i="36"/>
  <c r="AA7" i="35"/>
  <c r="R38" i="35" s="1"/>
  <c r="S7" i="35"/>
  <c r="AC7" i="35"/>
  <c r="V38" i="35" s="1"/>
  <c r="I38" i="35" s="1"/>
  <c r="E59" i="34"/>
  <c r="E58" i="21"/>
  <c r="E58" i="33"/>
  <c r="W7" i="37"/>
  <c r="AC7" i="37"/>
  <c r="V42" i="37" s="1"/>
  <c r="I42" i="37" s="1"/>
  <c r="W7" i="36"/>
  <c r="AC7" i="36"/>
  <c r="V36" i="36" s="1"/>
  <c r="I36" i="36" s="1"/>
  <c r="U7" i="35"/>
  <c r="AB7" i="35"/>
  <c r="T38" i="35" s="1"/>
  <c r="G38" i="35" s="1"/>
  <c r="E60" i="40"/>
  <c r="E65" i="39"/>
  <c r="AY6" i="3"/>
  <c r="E61" i="40"/>
  <c r="E66" i="39"/>
  <c r="M19" i="44"/>
  <c r="C19" i="46"/>
  <c r="B40" i="1"/>
  <c r="F17" i="11"/>
  <c r="Q62" i="15"/>
  <c r="Q75" i="15"/>
  <c r="M13" i="44"/>
  <c r="J12" i="44" s="1"/>
  <c r="F11" i="15"/>
  <c r="M11" i="15"/>
  <c r="J10" i="15" s="1"/>
  <c r="F13" i="44"/>
  <c r="C12" i="44" s="1"/>
  <c r="M28" i="46"/>
  <c r="P28" i="46"/>
  <c r="O28" i="46"/>
  <c r="N28" i="46"/>
  <c r="F1" i="44"/>
  <c r="Q63" i="44"/>
  <c r="Q76" i="44"/>
  <c r="F1" i="15"/>
  <c r="Q53" i="15"/>
  <c r="Q61" i="15"/>
  <c r="Q74" i="15"/>
  <c r="AE6" i="1"/>
  <c r="Q62" i="44" l="1"/>
  <c r="J7" i="44"/>
  <c r="J26" i="44" s="1"/>
  <c r="C7" i="44"/>
  <c r="L47" i="44"/>
  <c r="T53" i="59"/>
  <c r="D53" i="59"/>
  <c r="D8" i="11"/>
  <c r="D29" i="46"/>
  <c r="D1" i="46" s="1"/>
  <c r="F19" i="6"/>
  <c r="M86" i="46"/>
  <c r="K86" i="46"/>
  <c r="J86" i="46" s="1"/>
  <c r="K83" i="46"/>
  <c r="J83" i="46" s="1"/>
  <c r="M83" i="46"/>
  <c r="N83" i="46" s="1"/>
  <c r="K82" i="46"/>
  <c r="J82" i="46" s="1"/>
  <c r="M82" i="46"/>
  <c r="N82" i="46" s="1"/>
  <c r="M80" i="46"/>
  <c r="N80" i="46" s="1"/>
  <c r="K80" i="46"/>
  <c r="J80" i="46" s="1"/>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206" i="3"/>
  <c r="E333" i="3"/>
  <c r="E46" i="3"/>
  <c r="E221" i="3"/>
  <c r="E457" i="3"/>
  <c r="E391" i="3"/>
  <c r="E321" i="3"/>
  <c r="AD6" i="3"/>
  <c r="E266" i="3"/>
  <c r="E327" i="3"/>
  <c r="E548" i="3"/>
  <c r="Z6" i="3"/>
  <c r="E62" i="3"/>
  <c r="E389" i="3"/>
  <c r="E230"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446" i="3"/>
  <c r="E132" i="3"/>
  <c r="E152" i="3"/>
  <c r="E437" i="3"/>
  <c r="E91" i="3"/>
  <c r="E115" i="3"/>
  <c r="E359" i="3"/>
  <c r="E195" i="3"/>
  <c r="E31" i="3"/>
  <c r="X6" i="3"/>
  <c r="AA6" i="3"/>
  <c r="E127" i="3"/>
  <c r="E299" i="3"/>
  <c r="E215" i="3"/>
  <c r="I6" i="3"/>
  <c r="E103" i="3"/>
  <c r="E200" i="3"/>
  <c r="E454" i="3"/>
  <c r="E520" i="3"/>
  <c r="AK6" i="3"/>
  <c r="E143" i="3"/>
  <c r="E411" i="3"/>
  <c r="E41" i="3"/>
  <c r="E418" i="3"/>
  <c r="E92" i="3"/>
  <c r="E414" i="3"/>
  <c r="E202" i="3"/>
  <c r="E131" i="3"/>
  <c r="E304" i="3"/>
  <c r="E165"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72" i="3"/>
  <c r="E250" i="3"/>
  <c r="E471" i="3"/>
  <c r="E408" i="3"/>
  <c r="E238" i="3"/>
  <c r="E44" i="3"/>
  <c r="E36" i="3"/>
  <c r="E237" i="3"/>
  <c r="E428" i="3"/>
  <c r="E100" i="3"/>
  <c r="E374" i="3"/>
  <c r="E223" i="3"/>
  <c r="E205" i="3"/>
  <c r="E399" i="3"/>
  <c r="E478" i="3"/>
  <c r="E317" i="3"/>
  <c r="E357" i="3"/>
  <c r="E179" i="3"/>
  <c r="AS6" i="3"/>
  <c r="E444" i="3"/>
  <c r="E383" i="3"/>
  <c r="E247" i="3"/>
  <c r="E190" i="3"/>
  <c r="E560" i="3"/>
  <c r="E420" i="3"/>
  <c r="E111" i="3"/>
  <c r="E233" i="3"/>
  <c r="E261" i="3"/>
  <c r="L6" i="3"/>
  <c r="E467" i="3"/>
  <c r="E429" i="3"/>
  <c r="E67" i="3"/>
  <c r="E116" i="3"/>
  <c r="E214" i="3"/>
  <c r="E372" i="3"/>
  <c r="E486" i="3"/>
  <c r="E465" i="3"/>
  <c r="E543" i="3"/>
  <c r="E154" i="3"/>
  <c r="E264" i="3"/>
  <c r="E243" i="3"/>
  <c r="E369" i="3"/>
  <c r="E309"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D8" i="59"/>
  <c r="C7" i="59"/>
  <c r="D20" i="59"/>
  <c r="C19" i="59"/>
  <c r="D19" i="59" s="1"/>
  <c r="K85" i="46"/>
  <c r="J85" i="46" s="1"/>
  <c r="M85" i="46"/>
  <c r="N85" i="46" s="1"/>
  <c r="M87" i="46"/>
  <c r="N87" i="46" s="1"/>
  <c r="K87" i="46"/>
  <c r="K84" i="46"/>
  <c r="J84" i="46" s="1"/>
  <c r="M84" i="46"/>
  <c r="N84" i="46" s="1"/>
  <c r="M81" i="46"/>
  <c r="N81" i="46" s="1"/>
  <c r="K81" i="46"/>
  <c r="J81" i="46" s="1"/>
  <c r="E569" i="3"/>
  <c r="T49" i="59"/>
  <c r="D49" i="59"/>
  <c r="T57" i="59"/>
  <c r="D57" i="59"/>
  <c r="E564" i="3"/>
  <c r="T37" i="59"/>
  <c r="D37" i="59"/>
  <c r="C29" i="59"/>
  <c r="D28" i="59"/>
  <c r="G20" i="46"/>
  <c r="C20" i="46" s="1"/>
  <c r="U7" i="37"/>
  <c r="E72" i="39"/>
  <c r="F70" i="39"/>
  <c r="F65" i="40"/>
  <c r="E67" i="40"/>
  <c r="G42" i="35"/>
  <c r="H42" i="35" s="1"/>
  <c r="G43" i="35"/>
  <c r="H43" i="35" s="1"/>
  <c r="I40" i="36"/>
  <c r="J40" i="36" s="1"/>
  <c r="I46" i="37"/>
  <c r="J46" i="37" s="1"/>
  <c r="G46" i="37"/>
  <c r="H46" i="37" s="1"/>
  <c r="G47" i="37"/>
  <c r="H47" i="37" s="1"/>
  <c r="F59" i="34"/>
  <c r="I43" i="35"/>
  <c r="J43" i="35" s="1"/>
  <c r="I42" i="35"/>
  <c r="J42" i="35" s="1"/>
  <c r="R39" i="35"/>
  <c r="E38" i="35"/>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D44" i="9"/>
  <c r="D46" i="9"/>
  <c r="D16" i="43"/>
  <c r="C16" i="43" s="1"/>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C52" i="15"/>
  <c r="F21" i="43"/>
  <c r="C23" i="43" s="1"/>
  <c r="D21" i="43" s="1"/>
  <c r="F24" i="15"/>
  <c r="C24" i="15" s="1"/>
  <c r="F26" i="12"/>
  <c r="F26" i="44"/>
  <c r="C26" i="44" s="1"/>
  <c r="F41" i="15"/>
  <c r="C15" i="12"/>
  <c r="H6" i="3" l="1"/>
  <c r="L1" i="75"/>
  <c r="C17" i="69"/>
  <c r="T29" i="59"/>
  <c r="D29" i="59"/>
  <c r="D7" i="59"/>
  <c r="C6" i="59"/>
  <c r="N86" i="46"/>
  <c r="D86" i="46"/>
  <c r="D87" i="46"/>
  <c r="J87" i="46"/>
  <c r="AC6" i="3"/>
  <c r="E6" i="3" s="1"/>
  <c r="E19" i="6"/>
  <c r="F27" i="6"/>
  <c r="F31" i="6" s="1"/>
  <c r="D13" i="11"/>
  <c r="C8" i="11"/>
  <c r="C7" i="11" s="1"/>
  <c r="F68" i="15"/>
  <c r="E41" i="46"/>
  <c r="C41" i="46" s="1"/>
  <c r="J7" i="21"/>
  <c r="J7" i="33"/>
  <c r="AC7" i="33" s="1"/>
  <c r="V48" i="33" s="1"/>
  <c r="I48" i="33" s="1"/>
  <c r="F67" i="40"/>
  <c r="G65" i="40"/>
  <c r="G70" i="39"/>
  <c r="F72" i="39"/>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D6" i="6"/>
  <c r="D14" i="6"/>
  <c r="D20" i="6"/>
  <c r="F45" i="9"/>
  <c r="E68" i="39"/>
  <c r="D26" i="6"/>
  <c r="D22" i="6"/>
  <c r="D12" i="6"/>
  <c r="D5" i="6"/>
  <c r="F46" i="9"/>
  <c r="E63" i="40"/>
  <c r="D25" i="6"/>
  <c r="D28" i="6"/>
  <c r="E45" i="9"/>
  <c r="K38" i="9"/>
  <c r="C14" i="66" s="1"/>
  <c r="B2" i="66" s="1"/>
  <c r="D29" i="6"/>
  <c r="E44" i="9"/>
  <c r="D19" i="6"/>
  <c r="D13" i="6"/>
  <c r="D23" i="6"/>
  <c r="D8" i="6"/>
  <c r="F44" i="9"/>
  <c r="D24" i="6"/>
  <c r="D11" i="6"/>
  <c r="D9" i="6"/>
  <c r="D15" i="6"/>
  <c r="E46" i="9"/>
  <c r="C13" i="11"/>
  <c r="C27" i="12"/>
  <c r="D26" i="12" s="1"/>
  <c r="C32" i="12" s="1"/>
  <c r="D30" i="12" s="1"/>
  <c r="Q58" i="44"/>
  <c r="Q67" i="44"/>
  <c r="Q49" i="44"/>
  <c r="Q55" i="44" s="1"/>
  <c r="F7" i="67"/>
  <c r="C18" i="11" l="1"/>
  <c r="C17" i="11"/>
  <c r="E80" i="46"/>
  <c r="B78" i="46" s="1"/>
  <c r="C24" i="46" s="1"/>
  <c r="C38" i="46" s="1"/>
  <c r="D6" i="59"/>
  <c r="C5" i="59"/>
  <c r="E32" i="6"/>
  <c r="C9" i="12"/>
  <c r="K6" i="1"/>
  <c r="E27" i="6"/>
  <c r="K19" i="6" s="1"/>
  <c r="C109" i="9"/>
  <c r="C110" i="9" s="1"/>
  <c r="H65" i="40"/>
  <c r="G67" i="40"/>
  <c r="F7" i="34"/>
  <c r="S7" i="34" s="1"/>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F7" i="15"/>
  <c r="E7" i="67"/>
  <c r="F43" i="15"/>
  <c r="B7" i="67"/>
  <c r="M29" i="15"/>
  <c r="C19" i="11" l="1"/>
  <c r="C20" i="11" s="1"/>
  <c r="C21" i="11" s="1"/>
  <c r="F70" i="15"/>
  <c r="M7" i="15"/>
  <c r="F49" i="15"/>
  <c r="C6" i="15"/>
  <c r="G38" i="46"/>
  <c r="I38" i="46" s="1"/>
  <c r="E38" i="46"/>
  <c r="C39" i="46"/>
  <c r="E39" i="46" s="1"/>
  <c r="K20" i="6"/>
  <c r="M20" i="6" s="1"/>
  <c r="I20" i="6" s="1"/>
  <c r="K24" i="6"/>
  <c r="M24" i="6" s="1"/>
  <c r="I24" i="6" s="1"/>
  <c r="E31" i="6"/>
  <c r="K21" i="6"/>
  <c r="M21" i="6" s="1"/>
  <c r="I21" i="6" s="1"/>
  <c r="K23" i="6"/>
  <c r="M23" i="6" s="1"/>
  <c r="I23" i="6" s="1"/>
  <c r="K26" i="6"/>
  <c r="M26" i="6" s="1"/>
  <c r="I26" i="6" s="1"/>
  <c r="K22" i="6"/>
  <c r="M22" i="6" s="1"/>
  <c r="I22" i="6" s="1"/>
  <c r="K25" i="6"/>
  <c r="M25" i="6" s="1"/>
  <c r="I25" i="6" s="1"/>
  <c r="M6" i="1"/>
  <c r="Q16" i="1"/>
  <c r="F24" i="43" s="1"/>
  <c r="C26" i="43" s="1"/>
  <c r="D24" i="43" s="1"/>
  <c r="H16" i="1"/>
  <c r="K16" i="1"/>
  <c r="AP16" i="1"/>
  <c r="F22" i="11" s="1"/>
  <c r="G16" i="1"/>
  <c r="C22" i="11"/>
  <c r="C23" i="11" s="1"/>
  <c r="B2" i="11" s="1"/>
  <c r="AA7" i="34"/>
  <c r="R49" i="34" s="1"/>
  <c r="S6" i="1"/>
  <c r="M19" i="6"/>
  <c r="K27" i="6"/>
  <c r="D5" i="59"/>
  <c r="M20" i="46" s="1"/>
  <c r="C37" i="46"/>
  <c r="C35" i="46"/>
  <c r="C36" i="46"/>
  <c r="T15" i="46"/>
  <c r="V15" i="46" s="1"/>
  <c r="T13" i="46"/>
  <c r="V13" i="46" s="1"/>
  <c r="T8" i="46"/>
  <c r="V8" i="46" s="1"/>
  <c r="C33" i="46"/>
  <c r="T14" i="46"/>
  <c r="V14" i="46" s="1"/>
  <c r="C34" i="46"/>
  <c r="T16" i="46"/>
  <c r="V16" i="46" s="1"/>
  <c r="T12" i="46"/>
  <c r="V12" i="46" s="1"/>
  <c r="T11" i="46"/>
  <c r="V11" i="46" s="1"/>
  <c r="T9" i="46"/>
  <c r="V9" i="46" s="1"/>
  <c r="T10" i="46"/>
  <c r="V10" i="46" s="1"/>
  <c r="AB7" i="34"/>
  <c r="T49" i="34" s="1"/>
  <c r="G49" i="34" s="1"/>
  <c r="G53" i="34" s="1"/>
  <c r="H53" i="34" s="1"/>
  <c r="I70" i="39"/>
  <c r="H72" i="39"/>
  <c r="H67" i="40"/>
  <c r="I65" i="40"/>
  <c r="G52" i="33"/>
  <c r="H52" i="33" s="1"/>
  <c r="G53" i="33"/>
  <c r="H53" i="33" s="1"/>
  <c r="R50" i="34"/>
  <c r="E49" i="34"/>
  <c r="R49" i="33"/>
  <c r="E48" i="33"/>
  <c r="R49" i="21"/>
  <c r="E48" i="21"/>
  <c r="W7" i="34"/>
  <c r="AC7" i="34"/>
  <c r="V49" i="34" s="1"/>
  <c r="I49" i="34" s="1"/>
  <c r="D31" i="6"/>
  <c r="E3" i="67"/>
  <c r="B2" i="67"/>
  <c r="C16" i="15"/>
  <c r="M23" i="44"/>
  <c r="C17" i="15"/>
  <c r="D22" i="12"/>
  <c r="D16" i="12"/>
  <c r="F37" i="44"/>
  <c r="G39" i="46" l="1"/>
  <c r="I39" i="46" s="1"/>
  <c r="C22" i="12"/>
  <c r="C20" i="12" s="1"/>
  <c r="D19" i="12"/>
  <c r="C19" i="12" s="1"/>
  <c r="C16" i="12"/>
  <c r="G34" i="46"/>
  <c r="I34" i="46" s="1"/>
  <c r="E34" i="46"/>
  <c r="E33" i="46"/>
  <c r="G33" i="46"/>
  <c r="I33" i="46" s="1"/>
  <c r="G36" i="46"/>
  <c r="I36" i="46" s="1"/>
  <c r="E36" i="46"/>
  <c r="G37" i="46"/>
  <c r="I37" i="46" s="1"/>
  <c r="E37" i="46"/>
  <c r="M27" i="6"/>
  <c r="I19" i="6"/>
  <c r="H12" i="39"/>
  <c r="J12" i="40"/>
  <c r="H12" i="40"/>
  <c r="J12" i="39"/>
  <c r="F12" i="40"/>
  <c r="F12" i="39"/>
  <c r="S25" i="6"/>
  <c r="H25" i="6"/>
  <c r="R25" i="6" s="1"/>
  <c r="S26" i="6"/>
  <c r="H26" i="6"/>
  <c r="R26" i="6" s="1"/>
  <c r="S21" i="6"/>
  <c r="H21" i="6"/>
  <c r="R21" i="6" s="1"/>
  <c r="S24" i="6"/>
  <c r="H24" i="6"/>
  <c r="R24" i="6" s="1"/>
  <c r="F58" i="15"/>
  <c r="C48" i="15"/>
  <c r="C47" i="15" s="1"/>
  <c r="G35" i="46"/>
  <c r="I35" i="46" s="1"/>
  <c r="E35" i="46"/>
  <c r="S16" i="1"/>
  <c r="T6" i="1" s="1"/>
  <c r="B5" i="11"/>
  <c r="B4" i="11"/>
  <c r="B3" i="11"/>
  <c r="J4" i="75" s="1"/>
  <c r="M16" i="1"/>
  <c r="O6" i="1"/>
  <c r="O16" i="1" s="1"/>
  <c r="S22" i="6"/>
  <c r="H22" i="6"/>
  <c r="R22" i="6" s="1"/>
  <c r="S23" i="6"/>
  <c r="H23" i="6"/>
  <c r="R23" i="6" s="1"/>
  <c r="S20" i="6"/>
  <c r="H20" i="6"/>
  <c r="R20" i="6" s="1"/>
  <c r="C32" i="15"/>
  <c r="C10" i="15"/>
  <c r="C5" i="15" s="1"/>
  <c r="C38" i="15" s="1"/>
  <c r="M17" i="15"/>
  <c r="J6" i="15"/>
  <c r="J70" i="39"/>
  <c r="I72" i="39"/>
  <c r="J65" i="40"/>
  <c r="I67" i="40"/>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G3" i="46" s="1"/>
  <c r="I5" i="6"/>
  <c r="B3" i="67"/>
  <c r="B4" i="67"/>
  <c r="C14" i="15"/>
  <c r="C18" i="15" l="1"/>
  <c r="C15" i="15"/>
  <c r="G22" i="46"/>
  <c r="M101" i="46"/>
  <c r="AJ11" i="46"/>
  <c r="AJ13" i="46" s="1"/>
  <c r="J101" i="46"/>
  <c r="F22" i="46"/>
  <c r="E22" i="46"/>
  <c r="AF11" i="46"/>
  <c r="AF13" i="46" s="1"/>
  <c r="H101" i="46"/>
  <c r="D101" i="46"/>
  <c r="N101" i="46"/>
  <c r="G101" i="46"/>
  <c r="L101" i="46"/>
  <c r="K101" i="46"/>
  <c r="Z11" i="46"/>
  <c r="Z13" i="46" s="1"/>
  <c r="AI11" i="46"/>
  <c r="AI13" i="46" s="1"/>
  <c r="AB11" i="46"/>
  <c r="AB13" i="46" s="1"/>
  <c r="Y11" i="46"/>
  <c r="Y13" i="46" s="1"/>
  <c r="F101" i="46"/>
  <c r="AC11" i="46"/>
  <c r="AC13" i="46" s="1"/>
  <c r="C101" i="46"/>
  <c r="N104" i="45"/>
  <c r="Z7" i="46"/>
  <c r="AA11" i="46"/>
  <c r="AA13" i="46" s="1"/>
  <c r="H22" i="46"/>
  <c r="J22" i="46"/>
  <c r="I101" i="46"/>
  <c r="AD11" i="46"/>
  <c r="AD13" i="46" s="1"/>
  <c r="B113" i="46"/>
  <c r="E101" i="46"/>
  <c r="AG11" i="46"/>
  <c r="AG13" i="46" s="1"/>
  <c r="AH11" i="46"/>
  <c r="AH13" i="46" s="1"/>
  <c r="AE11" i="46"/>
  <c r="AE13" i="46" s="1"/>
  <c r="J18" i="15"/>
  <c r="J5" i="15"/>
  <c r="P6" i="1"/>
  <c r="C13" i="43"/>
  <c r="N16" i="1"/>
  <c r="C29" i="43" s="1"/>
  <c r="L16" i="1"/>
  <c r="S12" i="40"/>
  <c r="AA12" i="40"/>
  <c r="U12" i="40"/>
  <c r="AB12" i="40"/>
  <c r="AB12" i="39"/>
  <c r="U12" i="39"/>
  <c r="T8" i="1"/>
  <c r="T9" i="1"/>
  <c r="T13" i="1"/>
  <c r="T10" i="1"/>
  <c r="T12" i="1"/>
  <c r="T11" i="1"/>
  <c r="T7" i="1"/>
  <c r="C65" i="15"/>
  <c r="C59" i="15"/>
  <c r="S12" i="39"/>
  <c r="AA12" i="39"/>
  <c r="AC12" i="39"/>
  <c r="W12" i="39"/>
  <c r="AC12" i="40"/>
  <c r="W12" i="40"/>
  <c r="S19" i="6"/>
  <c r="S27" i="6" s="1"/>
  <c r="I27" i="6"/>
  <c r="H19" i="6"/>
  <c r="K65" i="40"/>
  <c r="J67" i="40"/>
  <c r="K70" i="39"/>
  <c r="J72" i="39"/>
  <c r="J59" i="15"/>
  <c r="J60" i="15" s="1"/>
  <c r="Q49" i="15" s="1"/>
  <c r="C13" i="12"/>
  <c r="C16" i="44"/>
  <c r="C19" i="15" l="1"/>
  <c r="C20" i="15" s="1"/>
  <c r="C26" i="15" s="1"/>
  <c r="C17" i="44"/>
  <c r="C20" i="44"/>
  <c r="C17" i="12"/>
  <c r="C14" i="12"/>
  <c r="P16" i="1"/>
  <c r="E105" i="46"/>
  <c r="E106" i="46"/>
  <c r="E107" i="46"/>
  <c r="E104" i="46"/>
  <c r="E102" i="46"/>
  <c r="E103" i="46"/>
  <c r="E109" i="46"/>
  <c r="R19" i="6"/>
  <c r="H27" i="6"/>
  <c r="C14" i="43"/>
  <c r="C17" i="43"/>
  <c r="J26" i="15"/>
  <c r="J29" i="15" s="1"/>
  <c r="J24" i="15"/>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18" i="46"/>
  <c r="J118" i="46" s="1"/>
  <c r="K118" i="46" s="1"/>
  <c r="L118" i="46" s="1"/>
  <c r="M118" i="46" s="1"/>
  <c r="D117" i="46"/>
  <c r="E117" i="46" s="1"/>
  <c r="F117" i="46" s="1"/>
  <c r="G117" i="46" s="1"/>
  <c r="H117" i="46" s="1"/>
  <c r="G118" i="46"/>
  <c r="H118" i="46" s="1"/>
  <c r="B115" i="46"/>
  <c r="C115" i="46" s="1"/>
  <c r="B116" i="46"/>
  <c r="C116" i="46" s="1"/>
  <c r="D118" i="46"/>
  <c r="E118" i="46" s="1"/>
  <c r="F118" i="46" s="1"/>
  <c r="I102" i="46"/>
  <c r="I109" i="46"/>
  <c r="I107" i="46"/>
  <c r="I103" i="46"/>
  <c r="I106" i="46"/>
  <c r="I105" i="46"/>
  <c r="I104" i="46"/>
  <c r="C102" i="46"/>
  <c r="C107" i="46"/>
  <c r="C105" i="46"/>
  <c r="C104" i="46"/>
  <c r="C103" i="46"/>
  <c r="C109" i="46"/>
  <c r="C106" i="46"/>
  <c r="F104" i="46"/>
  <c r="F105" i="46"/>
  <c r="F109" i="46"/>
  <c r="F107" i="46"/>
  <c r="F106" i="46"/>
  <c r="F102" i="46"/>
  <c r="F103" i="46"/>
  <c r="L102" i="46"/>
  <c r="L109" i="46"/>
  <c r="L106" i="46"/>
  <c r="L103" i="46"/>
  <c r="L104" i="46"/>
  <c r="L107" i="46"/>
  <c r="L105" i="46"/>
  <c r="N105" i="46"/>
  <c r="N109" i="46"/>
  <c r="N107" i="46"/>
  <c r="N106" i="46"/>
  <c r="N104" i="46"/>
  <c r="N103" i="46"/>
  <c r="N102" i="46"/>
  <c r="H102" i="46"/>
  <c r="H107" i="46"/>
  <c r="H106" i="46"/>
  <c r="H104" i="46"/>
  <c r="H103" i="46"/>
  <c r="H109" i="46"/>
  <c r="H105" i="46"/>
  <c r="D22" i="46"/>
  <c r="J109" i="46"/>
  <c r="J104" i="46"/>
  <c r="J105" i="46"/>
  <c r="J102" i="46"/>
  <c r="J103" i="46"/>
  <c r="J106" i="46"/>
  <c r="J107" i="46"/>
  <c r="M107" i="46"/>
  <c r="M109" i="46"/>
  <c r="M102" i="46"/>
  <c r="M106" i="46"/>
  <c r="M103" i="46"/>
  <c r="M105" i="46"/>
  <c r="M104" i="46"/>
  <c r="T16" i="1"/>
  <c r="K102" i="46"/>
  <c r="K109" i="46"/>
  <c r="K105" i="46"/>
  <c r="K107" i="46"/>
  <c r="K104" i="46"/>
  <c r="K103" i="46"/>
  <c r="K106" i="46"/>
  <c r="G104" i="46"/>
  <c r="G109" i="46"/>
  <c r="G105" i="46"/>
  <c r="G106" i="46"/>
  <c r="G107" i="46"/>
  <c r="G103" i="46"/>
  <c r="G102" i="46"/>
  <c r="D102" i="46"/>
  <c r="D107" i="46"/>
  <c r="D105" i="46"/>
  <c r="D106" i="46"/>
  <c r="D109" i="46"/>
  <c r="D103" i="46"/>
  <c r="D104" i="46"/>
  <c r="L70" i="39"/>
  <c r="K72" i="39"/>
  <c r="K67" i="40"/>
  <c r="L65" i="40"/>
  <c r="C18" i="43" l="1"/>
  <c r="C21" i="44"/>
  <c r="C22" i="44" s="1"/>
  <c r="C28" i="44" s="1"/>
  <c r="C23" i="15"/>
  <c r="C29" i="15" s="1"/>
  <c r="C18" i="12"/>
  <c r="C23" i="12" s="1"/>
  <c r="S7" i="46"/>
  <c r="T7" i="46" s="1"/>
  <c r="V7" i="46" s="1"/>
  <c r="S5" i="46"/>
  <c r="T5" i="46" s="1"/>
  <c r="V5" i="46" s="1"/>
  <c r="S4" i="46"/>
  <c r="T4" i="46" s="1"/>
  <c r="V4" i="46" s="1"/>
  <c r="S2" i="46"/>
  <c r="T2" i="46" s="1"/>
  <c r="V2" i="46" s="1"/>
  <c r="S3" i="46"/>
  <c r="T3" i="46" s="1"/>
  <c r="V3" i="46" s="1"/>
  <c r="S6" i="46"/>
  <c r="T6" i="46" s="1"/>
  <c r="V6" i="46" s="1"/>
  <c r="D113" i="46"/>
  <c r="C23" i="46"/>
  <c r="C21" i="46" s="1"/>
  <c r="C29" i="46" s="1"/>
  <c r="C19" i="43"/>
  <c r="C25" i="43" s="1"/>
  <c r="C24" i="43" s="1"/>
  <c r="R27" i="6"/>
  <c r="R6" i="1"/>
  <c r="M65" i="40"/>
  <c r="L67" i="40"/>
  <c r="L72" i="39"/>
  <c r="M70" i="39"/>
  <c r="F35" i="15"/>
  <c r="M21" i="15"/>
  <c r="C22" i="43" l="1"/>
  <c r="C21" i="43" s="1"/>
  <c r="C28" i="43" s="1"/>
  <c r="C30" i="43" s="1"/>
  <c r="C32" i="43" s="1"/>
  <c r="B2" i="43" s="1"/>
  <c r="B5" i="43" s="1"/>
  <c r="C25" i="44"/>
  <c r="C31" i="44" s="1"/>
  <c r="C15" i="44" s="1"/>
  <c r="F62" i="15"/>
  <c r="C61" i="15" s="1"/>
  <c r="C34" i="15"/>
  <c r="J20" i="15"/>
  <c r="R16" i="1"/>
  <c r="Q50" i="15"/>
  <c r="C33" i="15"/>
  <c r="C56" i="15"/>
  <c r="J19" i="15"/>
  <c r="C13" i="15"/>
  <c r="J14" i="15"/>
  <c r="C36" i="15"/>
  <c r="C30" i="46"/>
  <c r="E30" i="46" s="1"/>
  <c r="C27" i="46" s="1"/>
  <c r="E29" i="46"/>
  <c r="C26" i="46" s="1"/>
  <c r="B2" i="46" s="1"/>
  <c r="B4" i="75"/>
  <c r="L46" i="15"/>
  <c r="M72" i="39"/>
  <c r="N70" i="39"/>
  <c r="N72" i="39" s="1"/>
  <c r="J9" i="39" s="1"/>
  <c r="M67" i="40"/>
  <c r="N65" i="40"/>
  <c r="N67" i="40" s="1"/>
  <c r="C19" i="9"/>
  <c r="J17" i="15" l="1"/>
  <c r="H9" i="39"/>
  <c r="B4" i="43"/>
  <c r="B3" i="43"/>
  <c r="C35" i="44"/>
  <c r="C33" i="44" s="1"/>
  <c r="J21" i="44"/>
  <c r="J19" i="44" s="1"/>
  <c r="C38" i="44"/>
  <c r="Q51" i="44"/>
  <c r="J16" i="44"/>
  <c r="J15" i="44" s="1"/>
  <c r="J25" i="44" s="1"/>
  <c r="C31" i="15"/>
  <c r="L43" i="9"/>
  <c r="B3" i="46"/>
  <c r="D4" i="46"/>
  <c r="B4" i="46"/>
  <c r="C37" i="15"/>
  <c r="C55" i="15"/>
  <c r="C64" i="15" s="1"/>
  <c r="Q71" i="15"/>
  <c r="J35" i="15"/>
  <c r="C60" i="15"/>
  <c r="C58" i="15" s="1"/>
  <c r="C63" i="15"/>
  <c r="J24" i="44"/>
  <c r="Q72" i="44"/>
  <c r="C43" i="44"/>
  <c r="C39" i="44"/>
  <c r="J22" i="15"/>
  <c r="J13" i="15"/>
  <c r="J23" i="15" s="1"/>
  <c r="H9" i="40"/>
  <c r="U9" i="40" s="1"/>
  <c r="W9" i="39"/>
  <c r="AC9" i="39"/>
  <c r="V49" i="39" s="1"/>
  <c r="I49" i="39" s="1"/>
  <c r="F9" i="40"/>
  <c r="J9" i="40"/>
  <c r="F9" i="39"/>
  <c r="AB9" i="40"/>
  <c r="T44" i="40" s="1"/>
  <c r="G44" i="40" s="1"/>
  <c r="G48" i="40" s="1"/>
  <c r="H48" i="40" s="1"/>
  <c r="U9" i="39"/>
  <c r="AB9" i="39"/>
  <c r="T49" i="39" s="1"/>
  <c r="G49" i="39" s="1"/>
  <c r="C21" i="9"/>
  <c r="C20" i="9"/>
  <c r="C32" i="44" l="1"/>
  <c r="C42" i="44" s="1"/>
  <c r="Q71" i="44" s="1"/>
  <c r="Q70" i="44" s="1"/>
  <c r="C57" i="15"/>
  <c r="C66" i="15" s="1"/>
  <c r="C67" i="15" s="1"/>
  <c r="C70" i="15" s="1"/>
  <c r="C30" i="15"/>
  <c r="C39" i="15" s="1"/>
  <c r="C40" i="15" s="1"/>
  <c r="J16" i="15"/>
  <c r="J25" i="15" s="1"/>
  <c r="J18" i="44"/>
  <c r="J27" i="44" s="1"/>
  <c r="G53" i="39"/>
  <c r="H53" i="39" s="1"/>
  <c r="G54" i="39"/>
  <c r="H54" i="39" s="1"/>
  <c r="AC9" i="40"/>
  <c r="V44" i="40" s="1"/>
  <c r="I44" i="40" s="1"/>
  <c r="W9" i="40"/>
  <c r="I53" i="39"/>
  <c r="J53" i="39" s="1"/>
  <c r="S9" i="39"/>
  <c r="AA9" i="39"/>
  <c r="R49" i="39" s="1"/>
  <c r="S9" i="40"/>
  <c r="AA9" i="40"/>
  <c r="R44" i="40" s="1"/>
  <c r="L51" i="15"/>
  <c r="Q70" i="15" l="1"/>
  <c r="Q69" i="15" s="1"/>
  <c r="J39" i="15"/>
  <c r="J40" i="15" s="1"/>
  <c r="C44" i="44"/>
  <c r="C45" i="44" s="1"/>
  <c r="B2" i="44" s="1"/>
  <c r="L57" i="15"/>
  <c r="L60" i="15" s="1"/>
  <c r="Q68" i="15"/>
  <c r="Q57" i="15"/>
  <c r="C43" i="15"/>
  <c r="J42" i="15"/>
  <c r="J43" i="15" s="1"/>
  <c r="Q48" i="15"/>
  <c r="Q54" i="15" s="1"/>
  <c r="Q66" i="15"/>
  <c r="B2" i="15"/>
  <c r="C46" i="15"/>
  <c r="L52" i="44"/>
  <c r="G49" i="40"/>
  <c r="H49" i="40" s="1"/>
  <c r="I48" i="40"/>
  <c r="J48" i="40" s="1"/>
  <c r="R45" i="40"/>
  <c r="E44" i="40"/>
  <c r="E49" i="39"/>
  <c r="R50" i="39"/>
  <c r="L58" i="44" l="1"/>
  <c r="L61" i="44" s="1"/>
  <c r="Q69" i="44"/>
  <c r="B3" i="15"/>
  <c r="C10" i="12"/>
  <c r="C6" i="12" s="1"/>
  <c r="B3" i="44"/>
  <c r="B5" i="44"/>
  <c r="B4" i="44"/>
  <c r="Q58" i="15"/>
  <c r="Q63" i="15" s="1"/>
  <c r="Q67" i="15"/>
  <c r="Q76" i="15" s="1"/>
  <c r="C49" i="39"/>
  <c r="C50" i="39"/>
  <c r="E48" i="40"/>
  <c r="F48" i="40" s="1"/>
  <c r="E49" i="40"/>
  <c r="F49" i="40" s="1"/>
  <c r="E54" i="39"/>
  <c r="F54" i="39" s="1"/>
  <c r="E53" i="39"/>
  <c r="F53" i="39" s="1"/>
  <c r="I54" i="39"/>
  <c r="J54" i="39" s="1"/>
  <c r="C44" i="40"/>
  <c r="C45" i="40"/>
  <c r="I49" i="40"/>
  <c r="J49" i="40" s="1"/>
  <c r="C24" i="12" l="1"/>
  <c r="C29" i="12"/>
  <c r="Q59" i="44"/>
  <c r="Q64" i="44" s="1"/>
  <c r="Q68" i="44"/>
  <c r="Q77" i="44" s="1"/>
  <c r="B56" i="40"/>
  <c r="F56" i="40" s="1"/>
  <c r="B60" i="40"/>
  <c r="F60" i="40" s="1"/>
  <c r="B53" i="40"/>
  <c r="F53" i="40" s="1"/>
  <c r="B62" i="40"/>
  <c r="F62" i="40" s="1"/>
  <c r="B59" i="40"/>
  <c r="F59" i="40" s="1"/>
  <c r="F63" i="40"/>
  <c r="B2" i="40" s="1"/>
  <c r="B61" i="40"/>
  <c r="F61" i="40" s="1"/>
  <c r="B55" i="40"/>
  <c r="F55" i="40" s="1"/>
  <c r="B57" i="40"/>
  <c r="F57" i="40" s="1"/>
  <c r="B54" i="40"/>
  <c r="F54" i="40" s="1"/>
  <c r="B58" i="40"/>
  <c r="F58"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C35" i="12" l="1"/>
  <c r="C33" i="12" s="1"/>
  <c r="C28" i="12"/>
  <c r="C26" i="12" s="1"/>
  <c r="C31" i="12" s="1"/>
  <c r="C30" i="12" s="1"/>
  <c r="B4" i="39"/>
  <c r="B3" i="39"/>
  <c r="B5" i="39"/>
  <c r="B3" i="40"/>
  <c r="B5" i="40"/>
  <c r="B4" i="40"/>
  <c r="C36" i="12" l="1"/>
  <c r="B2" i="12" s="1"/>
  <c r="B5" i="12"/>
  <c r="D19" i="9"/>
  <c r="G19" i="9" l="1"/>
  <c r="N43" i="9" s="1"/>
  <c r="L44" i="9"/>
  <c r="D22" i="9"/>
  <c r="B4" i="12"/>
  <c r="D21" i="9"/>
  <c r="B3" i="12"/>
  <c r="D20" i="9"/>
  <c r="D4" i="75" l="1"/>
  <c r="F4" i="75" s="1"/>
  <c r="H4" i="75" s="1"/>
  <c r="L4" i="75" s="1"/>
  <c r="M4" i="75" s="1"/>
  <c r="R3" i="75" s="1"/>
  <c r="G20" i="9"/>
  <c r="G22" i="9"/>
  <c r="C32" i="9"/>
  <c r="C35" i="9" s="1"/>
  <c r="F42" i="9" s="1"/>
  <c r="G21" i="9"/>
  <c r="R9" i="75" l="1"/>
  <c r="R16" i="75" s="1"/>
  <c r="Q31" i="75"/>
  <c r="Q35" i="75" s="1"/>
  <c r="D14" i="66" s="1"/>
  <c r="R19" i="75"/>
  <c r="L6" i="75"/>
  <c r="C34" i="9"/>
  <c r="M38" i="9" s="1"/>
  <c r="K27" i="9" s="1"/>
  <c r="O43" i="9"/>
  <c r="C33" i="9"/>
  <c r="N38" i="9" s="1"/>
  <c r="K28" i="9" s="1"/>
  <c r="C42" i="9"/>
  <c r="O38" i="9"/>
  <c r="K25" i="9" s="1"/>
  <c r="M11" i="75" l="1"/>
  <c r="M12" i="75" s="1"/>
  <c r="N68" i="9"/>
  <c r="E42" i="9"/>
  <c r="P5" i="54" s="1"/>
  <c r="B46" i="63" s="1"/>
  <c r="D42" i="9"/>
  <c r="Q5" i="54" s="1"/>
  <c r="B47" i="63" s="1"/>
  <c r="D63" i="9"/>
  <c r="D73" i="9" s="1"/>
  <c r="N73" i="9" s="1"/>
  <c r="K26" i="9"/>
  <c r="R5" i="54"/>
  <c r="B48" i="63" s="1"/>
  <c r="E14" i="66"/>
  <c r="B5" i="66"/>
  <c r="F14" i="66"/>
  <c r="C111" i="9"/>
  <c r="C104" i="9" s="1"/>
  <c r="D70" i="9" l="1"/>
  <c r="D71" i="9"/>
  <c r="D66" i="9" s="1"/>
  <c r="N72" i="9" s="1"/>
  <c r="C82" i="9"/>
  <c r="C81" i="9" s="1"/>
  <c r="C85" i="9" s="1"/>
  <c r="C86" i="9" s="1"/>
  <c r="D72" i="9" s="1"/>
  <c r="C90" i="9"/>
  <c r="C103" i="9"/>
  <c r="C113" i="9" s="1"/>
  <c r="C114" i="9" s="1"/>
  <c r="E114" i="9" s="1"/>
  <c r="E115" i="9" s="1"/>
  <c r="C96" i="9"/>
  <c r="C91" i="9" s="1"/>
  <c r="D5" i="66"/>
  <c r="C5" i="66"/>
  <c r="C97" i="9" l="1"/>
  <c r="C115" i="9"/>
  <c r="D76" i="9" s="1"/>
  <c r="D74" i="9" s="1"/>
  <c r="N74" i="9" s="1"/>
  <c r="O77" i="9" s="1"/>
  <c r="O78" i="9" s="1"/>
  <c r="Q77" i="9" l="1"/>
  <c r="C98" i="9"/>
  <c r="E98" i="9" s="1"/>
  <c r="E99" i="9" s="1"/>
  <c r="O79" i="9"/>
  <c r="O80" i="9" s="1"/>
  <c r="C99"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B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2"/>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liu</author>
  </authors>
  <commentList>
    <comment ref="G13" authorId="0" shapeId="0" xr:uid="{00000000-0006-0000-2C00-00000100000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 ref="G14" authorId="0" shapeId="0" xr:uid="{00000000-0006-0000-2C00-000002000000}">
      <text>
        <r>
          <rPr>
            <b/>
            <sz val="9"/>
            <rFont val="宋体"/>
            <family val="3"/>
            <charset val="134"/>
          </rPr>
          <t>liu:</t>
        </r>
        <r>
          <rPr>
            <sz val="9"/>
            <rFont val="宋体"/>
            <family val="3"/>
            <charset val="134"/>
          </rPr>
          <t xml:space="preserve">
</t>
        </r>
        <r>
          <rPr>
            <b/>
            <sz val="9"/>
            <color indexed="10"/>
            <rFont val="宋体"/>
            <family val="3"/>
            <charset val="134"/>
          </rPr>
          <t>注：</t>
        </r>
        <r>
          <rPr>
            <sz val="9"/>
            <color indexed="12"/>
            <rFont val="宋体"/>
            <family val="3"/>
            <charset val="134"/>
          </rPr>
          <t>硬山搁檩房屋不计算隔断墙。
见</t>
        </r>
        <r>
          <rPr>
            <sz val="10"/>
            <color indexed="10"/>
            <rFont val="宋体"/>
            <family val="3"/>
            <charset val="134"/>
          </rPr>
          <t>P.92</t>
        </r>
        <r>
          <rPr>
            <sz val="9"/>
            <color indexed="12"/>
            <rFont val="宋体"/>
            <family val="3"/>
            <charset val="134"/>
          </rPr>
          <t>附记（9）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1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1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1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1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1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1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1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1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1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100-00001C000000}">
      <text>
        <r>
          <rPr>
            <sz val="10"/>
            <color indexed="81"/>
            <rFont val="宋体"/>
            <family val="3"/>
            <charset val="134"/>
          </rPr>
          <t xml:space="preserve">需在此处填写剩余土地年限
</t>
        </r>
      </text>
    </comment>
    <comment ref="C99"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1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1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1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1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1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1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1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1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100-000029000000}">
      <text>
        <r>
          <rPr>
            <b/>
            <sz val="9"/>
            <color indexed="81"/>
            <rFont val="宋体"/>
            <family val="3"/>
            <charset val="134"/>
          </rPr>
          <t xml:space="preserve">容积率
</t>
        </r>
      </text>
    </comment>
    <comment ref="D101" authorId="0" shapeId="0" xr:uid="{00000000-0006-0000-1100-00002A000000}">
      <text>
        <r>
          <rPr>
            <b/>
            <sz val="9"/>
            <color indexed="81"/>
            <rFont val="宋体"/>
            <family val="3"/>
            <charset val="134"/>
          </rPr>
          <t xml:space="preserve">容积率
</t>
        </r>
      </text>
    </comment>
    <comment ref="E101" authorId="0" shapeId="0" xr:uid="{00000000-0006-0000-1100-00002B000000}">
      <text>
        <r>
          <rPr>
            <b/>
            <sz val="9"/>
            <color indexed="81"/>
            <rFont val="宋体"/>
            <family val="3"/>
            <charset val="134"/>
          </rPr>
          <t xml:space="preserve">容积率
</t>
        </r>
      </text>
    </comment>
    <comment ref="F101" authorId="0" shapeId="0" xr:uid="{00000000-0006-0000-1100-00002C000000}">
      <text>
        <r>
          <rPr>
            <b/>
            <sz val="9"/>
            <color indexed="81"/>
            <rFont val="宋体"/>
            <family val="3"/>
            <charset val="134"/>
          </rPr>
          <t xml:space="preserve">容积率
</t>
        </r>
      </text>
    </comment>
    <comment ref="G101" authorId="0" shapeId="0" xr:uid="{00000000-0006-0000-1100-00002D000000}">
      <text>
        <r>
          <rPr>
            <b/>
            <sz val="9"/>
            <color indexed="81"/>
            <rFont val="宋体"/>
            <family val="3"/>
            <charset val="134"/>
          </rPr>
          <t xml:space="preserve">容积率
</t>
        </r>
      </text>
    </comment>
    <comment ref="H101" authorId="0" shapeId="0" xr:uid="{00000000-0006-0000-1100-00002E000000}">
      <text>
        <r>
          <rPr>
            <b/>
            <sz val="9"/>
            <color indexed="81"/>
            <rFont val="宋体"/>
            <family val="3"/>
            <charset val="134"/>
          </rPr>
          <t xml:space="preserve">容积率
</t>
        </r>
      </text>
    </comment>
    <comment ref="I101" authorId="0" shapeId="0" xr:uid="{00000000-0006-0000-1100-00002F000000}">
      <text>
        <r>
          <rPr>
            <b/>
            <sz val="9"/>
            <color indexed="81"/>
            <rFont val="宋体"/>
            <family val="3"/>
            <charset val="134"/>
          </rPr>
          <t xml:space="preserve">容积率
</t>
        </r>
      </text>
    </comment>
    <comment ref="J101" authorId="0" shapeId="0" xr:uid="{00000000-0006-0000-1100-000030000000}">
      <text>
        <r>
          <rPr>
            <b/>
            <sz val="9"/>
            <color indexed="81"/>
            <rFont val="宋体"/>
            <family val="3"/>
            <charset val="134"/>
          </rPr>
          <t xml:space="preserve">容积率
</t>
        </r>
      </text>
    </comment>
    <comment ref="K101" authorId="0" shapeId="0" xr:uid="{00000000-0006-0000-1100-000031000000}">
      <text>
        <r>
          <rPr>
            <b/>
            <sz val="9"/>
            <color indexed="81"/>
            <rFont val="宋体"/>
            <family val="3"/>
            <charset val="134"/>
          </rPr>
          <t xml:space="preserve">容积率
</t>
        </r>
      </text>
    </comment>
    <comment ref="L101" authorId="0" shapeId="0" xr:uid="{00000000-0006-0000-1100-000032000000}">
      <text>
        <r>
          <rPr>
            <b/>
            <sz val="9"/>
            <color indexed="81"/>
            <rFont val="宋体"/>
            <family val="3"/>
            <charset val="134"/>
          </rPr>
          <t xml:space="preserve">容积率
</t>
        </r>
      </text>
    </comment>
    <comment ref="M101" authorId="0" shapeId="0" xr:uid="{00000000-0006-0000-1100-000033000000}">
      <text>
        <r>
          <rPr>
            <b/>
            <sz val="9"/>
            <color indexed="81"/>
            <rFont val="宋体"/>
            <family val="3"/>
            <charset val="134"/>
          </rPr>
          <t xml:space="preserve">容积率
</t>
        </r>
      </text>
    </comment>
    <comment ref="N101" authorId="0" shapeId="0" xr:uid="{00000000-0006-0000-1100-000034000000}">
      <text>
        <r>
          <rPr>
            <b/>
            <sz val="9"/>
            <color indexed="81"/>
            <rFont val="宋体"/>
            <family val="3"/>
            <charset val="134"/>
          </rPr>
          <t xml:space="preserve">容积率
</t>
        </r>
      </text>
    </comment>
    <comment ref="C108" authorId="0" shapeId="0" xr:uid="{00000000-0006-0000-11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1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1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1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1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1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1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1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1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1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1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1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1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4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<sst xmlns="http://schemas.openxmlformats.org/spreadsheetml/2006/main" count="10004" uniqueCount="4669">
  <si>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</si>
  <si>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</si>
  <si>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</si>
  <si>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</si>
  <si>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</si>
  <si>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</si>
  <si>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</si>
  <si>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</si>
  <si>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</si>
  <si>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</si>
  <si>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</si>
  <si>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</si>
  <si>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</si>
  <si>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</si>
  <si>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</si>
  <si>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</si>
  <si>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</si>
  <si>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</si>
  <si>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</si>
  <si>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</si>
  <si>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</si>
  <si>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</si>
  <si>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</si>
  <si>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</si>
  <si>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</si>
  <si>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</si>
  <si>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</si>
  <si>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</si>
  <si>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</si>
  <si>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</si>
  <si>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</si>
  <si>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</si>
  <si>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</si>
  <si>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</si>
  <si>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</si>
  <si>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</si>
  <si>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</si>
  <si>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</si>
  <si>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</si>
  <si>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</si>
  <si>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</si>
  <si>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</si>
  <si>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</si>
  <si>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</si>
  <si>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</si>
  <si>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</si>
  <si>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</si>
  <si>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</si>
  <si>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</si>
  <si>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</si>
  <si>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</si>
  <si>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</si>
  <si>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</si>
  <si>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</si>
  <si>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</si>
  <si>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</si>
  <si>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</si>
  <si>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</si>
  <si>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</si>
  <si>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</si>
  <si>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</si>
  <si>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</si>
  <si>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</si>
  <si>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</si>
  <si>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</si>
  <si>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</si>
  <si>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</si>
  <si>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</si>
  <si>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</si>
  <si>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</si>
  <si>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</si>
  <si>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</si>
  <si>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</si>
  <si>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</si>
  <si>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</si>
  <si>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</si>
  <si>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</si>
  <si>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</si>
  <si>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</si>
  <si>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</si>
  <si>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</si>
  <si>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</si>
  <si>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</si>
  <si>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</si>
  <si>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</si>
  <si>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</si>
  <si>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</si>
  <si>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</si>
  <si>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</si>
  <si>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</si>
  <si>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</si>
  <si>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</si>
  <si>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</si>
  <si>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</si>
  <si>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</si>
  <si>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</si>
  <si>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</si>
  <si>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</si>
  <si>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</si>
  <si>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</si>
  <si>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</si>
  <si>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</si>
  <si>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</si>
  <si>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</si>
  <si>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</si>
  <si>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</si>
  <si>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</si>
  <si>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</si>
  <si>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</si>
  <si>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</si>
  <si>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</si>
  <si>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</si>
  <si>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</si>
  <si>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</si>
  <si>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</si>
  <si>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</si>
  <si>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</si>
  <si>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</si>
  <si>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</si>
  <si>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</si>
  <si>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</si>
  <si>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</si>
  <si>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</si>
  <si>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</si>
  <si>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</si>
  <si>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</si>
  <si>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</si>
  <si>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</si>
  <si>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</si>
  <si>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</si>
  <si>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</si>
  <si>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</si>
  <si>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</si>
  <si>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</si>
  <si>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</si>
  <si>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</si>
  <si>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</si>
  <si>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</si>
  <si>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</si>
  <si>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</si>
  <si>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</si>
  <si>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</si>
  <si>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</si>
  <si>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</si>
  <si>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</si>
  <si>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</si>
  <si>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</si>
  <si>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</si>
  <si>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</si>
  <si>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</si>
  <si>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</si>
  <si>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</si>
  <si>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</si>
  <si>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</si>
  <si>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</si>
  <si>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</si>
  <si>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</si>
  <si>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</si>
  <si>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</si>
  <si>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</si>
  <si>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</si>
  <si>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</si>
  <si>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</si>
  <si>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</si>
  <si>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</si>
  <si>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</si>
  <si>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</si>
  <si>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</si>
  <si>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</si>
  <si>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</si>
  <si>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</si>
  <si>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</si>
  <si>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</si>
  <si>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</si>
  <si>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</si>
  <si>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</si>
  <si>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</si>
  <si>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</si>
  <si>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</si>
  <si>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</si>
  <si>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</si>
  <si>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</si>
  <si>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</si>
  <si>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</si>
  <si>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</si>
  <si>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</si>
  <si>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</si>
  <si>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</si>
  <si>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</si>
  <si>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</si>
  <si>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</si>
  <si>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</si>
  <si>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</si>
  <si>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</si>
  <si>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</si>
  <si>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</si>
  <si>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</si>
  <si>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</si>
  <si>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</si>
  <si>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</si>
  <si>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</si>
  <si>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</si>
  <si>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</si>
  <si>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</si>
  <si>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</si>
  <si>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</si>
  <si>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</si>
  <si>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</si>
  <si>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</si>
  <si>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</si>
  <si>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</si>
  <si>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</si>
  <si>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</si>
  <si>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</si>
  <si>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</si>
  <si>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</si>
  <si>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</si>
  <si>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</si>
  <si>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</si>
  <si>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</si>
  <si>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</si>
  <si>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</si>
  <si>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</si>
  <si>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</si>
  <si>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</si>
  <si>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</si>
  <si>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</si>
  <si>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</si>
  <si>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</si>
  <si>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</si>
  <si>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</si>
  <si>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</si>
  <si>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</si>
  <si>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</si>
  <si>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</si>
  <si>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</si>
  <si>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</si>
  <si>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</si>
  <si>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</si>
  <si>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</si>
  <si>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</si>
  <si>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</si>
  <si>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</si>
  <si>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</si>
  <si>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</si>
  <si>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</si>
  <si>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</si>
  <si>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</si>
  <si>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</si>
  <si>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</si>
  <si>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</si>
  <si>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</si>
  <si>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</si>
  <si>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</si>
  <si>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</si>
  <si>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</si>
  <si>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</si>
  <si>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</si>
  <si>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</si>
  <si>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</si>
  <si>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</si>
  <si>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</si>
  <si>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</si>
  <si>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</si>
  <si>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</si>
  <si>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</si>
  <si>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</si>
  <si>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</si>
  <si>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</si>
  <si>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</si>
  <si>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</si>
  <si>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</si>
  <si>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</si>
  <si>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</si>
  <si>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</si>
  <si>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</si>
  <si>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</si>
  <si>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</si>
  <si>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</si>
  <si>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</si>
  <si>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</si>
  <si>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</si>
  <si>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</si>
  <si>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</si>
  <si>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</si>
  <si>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</si>
  <si>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</si>
  <si>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</si>
  <si>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</si>
  <si>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</si>
  <si>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</si>
  <si>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</si>
  <si>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</si>
  <si>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</si>
  <si>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</si>
  <si>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</si>
  <si>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</si>
  <si>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</si>
  <si>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</si>
  <si>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</si>
  <si>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</si>
  <si>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</si>
  <si>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</si>
  <si>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</si>
  <si>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</si>
  <si>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</si>
  <si>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</si>
  <si>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</si>
  <si>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</si>
  <si>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</si>
  <si>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</si>
  <si>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</si>
  <si>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</si>
  <si>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</si>
  <si>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</si>
  <si>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</si>
  <si>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</si>
  <si>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</si>
  <si>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</si>
  <si>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</si>
  <si>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</si>
  <si>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</si>
  <si>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</si>
  <si>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</si>
  <si>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</si>
  <si>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</si>
  <si>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</si>
  <si>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</si>
  <si>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</si>
  <si>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</si>
  <si>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</si>
  <si>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</si>
  <si>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</si>
  <si>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</si>
  <si>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</si>
  <si>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</si>
  <si>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</si>
  <si>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</si>
  <si>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</si>
  <si>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</si>
  <si>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</si>
  <si>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</si>
  <si>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</si>
  <si>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</si>
  <si>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</si>
  <si>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</si>
  <si>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</si>
  <si>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</si>
  <si>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</si>
  <si>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</si>
  <si>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</si>
  <si>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</si>
  <si>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</si>
  <si>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</si>
  <si>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</si>
  <si>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</si>
  <si>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</si>
  <si>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</si>
  <si>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</si>
  <si>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</si>
  <si>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</si>
  <si>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</si>
  <si>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</si>
  <si>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</si>
  <si>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</si>
  <si>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</si>
  <si>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</si>
  <si>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</si>
  <si>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</si>
  <si>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</si>
  <si>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</si>
  <si>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</si>
  <si>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</si>
  <si>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</si>
  <si>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</si>
  <si>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</si>
  <si>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</si>
  <si>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</si>
  <si>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</si>
  <si>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</si>
  <si>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</si>
  <si>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</si>
  <si>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</si>
  <si>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</si>
  <si>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</si>
  <si>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</si>
  <si>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</si>
  <si>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</si>
  <si>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</si>
  <si>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</si>
  <si>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</si>
  <si>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</si>
  <si>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</si>
  <si>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</si>
  <si>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</si>
  <si>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</si>
  <si>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</si>
  <si>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</si>
  <si>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</si>
  <si>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</si>
  <si>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</si>
  <si>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</si>
  <si>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</si>
  <si>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</si>
  <si>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</si>
  <si>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</si>
  <si>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</si>
  <si>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</si>
  <si>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</si>
  <si>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</si>
  <si>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</si>
  <si>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</si>
  <si>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</si>
  <si>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</si>
  <si>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</si>
  <si>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</si>
  <si>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</si>
  <si>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</si>
  <si>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</si>
  <si>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</si>
  <si>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</si>
  <si>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</si>
  <si>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</si>
  <si>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</si>
  <si>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</si>
  <si>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</si>
  <si>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</si>
  <si>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</si>
  <si>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</si>
  <si>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</si>
  <si>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</si>
  <si>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</si>
  <si>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</si>
  <si>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</si>
  <si>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</si>
  <si>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</si>
  <si>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</si>
  <si>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</si>
  <si>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</si>
  <si>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</si>
  <si>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</si>
  <si>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</si>
  <si>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</si>
  <si>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</si>
  <si>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</si>
  <si>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</si>
  <si>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</si>
  <si>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</si>
  <si>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</si>
  <si>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</si>
  <si>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</si>
  <si>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</si>
  <si>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</si>
  <si>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</si>
  <si>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</si>
  <si>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</si>
  <si>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</si>
  <si>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</si>
  <si>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</si>
  <si>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</si>
  <si>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</si>
  <si>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</si>
  <si>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</si>
  <si>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</si>
  <si>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</si>
  <si>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</si>
  <si>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</si>
  <si>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</si>
  <si>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</si>
  <si>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</si>
  <si>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</si>
  <si>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</si>
  <si>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</si>
  <si>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</si>
  <si>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</si>
  <si>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</si>
  <si>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</si>
  <si>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</si>
  <si>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</si>
  <si>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</si>
  <si>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</si>
  <si>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</si>
  <si>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</si>
  <si>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</si>
  <si>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</si>
  <si>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</si>
  <si>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</si>
  <si>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</si>
  <si>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</si>
  <si>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</si>
  <si>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</si>
  <si>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</si>
  <si>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</si>
  <si>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</si>
  <si>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</si>
  <si>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</si>
  <si>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</si>
  <si>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</si>
  <si>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</si>
  <si>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</si>
  <si>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</si>
  <si>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</si>
  <si>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</si>
  <si>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</si>
  <si>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</si>
  <si>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</si>
  <si>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</si>
  <si>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</si>
  <si>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</si>
  <si>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</si>
  <si>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</si>
  <si>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</si>
  <si>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</si>
  <si>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</si>
  <si>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</si>
  <si>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</si>
  <si>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</si>
  <si>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</si>
  <si>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</si>
  <si>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</si>
  <si>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</si>
  <si>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</si>
  <si>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</si>
  <si>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</si>
  <si>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</si>
  <si>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</si>
  <si>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</si>
  <si>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</si>
  <si>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</si>
  <si>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</si>
  <si>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</si>
  <si>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</si>
  <si>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</si>
  <si>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</si>
  <si>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</si>
  <si>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</si>
  <si>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</si>
  <si>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</si>
  <si>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</si>
  <si>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</si>
  <si>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</si>
  <si>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</si>
  <si>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</si>
  <si>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</si>
  <si>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</si>
  <si>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</si>
  <si>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</si>
  <si>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</si>
  <si>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</si>
  <si>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</si>
  <si>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</si>
  <si>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</si>
  <si>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</si>
  <si>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</si>
  <si>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</si>
  <si>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</si>
  <si>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</si>
  <si>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</si>
  <si>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</si>
  <si>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</si>
  <si>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</si>
  <si>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</si>
  <si>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</si>
  <si>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</si>
  <si>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</si>
  <si>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</si>
  <si>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</si>
  <si>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</si>
  <si>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</si>
  <si>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</si>
  <si>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</si>
  <si>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</si>
  <si>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</si>
  <si>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</si>
  <si>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</si>
  <si>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</si>
  <si>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</si>
  <si>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</si>
  <si>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</si>
  <si>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</si>
  <si>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</si>
  <si>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</si>
  <si>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</si>
  <si>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</si>
  <si>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</si>
  <si>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</si>
  <si>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</si>
  <si>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</si>
  <si>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</si>
  <si>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</si>
  <si>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</si>
  <si>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</si>
  <si>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</si>
  <si>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</si>
  <si>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</si>
  <si>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</si>
  <si>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</si>
  <si>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</si>
  <si>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</si>
  <si>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</si>
  <si>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</si>
  <si>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</si>
  <si>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</si>
  <si>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</si>
  <si>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</si>
  <si>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</si>
  <si>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</si>
  <si>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</si>
  <si>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</si>
  <si>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</si>
  <si>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</si>
  <si>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</si>
  <si>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</si>
  <si>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</si>
  <si>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</si>
  <si>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</si>
  <si>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</si>
  <si>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</si>
  <si>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</si>
  <si>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</si>
  <si>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</si>
  <si>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</si>
  <si>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</si>
  <si>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</si>
  <si>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</si>
  <si>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</si>
  <si>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</si>
  <si>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</si>
  <si>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</si>
  <si>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</si>
  <si>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</si>
  <si>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</si>
  <si>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</si>
  <si>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</si>
  <si>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</si>
  <si>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</si>
  <si>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</si>
  <si>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</si>
  <si>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</si>
  <si>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</si>
  <si>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</si>
  <si>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</si>
  <si>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</si>
  <si>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</si>
  <si>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</si>
  <si>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</si>
  <si>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</si>
  <si>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</si>
  <si>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</si>
  <si>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</si>
  <si>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</si>
  <si>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</si>
  <si>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</si>
  <si>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</si>
  <si>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</si>
  <si>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</si>
  <si>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</si>
  <si>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</si>
  <si>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</si>
  <si>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</si>
  <si>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</si>
  <si>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</si>
  <si>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</si>
  <si>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</si>
  <si>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</si>
  <si>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</si>
  <si>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</si>
  <si>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</si>
  <si>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</si>
  <si>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</si>
  <si>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</si>
  <si>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</si>
  <si>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</si>
  <si>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</si>
  <si>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</si>
  <si>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</si>
  <si>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</si>
  <si>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</si>
  <si>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</si>
  <si>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</si>
  <si>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</si>
  <si>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</si>
  <si>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</si>
  <si>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</si>
  <si>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</si>
  <si>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</si>
  <si>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</si>
  <si>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</si>
  <si>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</si>
  <si>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</si>
  <si>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</si>
  <si>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</si>
  <si>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</si>
  <si>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</si>
  <si>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</si>
  <si>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</si>
  <si>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</si>
  <si>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</si>
  <si>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</si>
  <si>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</si>
  <si>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</si>
  <si>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</si>
  <si>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</si>
  <si>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</si>
  <si>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</si>
  <si>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</si>
  <si>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</si>
  <si>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</si>
  <si>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</si>
  <si>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</si>
  <si>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</si>
  <si>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</si>
  <si>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</si>
  <si>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</si>
  <si>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</si>
  <si>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</si>
  <si>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</si>
  <si>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</si>
  <si>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</si>
  <si>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</si>
  <si>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</si>
  <si>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</si>
  <si>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</si>
  <si>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</si>
  <si>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</si>
  <si>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</si>
  <si>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</si>
  <si>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</si>
  <si>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</si>
  <si>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</si>
  <si>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</si>
  <si>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</si>
  <si>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</si>
  <si>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</si>
  <si>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</si>
  <si>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</si>
  <si>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</si>
  <si>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</si>
  <si>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</si>
  <si>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</si>
  <si>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</si>
  <si>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</si>
  <si>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</si>
  <si>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</si>
  <si>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</si>
  <si>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</si>
  <si>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</si>
  <si>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</si>
  <si>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</si>
  <si>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</si>
  <si>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</si>
  <si>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</si>
  <si>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</si>
  <si>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</si>
  <si>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</si>
  <si>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</si>
  <si>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</si>
  <si>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</si>
  <si>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</si>
  <si>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</si>
  <si>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</si>
  <si>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</si>
  <si>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</si>
  <si>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</si>
  <si>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</si>
  <si>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</si>
  <si>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</si>
  <si>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</si>
  <si>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</si>
  <si>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</si>
  <si>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</si>
  <si>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</si>
  <si>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</si>
  <si>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</si>
  <si>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</si>
  <si>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</si>
  <si>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</si>
  <si>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</si>
  <si>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</si>
  <si>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</si>
  <si>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</si>
  <si>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</si>
  <si>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</si>
  <si>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</si>
  <si>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</si>
  <si>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</si>
  <si>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</si>
  <si>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</si>
  <si>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</si>
  <si>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</si>
  <si>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</si>
  <si>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</si>
  <si>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</si>
  <si>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</si>
  <si>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</si>
  <si>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</si>
  <si>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</si>
  <si>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</si>
  <si>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</si>
  <si>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</si>
  <si>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</si>
  <si>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</si>
  <si>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</si>
  <si>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</si>
  <si>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</si>
  <si>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</si>
  <si>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</si>
  <si>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</si>
  <si>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</si>
  <si>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</si>
  <si>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</si>
  <si>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</si>
  <si>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</si>
  <si>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</si>
  <si>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</si>
  <si>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</si>
  <si>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</si>
  <si>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</si>
  <si>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</si>
  <si>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</si>
  <si>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</si>
  <si>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</si>
  <si>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</si>
  <si>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</si>
  <si>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</si>
  <si>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</si>
  <si>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</si>
  <si>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</si>
  <si>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</si>
  <si>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</si>
  <si>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</si>
  <si>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</si>
  <si>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</si>
  <si>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</si>
  <si>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</si>
  <si>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</si>
  <si>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</si>
  <si>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</si>
  <si>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</si>
  <si>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</si>
  <si>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</si>
  <si>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</si>
  <si>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</si>
  <si>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</si>
  <si>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</si>
  <si>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</si>
  <si>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</si>
  <si>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</si>
  <si>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</si>
  <si>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</si>
  <si>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</si>
  <si>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</si>
  <si>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</si>
  <si>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</si>
  <si>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</si>
  <si>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</si>
  <si>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</si>
  <si>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</si>
  <si>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</si>
  <si>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</si>
  <si>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</si>
  <si>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</si>
  <si>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</si>
  <si>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</si>
  <si>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</si>
  <si>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</si>
  <si>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</si>
  <si>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</si>
  <si>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</si>
  <si>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</si>
  <si>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</si>
  <si>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</si>
  <si>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</si>
  <si>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</si>
  <si>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</si>
  <si>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</si>
  <si>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</si>
  <si>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</si>
  <si>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</si>
  <si>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</si>
  <si>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</si>
  <si>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</si>
  <si>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</si>
  <si>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</si>
  <si>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</si>
  <si>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</si>
  <si>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</si>
  <si>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</si>
  <si>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</si>
  <si>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</si>
  <si>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</si>
  <si>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</si>
  <si>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</si>
  <si>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</si>
  <si>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</si>
  <si>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</si>
  <si>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</si>
  <si>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</si>
  <si>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</si>
  <si>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</si>
  <si>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</si>
  <si>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</si>
  <si>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</si>
  <si>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</si>
  <si>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</si>
  <si>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</si>
  <si>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</si>
  <si>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</si>
  <si>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</si>
  <si>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</si>
  <si>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</si>
  <si>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</si>
  <si>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</si>
  <si>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</si>
  <si>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</si>
  <si>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</si>
  <si>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</si>
  <si>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</si>
  <si>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</si>
  <si>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</si>
  <si>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</si>
  <si>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</si>
  <si>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</si>
  <si>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</si>
  <si>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</si>
  <si>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</si>
  <si>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</si>
  <si>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</si>
  <si>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</si>
  <si>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</si>
  <si>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</si>
  <si>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</si>
  <si>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</si>
  <si>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</si>
  <si>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</si>
  <si>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</si>
  <si>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</si>
  <si>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</si>
  <si>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</si>
  <si>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</si>
  <si>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</si>
  <si>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</si>
  <si>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</si>
  <si>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</si>
  <si>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</si>
  <si>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</si>
  <si>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</si>
  <si>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</si>
  <si>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</si>
  <si>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</si>
  <si>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</si>
  <si>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</si>
  <si>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</si>
  <si>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</si>
  <si>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</si>
  <si>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</si>
  <si>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</si>
  <si>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</si>
  <si>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</si>
  <si>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</si>
  <si>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</si>
  <si>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</si>
  <si>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</si>
  <si>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</si>
  <si>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</si>
  <si>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</si>
  <si>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</si>
  <si>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</si>
  <si>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</si>
  <si>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</si>
  <si>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</si>
  <si>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</si>
  <si>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</si>
  <si>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</si>
  <si>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</si>
  <si>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</si>
  <si>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</si>
  <si>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</si>
  <si>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</si>
  <si>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</si>
  <si>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</si>
  <si>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</si>
  <si>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</si>
  <si>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</si>
  <si>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</si>
  <si>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</si>
  <si>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</si>
  <si>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</si>
  <si>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</si>
  <si>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</si>
  <si>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</si>
  <si>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</si>
  <si>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</si>
  <si>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</si>
  <si>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</si>
  <si>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</si>
  <si>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</si>
  <si>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</si>
  <si>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</si>
  <si>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</si>
  <si>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</si>
  <si>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</si>
  <si>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</si>
  <si>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</si>
  <si>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</si>
  <si>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</si>
  <si>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</si>
  <si>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</si>
  <si>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</si>
  <si>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</si>
  <si>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</si>
  <si>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</si>
  <si>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</si>
  <si>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</si>
  <si>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</si>
  <si>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</si>
  <si>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</si>
  <si>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</si>
  <si>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</si>
  <si>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</si>
  <si>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</si>
  <si>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</si>
  <si>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</si>
  <si>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</si>
  <si>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</si>
  <si>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</si>
  <si>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</si>
  <si>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</si>
  <si>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</si>
  <si>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</si>
  <si>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</si>
  <si>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</si>
  <si>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</si>
  <si>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</si>
  <si>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</si>
  <si>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</si>
  <si>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</si>
  <si>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</si>
  <si>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</si>
  <si>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</si>
  <si>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</si>
  <si>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</si>
  <si>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</si>
  <si>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</si>
  <si>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</si>
  <si>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</si>
  <si>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</si>
  <si>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</si>
  <si>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</si>
  <si>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</si>
  <si>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</si>
  <si>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</si>
  <si>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</si>
  <si>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</si>
  <si>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</si>
  <si>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</si>
  <si>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</si>
  <si>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</si>
  <si>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</si>
  <si>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</si>
  <si>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</si>
  <si>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</si>
  <si>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</si>
  <si>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</si>
  <si>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</si>
  <si>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</si>
  <si>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</si>
  <si>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</si>
  <si>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</si>
  <si>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</si>
  <si>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</si>
  <si>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</si>
  <si>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</si>
  <si>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</si>
  <si>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</si>
  <si>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</si>
  <si>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</si>
  <si>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</si>
  <si>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</si>
  <si>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</si>
  <si>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</si>
  <si>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</si>
  <si>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</si>
  <si>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</si>
  <si>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</si>
  <si>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</si>
  <si>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</si>
  <si>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</si>
  <si>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</si>
  <si>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</si>
  <si>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</si>
  <si>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</si>
  <si>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</si>
  <si>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</si>
  <si>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</si>
  <si>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</si>
  <si>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</si>
  <si>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</si>
  <si>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</si>
  <si>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</si>
  <si>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</si>
  <si>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</si>
  <si>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</si>
  <si>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</si>
  <si>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</si>
  <si>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</si>
  <si>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</si>
  <si>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</si>
  <si>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</si>
  <si>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</si>
  <si>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</si>
  <si>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</si>
  <si>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</si>
  <si>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</si>
  <si>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</si>
  <si>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</si>
  <si>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</si>
  <si>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</si>
  <si>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</si>
  <si>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</si>
  <si>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</si>
  <si>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</si>
  <si>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</si>
  <si>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</si>
  <si>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</si>
  <si>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</si>
  <si>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</si>
  <si>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</si>
  <si>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</si>
  <si>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</si>
  <si>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</si>
  <si>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</si>
  <si>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</si>
  <si>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</si>
  <si>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</si>
  <si>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</si>
  <si>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</si>
  <si>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</si>
  <si>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</si>
  <si>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</si>
  <si>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</si>
  <si>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</si>
  <si>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</si>
  <si>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</si>
  <si>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</si>
  <si>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</si>
  <si>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</si>
  <si>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</si>
  <si>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</si>
  <si>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</si>
  <si>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</si>
  <si>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</si>
  <si>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</si>
  <si>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</si>
  <si>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</si>
  <si>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</si>
  <si>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</si>
  <si>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</si>
  <si>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</si>
  <si>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</si>
  <si>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</si>
  <si>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</si>
  <si>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</si>
  <si>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</si>
  <si>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</si>
  <si>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</si>
  <si>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</si>
  <si>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</si>
  <si>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</si>
  <si>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</si>
  <si>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</si>
  <si>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</si>
  <si>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</si>
  <si>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</si>
  <si>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</si>
  <si>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</si>
  <si>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</si>
  <si>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</si>
  <si>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</si>
  <si>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</si>
  <si>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</si>
  <si>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</si>
  <si>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</si>
  <si>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</si>
  <si>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</si>
  <si>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</si>
  <si>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</si>
  <si>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</si>
  <si>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</si>
  <si>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</si>
  <si>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</si>
  <si>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</si>
  <si>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</si>
  <si>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</si>
  <si>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</si>
  <si>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</si>
  <si>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</si>
  <si>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</si>
  <si>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</si>
  <si>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</si>
  <si>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</si>
  <si>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</si>
  <si>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</si>
  <si>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</si>
  <si>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</si>
  <si>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</si>
  <si>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</si>
  <si>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</si>
  <si>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</si>
  <si>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</si>
  <si>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</si>
  <si>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</si>
  <si>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</si>
  <si>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</si>
  <si>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</si>
  <si>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</si>
  <si>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</si>
  <si>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</si>
  <si>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</si>
  <si>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</si>
  <si>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</si>
  <si>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</si>
  <si>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</si>
  <si>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</si>
  <si>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</si>
  <si>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</si>
  <si>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</si>
  <si>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</si>
  <si>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</si>
  <si>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</si>
  <si>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</si>
  <si>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</si>
  <si>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</si>
  <si>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</si>
  <si>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</si>
  <si>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</si>
  <si>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</si>
  <si>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</si>
  <si>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</si>
  <si>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</si>
  <si>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</si>
  <si>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</si>
  <si>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</si>
  <si>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</si>
  <si>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</si>
  <si>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</si>
  <si>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</si>
  <si>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</si>
  <si>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</si>
  <si>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</si>
  <si>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</si>
  <si>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</si>
  <si>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</si>
  <si>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</si>
  <si>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</si>
  <si>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</si>
  <si>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</si>
  <si>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</si>
  <si>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</si>
  <si>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</si>
  <si>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</si>
  <si>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</si>
  <si>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</si>
  <si>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</si>
  <si>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</si>
  <si>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</si>
  <si>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</si>
  <si>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</si>
  <si>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</si>
  <si>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</si>
  <si>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</si>
  <si>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</si>
  <si>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</si>
  <si>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</si>
  <si>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</si>
  <si>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</si>
  <si>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</si>
  <si>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</si>
  <si>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</si>
  <si>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</si>
  <si>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</si>
  <si>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</si>
  <si>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</si>
  <si>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</si>
  <si>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</si>
  <si>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</si>
  <si>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</si>
  <si>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</si>
  <si>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</si>
  <si>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</si>
  <si>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</si>
  <si>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</si>
  <si>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</si>
  <si>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</si>
  <si>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</si>
  <si>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</si>
  <si>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</si>
  <si>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</si>
  <si>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</si>
  <si>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</si>
  <si>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</si>
  <si>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</si>
  <si>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</si>
  <si>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</si>
  <si>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</si>
  <si>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</si>
  <si>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</si>
  <si>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</si>
  <si>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</si>
  <si>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</si>
  <si>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</si>
  <si>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</si>
  <si>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</si>
  <si>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</si>
  <si>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</si>
  <si>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</si>
  <si>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</si>
  <si>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</si>
  <si>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</si>
  <si>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</si>
  <si>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</si>
  <si>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</si>
  <si>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</si>
  <si>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</si>
  <si>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</si>
  <si>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</si>
  <si>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</si>
  <si>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</si>
  <si>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</si>
  <si>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</si>
  <si>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</si>
  <si>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</si>
  <si>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</si>
  <si>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</si>
  <si>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</si>
  <si>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</si>
  <si>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</si>
  <si>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</si>
  <si>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</si>
  <si>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</si>
  <si>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</si>
  <si>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</si>
  <si>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</si>
  <si>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</si>
  <si>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</si>
  <si>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</si>
  <si>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</si>
  <si>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</si>
  <si>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</si>
  <si>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</si>
  <si>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</si>
  <si>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</si>
  <si>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</si>
  <si>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</si>
  <si>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</si>
  <si>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</si>
  <si>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</si>
  <si>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</si>
  <si>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</si>
  <si>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</si>
  <si>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</si>
  <si>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</si>
  <si>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</si>
  <si>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</si>
  <si>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</si>
  <si>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</si>
  <si>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</si>
  <si>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</si>
  <si>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</si>
  <si>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</si>
  <si>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</si>
  <si>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</si>
  <si>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</si>
  <si>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</si>
  <si>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</si>
  <si>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</si>
  <si>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</si>
  <si>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</si>
  <si>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</si>
  <si>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</si>
  <si>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</si>
  <si>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</si>
  <si>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</si>
  <si>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</si>
  <si>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</si>
  <si>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</si>
  <si>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</si>
  <si>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</si>
  <si>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</si>
  <si>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</si>
  <si>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</si>
  <si>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</si>
  <si>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</si>
  <si>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</si>
  <si>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</si>
  <si>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</si>
  <si>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</si>
  <si>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</si>
  <si>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</si>
  <si>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</si>
  <si>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</si>
  <si>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</si>
  <si>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</si>
  <si>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</si>
  <si>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</si>
  <si>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</si>
  <si>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</si>
  <si>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</si>
  <si>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</si>
  <si>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</si>
  <si>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</si>
  <si>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</si>
  <si>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</si>
  <si>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</si>
  <si>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</si>
  <si>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</si>
  <si>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</si>
  <si>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</si>
  <si>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</si>
  <si>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</si>
  <si>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</si>
  <si>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</si>
  <si>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</si>
  <si>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</si>
  <si>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</si>
  <si>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</si>
  <si>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</si>
  <si>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</si>
  <si>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</si>
  <si>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</si>
  <si>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</si>
  <si>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</si>
  <si>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</si>
  <si>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</si>
  <si>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</si>
  <si>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</si>
  <si>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</si>
  <si>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</si>
  <si>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</si>
  <si>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</si>
  <si>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</si>
  <si>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</si>
  <si>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</si>
  <si>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</si>
  <si>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</si>
  <si>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</si>
  <si>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</si>
  <si>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</si>
  <si>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</si>
  <si>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</si>
  <si>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</si>
  <si>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</si>
  <si>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</si>
  <si>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</si>
  <si>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</si>
  <si>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</si>
  <si>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</si>
  <si>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</si>
  <si>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</si>
  <si>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</si>
  <si>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</si>
  <si>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</si>
  <si>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</si>
  <si>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</si>
  <si>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</si>
  <si>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</si>
  <si>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</si>
  <si>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</si>
  <si>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</si>
  <si>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</si>
  <si>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</si>
  <si>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</si>
  <si>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</si>
  <si>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</si>
  <si>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</si>
  <si>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</si>
  <si>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</si>
  <si>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</si>
  <si>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</si>
  <si>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</si>
  <si>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</si>
  <si>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</si>
  <si>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</si>
  <si>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</si>
  <si>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</si>
  <si>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</si>
  <si>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</si>
  <si>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</si>
  <si>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</si>
  <si>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</si>
  <si>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</si>
  <si>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</si>
  <si>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</si>
  <si>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</si>
  <si>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</si>
  <si>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</si>
  <si>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</si>
  <si>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</si>
  <si>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</si>
  <si>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</si>
  <si>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</si>
  <si>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</si>
  <si>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</si>
  <si>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</si>
  <si>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</si>
  <si>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</si>
  <si>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</si>
  <si>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</si>
  <si>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</si>
  <si>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</si>
  <si>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</si>
  <si>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</si>
  <si>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</si>
  <si>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</si>
  <si>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</si>
  <si>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</si>
  <si>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</si>
  <si>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</si>
  <si>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</si>
  <si>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</si>
  <si>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</si>
  <si>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</si>
  <si>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</si>
  <si>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</si>
  <si>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</si>
  <si>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</si>
  <si>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</si>
  <si>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</si>
  <si>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</si>
  <si>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</si>
  <si>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</si>
  <si>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</si>
  <si>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</si>
  <si>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</si>
  <si>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</si>
  <si>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</si>
  <si>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</si>
  <si>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</si>
  <si>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</si>
  <si>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</si>
  <si>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</si>
  <si>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</si>
  <si>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</si>
  <si>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</si>
  <si>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</si>
  <si>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</si>
  <si>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</si>
  <si>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</si>
  <si>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</si>
  <si>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</si>
  <si>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</si>
  <si>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</si>
  <si>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</si>
  <si>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</si>
  <si>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</si>
  <si>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</si>
  <si>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</si>
  <si>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</si>
  <si>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</si>
  <si>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</si>
  <si>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</si>
  <si>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</si>
  <si>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</si>
  <si>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</si>
  <si>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</si>
  <si>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</si>
  <si>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</si>
  <si>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</si>
  <si>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</si>
  <si>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</si>
  <si>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</si>
  <si>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</si>
  <si>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</si>
  <si>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</si>
  <si>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</si>
  <si>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</si>
  <si>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</si>
  <si>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</si>
  <si>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</si>
  <si>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</si>
  <si>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</si>
  <si>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</si>
  <si>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</si>
  <si>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</si>
  <si>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</si>
  <si>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</si>
  <si>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</si>
  <si>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</si>
  <si>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</si>
  <si>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</si>
  <si>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</si>
  <si>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</si>
  <si>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</si>
  <si>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</si>
  <si>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</si>
  <si>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</si>
  <si>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</si>
  <si>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</si>
  <si>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</si>
  <si>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</si>
  <si>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</si>
  <si>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</si>
  <si>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</si>
  <si>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</si>
  <si>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</si>
  <si>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</si>
  <si>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</si>
  <si>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</si>
  <si>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</si>
  <si>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</si>
  <si>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</si>
  <si>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</si>
  <si>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</si>
  <si>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</si>
  <si>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</si>
  <si>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</si>
  <si>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</si>
  <si>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</si>
  <si>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</si>
  <si>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</si>
  <si>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</si>
  <si>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</si>
  <si>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</si>
  <si>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</si>
  <si>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</si>
  <si>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</si>
  <si>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</si>
  <si>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</si>
  <si>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</si>
  <si>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</si>
  <si>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</si>
  <si>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</si>
  <si>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</si>
  <si>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</si>
  <si>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</si>
  <si>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</si>
  <si>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</si>
  <si>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</si>
  <si>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</si>
  <si>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</si>
  <si>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</si>
  <si>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</si>
  <si>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</si>
  <si>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</si>
  <si>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</si>
  <si>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</si>
  <si>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</si>
  <si>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</si>
  <si>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</si>
  <si>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</si>
  <si>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</si>
  <si>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</si>
  <si>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</si>
  <si>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</si>
  <si>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</si>
  <si>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</si>
  <si>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</si>
  <si>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</si>
  <si>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</si>
  <si>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</si>
  <si>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</si>
  <si>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</si>
  <si>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</si>
  <si>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</si>
  <si>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</si>
  <si>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</si>
  <si>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</si>
  <si>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</si>
  <si>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</si>
  <si>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</si>
  <si>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</si>
  <si>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</si>
  <si>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</si>
  <si>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</si>
  <si>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</si>
  <si>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</si>
  <si>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</si>
  <si>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</si>
  <si>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</si>
  <si>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</si>
  <si>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</si>
  <si>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</si>
  <si>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</si>
  <si>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</si>
  <si>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</si>
  <si>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</si>
  <si>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</si>
  <si>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</si>
  <si>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</si>
  <si>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</si>
  <si>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</si>
  <si>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</si>
  <si>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</si>
  <si>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</si>
  <si>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</si>
  <si>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</si>
  <si>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</si>
  <si>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</si>
  <si>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</si>
  <si>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</si>
  <si>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</si>
  <si>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</si>
  <si>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</si>
  <si>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</si>
  <si>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</si>
  <si>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</si>
  <si>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</si>
  <si>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</si>
  <si>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</si>
  <si>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</si>
  <si>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</si>
  <si>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</si>
  <si>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</si>
  <si>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</si>
  <si>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</si>
  <si>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</si>
  <si>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</si>
  <si>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</si>
  <si>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</si>
  <si>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</si>
  <si>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</si>
  <si>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</si>
  <si>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</si>
  <si>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</si>
  <si>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</si>
  <si>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</si>
  <si>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</si>
  <si>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</si>
  <si>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</si>
  <si>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</si>
  <si>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</si>
  <si>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</si>
  <si>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</si>
  <si>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</si>
  <si>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</si>
  <si>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</si>
  <si>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</si>
  <si>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</si>
  <si>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</si>
  <si>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</si>
  <si>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</si>
  <si>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</si>
  <si>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</si>
  <si>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</si>
  <si>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</si>
  <si>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</si>
  <si>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</si>
  <si>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</si>
  <si>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</si>
  <si>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</si>
  <si>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</si>
  <si>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</si>
  <si>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</si>
  <si>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</si>
  <si>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</si>
  <si>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</si>
  <si>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</si>
  <si>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</si>
  <si>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</si>
  <si>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</si>
  <si>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</si>
  <si>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</si>
  <si>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</si>
  <si>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</si>
  <si>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</si>
  <si>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</si>
  <si>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</si>
  <si>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</si>
  <si>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</si>
  <si>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</si>
  <si>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</si>
  <si>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</si>
  <si>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</si>
  <si>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</si>
  <si>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</si>
  <si>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</si>
  <si>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</si>
  <si>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</si>
  <si>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</si>
  <si>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</si>
  <si>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</si>
  <si>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</si>
  <si>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</si>
  <si>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</si>
  <si>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</si>
  <si>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</si>
  <si>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</si>
  <si>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</si>
  <si>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</si>
  <si>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</si>
  <si>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</si>
  <si>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</si>
  <si>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</si>
  <si>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</si>
  <si>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</si>
  <si>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</si>
  <si>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</si>
  <si>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</si>
  <si>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</si>
  <si>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</si>
  <si>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</si>
  <si>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</si>
  <si>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</si>
  <si>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</si>
  <si>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</si>
  <si>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</si>
  <si>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</si>
  <si>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</si>
  <si>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</si>
  <si>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</si>
  <si>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</si>
  <si>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</si>
  <si>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</si>
  <si>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</si>
  <si>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</si>
  <si>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</si>
  <si>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</si>
  <si>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</si>
  <si>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</si>
  <si>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</si>
  <si>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</si>
  <si>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</si>
  <si>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</si>
  <si>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</si>
  <si>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</si>
  <si>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</si>
  <si>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</si>
  <si>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</si>
  <si>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</si>
  <si>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</si>
  <si>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</si>
  <si>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</si>
  <si>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</si>
  <si>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</si>
  <si>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</si>
  <si>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</si>
  <si>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</si>
  <si>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</si>
  <si>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</si>
  <si>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</si>
  <si>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</si>
  <si>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</si>
  <si>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</si>
  <si>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</si>
  <si>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</si>
  <si>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</si>
  <si>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</si>
  <si>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</si>
  <si>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</si>
  <si>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</si>
  <si>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</si>
  <si>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</si>
  <si>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</si>
  <si>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</si>
  <si>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</si>
  <si>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</si>
  <si>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</si>
  <si>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</si>
  <si>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</si>
  <si>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</si>
  <si>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</si>
  <si>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</si>
  <si>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</si>
  <si>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</si>
  <si>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</si>
  <si>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</si>
  <si>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</si>
  <si>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</si>
  <si>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</si>
  <si>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</si>
  <si>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</si>
  <si>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</si>
  <si>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</si>
  <si>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</si>
  <si>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</si>
  <si>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</si>
  <si>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</si>
  <si>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</si>
  <si>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</si>
  <si>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</si>
  <si>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</si>
  <si>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</si>
  <si>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</si>
  <si>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</si>
  <si>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</si>
  <si>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</si>
  <si>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</si>
  <si>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</si>
  <si>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</si>
  <si>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</si>
  <si>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</si>
  <si>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</si>
  <si>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</si>
  <si>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</si>
  <si>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</si>
  <si>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</si>
  <si>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</si>
  <si>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</si>
  <si>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</si>
  <si>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</si>
  <si>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</si>
  <si>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</si>
  <si>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</si>
  <si>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</si>
  <si>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</si>
  <si>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</si>
  <si>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</si>
  <si>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</si>
  <si>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</si>
  <si>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</si>
  <si>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</si>
  <si>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</si>
  <si>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</si>
  <si>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</si>
  <si>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</si>
  <si>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</si>
  <si>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</si>
  <si>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</si>
  <si>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</si>
  <si>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</si>
  <si>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</si>
  <si>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</si>
  <si>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</si>
  <si>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</si>
  <si>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</si>
  <si>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</si>
  <si>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</si>
  <si>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</si>
  <si>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</si>
  <si>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</si>
  <si>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</si>
  <si>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</si>
  <si>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</si>
  <si>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</si>
  <si>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</si>
  <si>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</si>
  <si>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</si>
  <si>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</si>
  <si>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</si>
  <si>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</si>
  <si>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</si>
  <si>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</si>
  <si>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</si>
  <si>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</si>
  <si>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</si>
  <si>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</si>
  <si>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</si>
  <si>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</si>
  <si>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</si>
  <si>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</si>
  <si>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</si>
  <si>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</si>
  <si>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</si>
  <si>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</si>
  <si>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</si>
  <si>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</si>
  <si>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</si>
  <si>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</si>
  <si>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</si>
  <si>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</si>
  <si>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</si>
  <si>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</si>
  <si>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</si>
  <si>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</si>
  <si>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</si>
  <si>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</si>
  <si>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</si>
  <si>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</si>
  <si>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</si>
  <si>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</si>
  <si>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</si>
  <si>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</si>
  <si>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</si>
  <si>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</si>
  <si>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</si>
  <si>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</si>
  <si>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</si>
  <si>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</si>
  <si>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</si>
  <si>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</si>
  <si>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</si>
  <si>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</si>
  <si>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</si>
  <si>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</si>
  <si>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</si>
  <si>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</si>
  <si>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</si>
  <si>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</si>
  <si>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</si>
  <si>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</si>
  <si>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</si>
  <si>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</si>
  <si>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</si>
  <si>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</si>
  <si>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</si>
  <si>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</si>
  <si>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</si>
  <si>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</si>
  <si>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</si>
  <si>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</si>
  <si>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</si>
  <si>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</si>
  <si>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</si>
  <si>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</si>
  <si>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</si>
  <si>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</si>
  <si>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</si>
  <si>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</si>
  <si>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</si>
  <si>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</si>
  <si>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</si>
  <si>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</si>
  <si>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</si>
  <si>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</si>
  <si>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</si>
  <si>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</si>
  <si>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</si>
  <si>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</si>
  <si>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</si>
  <si>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</si>
  <si>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</si>
  <si>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</si>
  <si>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</si>
  <si>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</si>
  <si>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</si>
  <si>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</si>
  <si>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</si>
  <si>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</si>
  <si>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</si>
  <si>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</si>
  <si>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</si>
  <si>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</si>
  <si>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</si>
  <si>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</si>
  <si>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</si>
  <si>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</si>
  <si>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</si>
  <si>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</si>
  <si>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</si>
  <si>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</si>
  <si>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</si>
  <si>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</si>
  <si>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</si>
  <si>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</si>
  <si>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</si>
  <si>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</si>
  <si>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</si>
  <si>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</si>
  <si>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</si>
  <si>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</si>
  <si>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</si>
  <si>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</si>
  <si>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</si>
  <si>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</si>
  <si>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</si>
  <si>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</si>
  <si>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</si>
  <si>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</si>
  <si>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</si>
  <si>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</si>
  <si>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</si>
  <si>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</si>
  <si>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</si>
  <si>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</si>
  <si>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</si>
  <si>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</si>
  <si>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</si>
  <si>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</si>
  <si>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</si>
  <si>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</si>
  <si>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</si>
  <si>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</si>
  <si>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</si>
  <si>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</si>
  <si>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</si>
  <si>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</si>
  <si>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</si>
  <si>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</si>
  <si>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</si>
  <si>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</si>
  <si>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</si>
  <si>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</si>
  <si>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</si>
  <si>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</si>
  <si>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</si>
  <si>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</si>
  <si>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</si>
  <si>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</si>
  <si>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</si>
  <si>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</si>
  <si>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</si>
  <si>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</si>
  <si>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</si>
  <si>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</si>
  <si>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</si>
  <si>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</si>
  <si>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</si>
  <si>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</si>
  <si>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</si>
  <si>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</si>
  <si>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</si>
  <si>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</si>
  <si>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</si>
  <si>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</si>
  <si>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</si>
  <si>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</si>
  <si>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</si>
  <si>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</si>
  <si>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</si>
  <si>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</si>
  <si>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</si>
  <si>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</si>
  <si>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</si>
  <si>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</si>
  <si>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</si>
  <si>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</si>
  <si>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</si>
  <si>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</si>
  <si>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</si>
  <si>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</si>
  <si>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</si>
  <si>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</si>
  <si>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</si>
  <si>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</si>
  <si>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</si>
  <si>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</si>
  <si>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</si>
  <si>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</si>
  <si>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</si>
  <si>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</si>
  <si>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</si>
  <si>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</si>
  <si>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</si>
  <si>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</si>
  <si>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</si>
  <si>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</si>
  <si>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</si>
  <si>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</si>
  <si>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</si>
  <si>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</si>
  <si>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</si>
  <si>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</si>
  <si>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</si>
  <si>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</si>
  <si>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</si>
  <si>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</si>
  <si>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</si>
  <si>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</si>
  <si>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</si>
  <si>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</si>
  <si>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</si>
  <si>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</si>
  <si>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</si>
  <si>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</si>
  <si>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</si>
  <si>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</si>
  <si>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</si>
  <si>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</si>
  <si>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</si>
  <si>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</si>
  <si>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</si>
  <si>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</si>
  <si>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</si>
  <si>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</si>
  <si>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</si>
  <si>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</si>
  <si>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</si>
  <si>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</si>
  <si>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</si>
  <si>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</si>
  <si>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</si>
  <si>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</si>
  <si>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</si>
  <si>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</si>
  <si>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</si>
  <si>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</si>
  <si>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</si>
  <si>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</si>
  <si>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</si>
  <si>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</si>
  <si>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</si>
  <si>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</si>
  <si>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</si>
  <si>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</si>
  <si>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</si>
  <si>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</si>
  <si>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</si>
  <si>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</si>
  <si>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</si>
  <si>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</si>
  <si>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</si>
  <si>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</si>
  <si>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</si>
  <si>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</si>
  <si>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</si>
  <si>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</si>
  <si>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</si>
  <si>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</si>
  <si>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</si>
  <si>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</si>
  <si>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</si>
  <si>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</si>
  <si>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</si>
  <si>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</si>
  <si>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</si>
  <si>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</si>
  <si>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</si>
  <si>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</si>
  <si>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</si>
  <si>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</si>
  <si>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</si>
  <si>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</si>
  <si>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</si>
  <si>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</si>
  <si>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</si>
  <si>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</si>
  <si>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</si>
  <si>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</si>
  <si>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</si>
  <si>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</si>
  <si>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</si>
  <si>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</si>
  <si>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</si>
  <si>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</si>
  <si>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</si>
  <si>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</si>
  <si>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</si>
  <si>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</si>
  <si>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</si>
  <si>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</si>
  <si>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</si>
  <si>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</si>
  <si>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</si>
  <si>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</si>
  <si>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</si>
  <si>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</si>
  <si>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</si>
  <si>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</si>
  <si>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</si>
  <si>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</si>
  <si>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</si>
  <si>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</si>
  <si>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</si>
  <si>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</si>
  <si>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</si>
  <si>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</si>
  <si>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</si>
  <si>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</si>
  <si>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</si>
  <si>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</si>
  <si>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</si>
  <si>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</si>
  <si>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</si>
  <si>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</si>
  <si>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</si>
  <si>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</si>
  <si>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</si>
  <si>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</si>
  <si>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</si>
  <si>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</si>
  <si>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</si>
  <si>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</si>
  <si>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</si>
  <si>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</si>
  <si>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</si>
  <si>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</si>
  <si>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</si>
  <si>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</si>
  <si>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</si>
  <si>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</si>
  <si>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</si>
  <si>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</si>
  <si>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</si>
  <si>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</si>
  <si>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</si>
  <si>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</si>
  <si>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</si>
  <si>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</si>
  <si>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</si>
  <si>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</si>
  <si>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</si>
  <si>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</si>
  <si>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</si>
  <si>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</si>
  <si>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</si>
  <si>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</si>
  <si>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</si>
  <si>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</si>
  <si>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</si>
  <si>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</si>
  <si>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</si>
  <si>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</si>
  <si>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</si>
  <si>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</si>
  <si>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</si>
  <si>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</si>
  <si>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</si>
  <si>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</si>
  <si>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</si>
  <si>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</si>
  <si>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</si>
  <si>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</si>
  <si>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</si>
  <si>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</si>
  <si>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</si>
  <si>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</si>
  <si>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</si>
  <si>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</si>
  <si>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</si>
  <si>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</si>
  <si>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</si>
  <si>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</si>
  <si>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</si>
  <si>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</si>
  <si>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</si>
  <si>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</si>
  <si>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</si>
  <si>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</si>
  <si>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</si>
  <si>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</si>
  <si>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</si>
  <si>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</si>
  <si>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</si>
  <si>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</si>
  <si>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</si>
  <si>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</si>
  <si>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</si>
  <si>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</si>
  <si>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</si>
  <si>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</si>
  <si>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</si>
  <si>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</si>
  <si>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</si>
  <si>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</si>
  <si>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</si>
  <si>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</si>
  <si>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</si>
  <si>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</si>
  <si>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</si>
  <si>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</si>
  <si>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</si>
  <si>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</si>
  <si>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</si>
  <si>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</si>
  <si>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</si>
  <si>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</si>
  <si>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</si>
  <si>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</si>
  <si>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</si>
  <si>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</si>
  <si>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</si>
  <si>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</si>
  <si>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</si>
  <si>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</si>
  <si>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</si>
  <si>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</si>
  <si>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</si>
  <si>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</si>
  <si>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</si>
  <si>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</si>
  <si>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</si>
  <si>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</si>
  <si>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</si>
  <si>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</si>
  <si>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</si>
  <si>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</si>
  <si>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</si>
  <si>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</si>
  <si>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</si>
  <si>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</si>
  <si>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</si>
  <si>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</si>
  <si>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</si>
  <si>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</si>
  <si>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</si>
  <si>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</si>
  <si>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</si>
  <si>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</si>
  <si>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</si>
  <si>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</si>
  <si>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</si>
  <si>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</si>
  <si>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</si>
  <si>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</si>
  <si>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</si>
  <si>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</si>
  <si>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</si>
  <si>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</si>
  <si>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</si>
  <si>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</si>
  <si>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</si>
  <si>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</si>
  <si>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</si>
  <si>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</si>
  <si>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</si>
  <si>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</si>
  <si>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</si>
  <si>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</si>
  <si>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</si>
  <si>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</si>
  <si>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</si>
  <si>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</si>
  <si>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</si>
  <si>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</si>
  <si>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</si>
  <si>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</si>
  <si>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</si>
  <si>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</si>
  <si>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</si>
  <si>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</si>
  <si>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</si>
  <si>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</si>
  <si>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</si>
  <si>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</si>
  <si>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</si>
  <si>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</si>
  <si>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</si>
  <si>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</si>
  <si>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</si>
  <si>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</si>
  <si>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</si>
  <si>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</si>
  <si>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</si>
  <si>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</si>
  <si>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</si>
  <si>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</si>
  <si>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</si>
  <si>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</si>
  <si>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</si>
  <si>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</si>
  <si>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</si>
  <si>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</si>
  <si>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</si>
  <si>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</si>
  <si>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</si>
  <si>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</si>
  <si>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</si>
  <si>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</si>
  <si>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</si>
  <si>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</si>
  <si>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</si>
  <si>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</si>
  <si>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</si>
  <si>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</si>
  <si>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</si>
  <si>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</si>
  <si>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</si>
  <si>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</si>
  <si>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</si>
  <si>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</si>
  <si>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</si>
  <si>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</si>
  <si>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</si>
  <si>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</si>
  <si>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</si>
  <si>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</si>
  <si>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</si>
  <si>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</si>
  <si>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</si>
  <si>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</si>
  <si>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</si>
  <si>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</si>
  <si>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</si>
  <si>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</si>
  <si>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</si>
  <si>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</si>
  <si>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</si>
  <si>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</si>
  <si>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</si>
  <si>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</si>
  <si>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</si>
  <si>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</si>
  <si>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</si>
  <si>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</si>
  <si>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</si>
  <si>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</si>
  <si>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</si>
  <si>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</si>
  <si>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</si>
  <si>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</si>
  <si>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</si>
  <si>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</si>
  <si>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</si>
  <si>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</si>
  <si>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</si>
  <si>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</si>
  <si>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</si>
  <si>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</si>
  <si>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</si>
  <si>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</si>
  <si>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</si>
  <si>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</si>
  <si>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</si>
  <si>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</si>
  <si>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</si>
  <si>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</si>
  <si>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</si>
  <si>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</si>
  <si>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</si>
  <si>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</si>
  <si>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</si>
  <si>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</si>
  <si>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</si>
  <si>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</si>
  <si>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</si>
  <si>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</si>
  <si>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</si>
  <si>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</si>
  <si>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</si>
  <si>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</si>
  <si>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</si>
  <si>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</si>
  <si>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</si>
  <si>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</si>
  <si>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</si>
  <si>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</si>
  <si>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</si>
  <si>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</si>
  <si>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</si>
  <si>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</si>
  <si>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</si>
  <si>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</si>
  <si>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</si>
  <si>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</si>
  <si>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</si>
  <si>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</si>
  <si>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</si>
  <si>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</si>
  <si>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</si>
  <si>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</si>
  <si>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</si>
  <si>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</si>
  <si>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</si>
  <si>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</si>
  <si>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</si>
  <si>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</si>
  <si>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</si>
  <si>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</si>
  <si>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</si>
  <si>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</si>
  <si>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</si>
  <si>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</si>
  <si>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</si>
  <si>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</si>
  <si>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</si>
  <si>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</si>
  <si>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</si>
  <si>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</si>
  <si>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</si>
  <si>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</si>
  <si>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</si>
  <si>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</si>
  <si>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</si>
  <si>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</si>
  <si>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</si>
  <si>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</si>
  <si>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</si>
  <si>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</si>
  <si>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</si>
  <si>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</si>
  <si>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</si>
  <si>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</si>
  <si>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</si>
  <si>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</si>
  <si>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</si>
  <si>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</si>
  <si>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</si>
  <si>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</si>
  <si>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</si>
  <si>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</si>
  <si>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</si>
  <si>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</si>
  <si>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</si>
  <si>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</si>
  <si>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</si>
  <si>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</si>
  <si>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</si>
  <si>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</si>
  <si>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</si>
  <si>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</si>
  <si>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</si>
  <si>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</si>
  <si>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</si>
  <si>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</si>
  <si>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</si>
  <si>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</si>
  <si>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</si>
  <si>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</si>
  <si>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</si>
  <si>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</si>
  <si>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</si>
  <si>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</si>
  <si>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</si>
  <si>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</si>
  <si>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</si>
  <si>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</si>
  <si>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</si>
  <si>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</si>
  <si>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</si>
  <si>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</si>
  <si>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</si>
  <si>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</si>
  <si>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</si>
  <si>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</si>
  <si>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</si>
  <si>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</si>
  <si>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</si>
  <si>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</si>
  <si>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</si>
  <si>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</si>
  <si>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</si>
  <si>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</si>
  <si>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</si>
  <si>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</si>
  <si>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</si>
  <si>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</si>
  <si>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</si>
  <si>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</si>
  <si>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</si>
  <si>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</si>
  <si>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</si>
  <si>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</si>
  <si>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</si>
  <si>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</si>
  <si>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</si>
  <si>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</si>
  <si>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</si>
  <si>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</si>
  <si>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</si>
  <si>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</si>
  <si>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</si>
  <si>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</si>
  <si>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</si>
  <si>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</si>
  <si>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</si>
  <si>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</si>
  <si>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</si>
  <si>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</si>
  <si>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</si>
  <si>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</si>
  <si>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</si>
  <si>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</si>
  <si>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</si>
  <si>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</si>
  <si>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</si>
  <si>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</si>
  <si>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</si>
  <si>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</si>
  <si>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</si>
  <si>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</si>
  <si>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</si>
  <si>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</si>
  <si>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</si>
  <si>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</si>
  <si>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</si>
  <si>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</si>
  <si>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</si>
  <si>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</si>
  <si>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</si>
  <si>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</si>
  <si>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</si>
  <si>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</si>
  <si>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</si>
  <si>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</si>
  <si>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</si>
  <si>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</si>
  <si>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</si>
  <si>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</si>
  <si>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</si>
  <si>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</si>
  <si>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</si>
  <si>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</si>
  <si>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</si>
  <si>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</si>
  <si>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</si>
  <si>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</si>
  <si>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</si>
  <si>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</si>
  <si>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</si>
  <si>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</si>
  <si>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</si>
  <si>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</si>
  <si>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</si>
  <si>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</si>
  <si>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</si>
  <si>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</si>
  <si>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</si>
  <si>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</si>
  <si>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</si>
  <si>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</si>
  <si>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</si>
  <si>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</si>
  <si>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</si>
  <si>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</si>
  <si>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</si>
  <si>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</si>
  <si>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</si>
  <si>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</si>
  <si>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</si>
  <si>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</si>
  <si>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</si>
  <si>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</si>
  <si>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</si>
  <si>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</si>
  <si>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</si>
  <si>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</si>
  <si>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</si>
  <si>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</si>
  <si>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</si>
  <si>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</si>
  <si>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</si>
  <si>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</si>
  <si>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</si>
  <si>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</si>
  <si>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</si>
  <si>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</si>
  <si>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</si>
  <si>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</si>
  <si>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</si>
  <si>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</si>
  <si>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</si>
  <si>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</si>
  <si>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</si>
  <si>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</si>
  <si>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</si>
  <si>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</si>
  <si>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</si>
  <si>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</si>
  <si>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</si>
  <si>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</si>
  <si>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</si>
  <si>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</si>
  <si>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</si>
  <si>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</si>
  <si>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</si>
  <si>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</si>
  <si>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</si>
  <si>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</si>
  <si>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</si>
  <si>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</si>
  <si>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</si>
  <si>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</si>
  <si>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</si>
  <si>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</si>
  <si>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</si>
  <si>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</si>
  <si>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</si>
  <si>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</si>
  <si>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</si>
  <si>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</si>
  <si>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</si>
  <si>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</si>
  <si>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</si>
  <si>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</si>
  <si>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</si>
  <si>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</si>
  <si>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</si>
  <si>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</si>
  <si>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</si>
  <si>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</si>
  <si>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</si>
  <si>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</si>
  <si>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</si>
  <si>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</si>
  <si>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</si>
  <si>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</si>
  <si>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</si>
  <si>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</si>
  <si>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</si>
  <si>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</si>
  <si>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</si>
  <si>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</si>
  <si>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</si>
  <si>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</si>
  <si>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</si>
  <si>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</si>
  <si>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</si>
  <si>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</si>
  <si>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</si>
  <si>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</si>
  <si>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</si>
  <si>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</si>
  <si>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</si>
  <si>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</si>
  <si>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</si>
  <si>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</si>
  <si>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</si>
  <si>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</si>
  <si>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</si>
  <si>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</si>
  <si>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</si>
  <si>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</si>
  <si>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</si>
  <si>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</si>
  <si>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</si>
  <si>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</si>
  <si>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</si>
  <si>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</si>
  <si>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</si>
  <si>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</si>
  <si>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</si>
  <si>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</si>
  <si>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</si>
  <si>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</si>
  <si>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</si>
  <si>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</si>
  <si>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</si>
  <si>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</si>
  <si>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</si>
  <si>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</si>
  <si>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</si>
  <si>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</si>
  <si>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</si>
  <si>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</si>
  <si>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</si>
  <si>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</si>
  <si>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</si>
  <si>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</si>
  <si>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</si>
  <si>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</si>
  <si>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</si>
  <si>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</si>
  <si>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</si>
  <si>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</si>
  <si>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</si>
  <si>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</si>
  <si>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</si>
  <si>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</si>
  <si>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</si>
  <si>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</si>
  <si>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</si>
  <si>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</si>
  <si>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</si>
  <si>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</si>
  <si>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</si>
  <si>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</si>
  <si>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</si>
  <si>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</si>
  <si>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</si>
  <si>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</si>
  <si>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</si>
  <si>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</si>
  <si>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</si>
  <si>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</si>
  <si>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</si>
  <si>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</si>
  <si>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</si>
  <si>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</si>
  <si>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</si>
  <si>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</si>
  <si>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</si>
  <si>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</si>
  <si>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</si>
  <si>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</si>
  <si>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</si>
  <si>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</si>
  <si>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</si>
  <si>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</si>
  <si>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</si>
  <si>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</si>
  <si>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</si>
  <si>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</si>
  <si>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</si>
  <si>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</si>
  <si>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</si>
  <si>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</si>
  <si>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</si>
  <si>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</si>
  <si>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</si>
  <si>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</si>
  <si>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</si>
  <si>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</si>
  <si>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</si>
  <si>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</si>
  <si>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</si>
  <si>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</si>
  <si>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</si>
  <si>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</si>
  <si>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</si>
  <si>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</si>
  <si>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</si>
  <si>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</si>
  <si>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</si>
  <si>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</si>
  <si>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</si>
  <si>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</si>
  <si>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</si>
  <si>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</si>
  <si>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</si>
  <si>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</si>
  <si>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</si>
  <si>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</si>
  <si>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</si>
  <si>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</si>
  <si>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</si>
  <si>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</si>
  <si>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</si>
  <si>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</si>
  <si>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</si>
  <si>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</si>
  <si>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</si>
  <si>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</si>
  <si>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</si>
  <si>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</si>
  <si>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</si>
  <si>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</si>
  <si>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</si>
  <si>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</si>
  <si>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</si>
  <si>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</si>
  <si>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</si>
  <si>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</si>
  <si>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</si>
  <si>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</si>
  <si>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</si>
  <si>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</si>
  <si>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</si>
  <si>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</si>
  <si>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</si>
  <si>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</si>
  <si>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</si>
  <si>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</si>
  <si>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</si>
  <si>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</si>
  <si>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</si>
  <si>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</si>
  <si>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</si>
  <si>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</si>
  <si>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</si>
  <si>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</si>
  <si>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</si>
  <si>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</si>
  <si>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</si>
  <si>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</si>
  <si>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</si>
  <si>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</si>
  <si>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</si>
  <si>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</si>
  <si>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</si>
  <si>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</si>
  <si>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</si>
  <si>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</si>
  <si>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</si>
  <si>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</si>
  <si>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</si>
  <si>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</si>
  <si>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</si>
  <si>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</si>
  <si>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</si>
  <si>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</si>
  <si>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</si>
  <si>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</si>
  <si>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</si>
  <si>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</si>
  <si>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</si>
  <si>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</si>
  <si>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</si>
  <si>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</si>
  <si>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</si>
  <si>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</si>
  <si>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</si>
  <si>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</si>
  <si>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</si>
  <si>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</si>
  <si>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</si>
  <si>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</si>
  <si>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</si>
  <si>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</si>
  <si>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</si>
  <si>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</si>
  <si>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</si>
  <si>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</si>
  <si>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</si>
  <si>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</si>
  <si>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</si>
  <si>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</si>
  <si>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</si>
  <si>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</si>
  <si>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</si>
  <si>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</si>
  <si>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</si>
  <si>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</si>
  <si>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</si>
  <si>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</si>
  <si>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</si>
  <si>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</si>
  <si>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</si>
  <si>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</si>
  <si>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</si>
  <si>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</si>
  <si>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</si>
  <si>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</si>
  <si>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</si>
  <si>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</si>
  <si>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</si>
  <si>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</si>
  <si>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</si>
  <si>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</si>
  <si>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</si>
  <si>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</si>
  <si>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叶凌</t>
  </si>
  <si>
    <t>陈颖</t>
  </si>
  <si>
    <t>金隅</t>
    <phoneticPr fontId="6" type="noConversion"/>
  </si>
  <si>
    <t>出让</t>
  </si>
  <si>
    <t>市场价格</t>
  </si>
  <si>
    <t>企业</t>
  </si>
  <si>
    <t>一致</t>
  </si>
  <si>
    <t>划拨</t>
  </si>
  <si>
    <t>工业项目</t>
  </si>
  <si>
    <t>十二级</t>
  </si>
  <si>
    <t>Ⅻ-怀1</t>
  </si>
  <si>
    <t>地上</t>
  </si>
  <si>
    <t>否</t>
  </si>
  <si>
    <t>工业</t>
    <phoneticPr fontId="7" type="noConversion"/>
  </si>
  <si>
    <t>房号</t>
    <phoneticPr fontId="3" type="noConversion"/>
  </si>
  <si>
    <t>建筑面积（平方米）</t>
    <phoneticPr fontId="3" type="noConversion"/>
  </si>
  <si>
    <t>层数</t>
    <phoneticPr fontId="3" type="noConversion"/>
  </si>
  <si>
    <t>备注</t>
    <phoneticPr fontId="3" type="noConversion"/>
  </si>
  <si>
    <t>1号</t>
  </si>
  <si>
    <t>23号</t>
  </si>
  <si>
    <t>2号</t>
  </si>
  <si>
    <t>24号</t>
    <phoneticPr fontId="3" type="noConversion"/>
  </si>
  <si>
    <t>棚1</t>
    <phoneticPr fontId="3" type="noConversion"/>
  </si>
  <si>
    <t>棚7</t>
    <phoneticPr fontId="3" type="noConversion"/>
  </si>
  <si>
    <t>3号</t>
  </si>
  <si>
    <t>25号</t>
    <phoneticPr fontId="3" type="noConversion"/>
  </si>
  <si>
    <t>4号</t>
  </si>
  <si>
    <t>26号</t>
    <phoneticPr fontId="3" type="noConversion"/>
  </si>
  <si>
    <t>5号</t>
  </si>
  <si>
    <t>27号</t>
  </si>
  <si>
    <t>6号</t>
  </si>
  <si>
    <t>28号</t>
  </si>
  <si>
    <t>7号</t>
  </si>
  <si>
    <t>29号</t>
  </si>
  <si>
    <t>8号</t>
  </si>
  <si>
    <t>30号</t>
  </si>
  <si>
    <t>9号</t>
  </si>
  <si>
    <t>31号</t>
  </si>
  <si>
    <t>10号</t>
  </si>
  <si>
    <t>32号</t>
  </si>
  <si>
    <t>11号</t>
  </si>
  <si>
    <t>棚8</t>
    <phoneticPr fontId="3" type="noConversion"/>
  </si>
  <si>
    <t>棚2</t>
    <phoneticPr fontId="3" type="noConversion"/>
  </si>
  <si>
    <t>33号</t>
  </si>
  <si>
    <t>12号</t>
  </si>
  <si>
    <t>34号</t>
  </si>
  <si>
    <t>棚3</t>
    <phoneticPr fontId="3" type="noConversion"/>
  </si>
  <si>
    <t>35号</t>
  </si>
  <si>
    <t>13号</t>
  </si>
  <si>
    <t>36号</t>
  </si>
  <si>
    <t>14号</t>
  </si>
  <si>
    <t>37号</t>
  </si>
  <si>
    <t>15号</t>
  </si>
  <si>
    <t>38号</t>
  </si>
  <si>
    <t>16号</t>
  </si>
  <si>
    <t>39号</t>
  </si>
  <si>
    <t>17号</t>
  </si>
  <si>
    <t>40号</t>
  </si>
  <si>
    <t>棚4</t>
    <phoneticPr fontId="3" type="noConversion"/>
  </si>
  <si>
    <t>41号</t>
  </si>
  <si>
    <t>棚5</t>
    <phoneticPr fontId="3" type="noConversion"/>
  </si>
  <si>
    <t>42号</t>
  </si>
  <si>
    <t>棚6</t>
    <phoneticPr fontId="3" type="noConversion"/>
  </si>
  <si>
    <t>43号</t>
  </si>
  <si>
    <t>18号</t>
  </si>
  <si>
    <t>44号</t>
  </si>
  <si>
    <t>19号</t>
  </si>
  <si>
    <t>45号</t>
  </si>
  <si>
    <t>20号</t>
  </si>
  <si>
    <t>46号</t>
  </si>
  <si>
    <t>21号</t>
  </si>
  <si>
    <t>棚9</t>
    <phoneticPr fontId="3" type="noConversion"/>
  </si>
  <si>
    <t>22号</t>
  </si>
  <si>
    <t>棚10</t>
    <phoneticPr fontId="3" type="noConversion"/>
  </si>
  <si>
    <t>小计</t>
    <phoneticPr fontId="3" type="noConversion"/>
  </si>
  <si>
    <t>小计</t>
    <phoneticPr fontId="3" type="noConversion"/>
  </si>
  <si>
    <t>不动产收益法</t>
  </si>
  <si>
    <t>押一</t>
  </si>
  <si>
    <t>钢混</t>
  </si>
  <si>
    <t>已部分缴纳</t>
  </si>
  <si>
    <t>工业用地</t>
  </si>
  <si>
    <t>估价对象容积率</t>
  </si>
  <si>
    <t>不临58条商业街</t>
  </si>
  <si>
    <t>通路</t>
  </si>
  <si>
    <t>通电</t>
  </si>
  <si>
    <t>通讯</t>
  </si>
  <si>
    <t>通上水</t>
  </si>
  <si>
    <t>通下水</t>
  </si>
  <si>
    <t>平整</t>
  </si>
  <si>
    <t>与级别开发程度不一致</t>
  </si>
  <si>
    <t>按公示增长率计算</t>
  </si>
  <si>
    <t>容积率修正</t>
  </si>
  <si>
    <t>一般</t>
  </si>
  <si>
    <t>较差</t>
  </si>
  <si>
    <t>较好</t>
  </si>
  <si>
    <t>估价对象</t>
  </si>
  <si>
    <r>
      <rPr>
        <sz val="10"/>
        <rFont val="仿宋_GB2312"/>
        <family val="3"/>
        <charset val="134"/>
      </rPr>
      <t>估价对象</t>
    </r>
  </si>
  <si>
    <r>
      <rPr>
        <sz val="10"/>
        <rFont val="仿宋_GB2312"/>
        <family val="3"/>
        <charset val="134"/>
      </rPr>
      <t>可比案例</t>
    </r>
    <r>
      <rPr>
        <sz val="10"/>
        <rFont val="Arial"/>
        <family val="2"/>
      </rPr>
      <t>1</t>
    </r>
  </si>
  <si>
    <r>
      <rPr>
        <sz val="10"/>
        <rFont val="仿宋_GB2312"/>
        <family val="3"/>
        <charset val="134"/>
      </rPr>
      <t>可比案例</t>
    </r>
    <r>
      <rPr>
        <sz val="10"/>
        <rFont val="Arial"/>
        <family val="2"/>
      </rPr>
      <t>2</t>
    </r>
  </si>
  <si>
    <r>
      <rPr>
        <sz val="10"/>
        <rFont val="仿宋_GB2312"/>
        <family val="3"/>
        <charset val="134"/>
      </rPr>
      <t>可比案例</t>
    </r>
    <r>
      <rPr>
        <sz val="10"/>
        <rFont val="Arial"/>
        <family val="2"/>
      </rPr>
      <t>3</t>
    </r>
  </si>
  <si>
    <r>
      <rPr>
        <sz val="10"/>
        <rFont val="仿宋_GB2312"/>
        <family val="3"/>
        <charset val="134"/>
      </rPr>
      <t>可比案例</t>
    </r>
    <r>
      <rPr>
        <sz val="10"/>
        <rFont val="Arial"/>
        <family val="2"/>
      </rPr>
      <t>4</t>
    </r>
  </si>
  <si>
    <r>
      <rPr>
        <sz val="10"/>
        <rFont val="仿宋_GB2312"/>
        <family val="3"/>
        <charset val="134"/>
      </rPr>
      <t>可比案例</t>
    </r>
    <r>
      <rPr>
        <sz val="10"/>
        <rFont val="Arial"/>
        <family val="2"/>
      </rPr>
      <t>5</t>
    </r>
  </si>
  <si>
    <t>项目名称</t>
  </si>
  <si>
    <t>平均租金（元/平方米·月）</t>
  </si>
  <si>
    <t>待估</t>
  </si>
  <si>
    <t>交易时间</t>
  </si>
  <si>
    <t>2017.6</t>
  </si>
  <si>
    <t>2017.9</t>
  </si>
  <si>
    <t>2018.12</t>
  </si>
  <si>
    <t>交易情况</t>
  </si>
  <si>
    <t>正常</t>
  </si>
  <si>
    <t>区域状况</t>
  </si>
  <si>
    <t>产聚集度</t>
  </si>
  <si>
    <t>区域位置</t>
  </si>
  <si>
    <t>六环外，距市区较远</t>
  </si>
  <si>
    <t>六环内</t>
  </si>
  <si>
    <t>六环外，距市区较近</t>
  </si>
  <si>
    <t>区域配套设施</t>
  </si>
  <si>
    <t>公用服务设施完善度一般，基本能满足需要</t>
  </si>
  <si>
    <t>公用服务设施较好，较能满足需要</t>
  </si>
  <si>
    <t>自然环境与景观</t>
  </si>
  <si>
    <t>实物状况</t>
  </si>
  <si>
    <t>临路状况</t>
  </si>
  <si>
    <t>城市次干道</t>
  </si>
  <si>
    <t>城市主干道</t>
  </si>
  <si>
    <t>宗地内开发程度</t>
  </si>
  <si>
    <t>五通</t>
  </si>
  <si>
    <t>三通一平</t>
  </si>
  <si>
    <t>六通一平</t>
  </si>
  <si>
    <t>宗地形状</t>
  </si>
  <si>
    <t>不规则</t>
  </si>
  <si>
    <t>规则</t>
  </si>
  <si>
    <t>宗地面积（公顷）</t>
  </si>
  <si>
    <t>宜居状况</t>
  </si>
  <si>
    <t>物业服务保障</t>
  </si>
  <si>
    <t>有专业物业公司，物业服务保障好</t>
  </si>
  <si>
    <t>管员人员配置</t>
  </si>
  <si>
    <t>配备管理人员</t>
  </si>
  <si>
    <t>出租稳定性</t>
  </si>
  <si>
    <t>出租稳定性好</t>
  </si>
  <si>
    <t>住户的构成</t>
  </si>
  <si>
    <t>出租房屋住户均有备案，居住安全性好</t>
  </si>
  <si>
    <t>出租房屋住户备案较少，居住安全性一般</t>
  </si>
  <si>
    <t>安全监控系统</t>
  </si>
  <si>
    <t>设有小区监控，门禁及呼叫系统</t>
  </si>
  <si>
    <t>绿化环境</t>
  </si>
  <si>
    <t>绿化率约为30%，好</t>
  </si>
  <si>
    <t>配套设施</t>
  </si>
  <si>
    <t>配备活动站、医疗站</t>
  </si>
  <si>
    <t>配备活动站，无医疗站</t>
  </si>
  <si>
    <t>成交单价（元/平米）</t>
  </si>
  <si>
    <t>_____</t>
  </si>
  <si>
    <t>比较价值（元/平米）</t>
  </si>
  <si>
    <t>昌平、大兴、房山、顺义、怀柔近三年土地一级开发项目</t>
  </si>
  <si>
    <t>年度</t>
  </si>
  <si>
    <t>月份</t>
  </si>
  <si>
    <t>区县</t>
  </si>
  <si>
    <t>项目用地面积
（公顷）</t>
  </si>
  <si>
    <t>土地取得费（万元）</t>
  </si>
  <si>
    <t>征地补偿费及税费</t>
  </si>
  <si>
    <t>拆迁补偿及税费</t>
  </si>
  <si>
    <t>3月</t>
  </si>
  <si>
    <t>顺义</t>
  </si>
  <si>
    <t>顺义区高丽营镇于庄土地一级开发项目03-21、03-31地块</t>
  </si>
  <si>
    <t>怀柔</t>
  </si>
  <si>
    <t>怀柔区怀柔镇04街区HR00-0004-6001、6002、6003、6004地块F2用地及0050地块供燃气用地</t>
  </si>
  <si>
    <t>6月</t>
  </si>
  <si>
    <t>顺义区国际鲜花港土地一级开发项目A-01地块</t>
  </si>
  <si>
    <t>9月</t>
  </si>
  <si>
    <t>顺义卫星城牛栏山组团东南部土地一级开发项目SY00-0017-6001、1103、1202等地块</t>
  </si>
  <si>
    <t>12月</t>
  </si>
  <si>
    <t>怀柔区雁栖镇陈各庄村土地一级开发项目</t>
  </si>
  <si>
    <t>征收补偿安置费</t>
  </si>
  <si>
    <t>项目全部</t>
  </si>
  <si>
    <t>土地</t>
  </si>
  <si>
    <t>基准地价</t>
  </si>
  <si>
    <t>剩余法-待开发</t>
  </si>
  <si>
    <t>规划建筑</t>
  </si>
  <si>
    <t>规划用途</t>
  </si>
  <si>
    <t>成交日期</t>
  </si>
  <si>
    <t>成交价</t>
  </si>
  <si>
    <t>其中土地开发补偿费（万元）</t>
  </si>
  <si>
    <t>其中政府土地出让收益（万元）</t>
  </si>
  <si>
    <t>土地增值率（%）</t>
  </si>
  <si>
    <t>面积</t>
  </si>
  <si>
    <t>（万元）</t>
  </si>
  <si>
    <t>(平方米)</t>
  </si>
  <si>
    <t>北京市怀柔区怀柔新城03街区HR00-0003-6004等地块</t>
  </si>
  <si>
    <t>A33、R2、F1、F3</t>
  </si>
  <si>
    <t>北京市怀柔区雁栖镇陈各庄村HR00-0010-6047、HR00-0010-6045、HR00-0010-6054等地块</t>
  </si>
  <si>
    <t>R2、S4</t>
  </si>
  <si>
    <t>北京市怀柔区怀柔新城07街区（杨宋镇凤翔一园10号）HR00-0007-6006地块</t>
  </si>
  <si>
    <t>R2</t>
  </si>
  <si>
    <t>北京市怀柔区雁栖镇陈各庄村HR00-0010-6037、HR00-0010-6043地块</t>
  </si>
  <si>
    <t>R2、A33</t>
  </si>
  <si>
    <t>北京市怀柔区庙城HR00-0014-6019等地块</t>
  </si>
  <si>
    <t>R2、B1、S4、A33、U22</t>
  </si>
  <si>
    <t>平均土地增值收益率</t>
  </si>
  <si>
    <t>基准地价</t>
    <phoneticPr fontId="228" type="noConversion"/>
  </si>
  <si>
    <t>权重</t>
    <phoneticPr fontId="228" type="noConversion"/>
  </si>
  <si>
    <t>剩余法</t>
    <phoneticPr fontId="228" type="noConversion"/>
  </si>
  <si>
    <t>成本逼近法</t>
    <phoneticPr fontId="228" type="noConversion"/>
  </si>
  <si>
    <t>权重</t>
    <phoneticPr fontId="228" type="noConversion"/>
  </si>
  <si>
    <t>单价（元/平方米）</t>
    <phoneticPr fontId="228" type="noConversion"/>
  </si>
  <si>
    <r>
      <t>2</t>
    </r>
    <r>
      <rPr>
        <sz val="11"/>
        <color theme="1"/>
        <rFont val="宋体"/>
        <family val="3"/>
        <charset val="134"/>
        <scheme val="minor"/>
      </rPr>
      <t>020-4</t>
    </r>
    <phoneticPr fontId="228" type="noConversion"/>
  </si>
  <si>
    <r>
      <t>2</t>
    </r>
    <r>
      <rPr>
        <sz val="11"/>
        <color theme="1"/>
        <rFont val="宋体"/>
        <family val="3"/>
        <charset val="134"/>
        <scheme val="minor"/>
      </rPr>
      <t>020-3</t>
    </r>
    <phoneticPr fontId="228" type="noConversion"/>
  </si>
  <si>
    <r>
      <t>2</t>
    </r>
    <r>
      <rPr>
        <sz val="11"/>
        <color theme="1"/>
        <rFont val="宋体"/>
        <family val="3"/>
        <charset val="134"/>
        <scheme val="minor"/>
      </rPr>
      <t>020-2</t>
    </r>
    <phoneticPr fontId="228" type="noConversion"/>
  </si>
  <si>
    <r>
      <t>2</t>
    </r>
    <r>
      <rPr>
        <sz val="11"/>
        <color theme="1"/>
        <rFont val="宋体"/>
        <family val="3"/>
        <charset val="134"/>
        <scheme val="minor"/>
      </rPr>
      <t>020-1</t>
    </r>
    <phoneticPr fontId="228" type="noConversion"/>
  </si>
  <si>
    <r>
      <t>2</t>
    </r>
    <r>
      <rPr>
        <sz val="11"/>
        <color theme="1"/>
        <rFont val="宋体"/>
        <family val="3"/>
        <charset val="134"/>
        <scheme val="minor"/>
      </rPr>
      <t>019-4</t>
    </r>
    <phoneticPr fontId="228" type="noConversion"/>
  </si>
  <si>
    <r>
      <t>2</t>
    </r>
    <r>
      <rPr>
        <sz val="11"/>
        <color theme="1"/>
        <rFont val="宋体"/>
        <family val="3"/>
        <charset val="134"/>
        <scheme val="minor"/>
      </rPr>
      <t>019-3</t>
    </r>
    <phoneticPr fontId="228" type="noConversion"/>
  </si>
  <si>
    <r>
      <t>2</t>
    </r>
    <r>
      <rPr>
        <sz val="11"/>
        <color theme="1"/>
        <rFont val="宋体"/>
        <family val="3"/>
        <charset val="134"/>
        <scheme val="minor"/>
      </rPr>
      <t>019-2</t>
    </r>
    <phoneticPr fontId="228" type="noConversion"/>
  </si>
  <si>
    <r>
      <t>2</t>
    </r>
    <r>
      <rPr>
        <sz val="11"/>
        <color theme="1"/>
        <rFont val="宋体"/>
        <family val="3"/>
        <charset val="134"/>
        <scheme val="minor"/>
      </rPr>
      <t>019-1</t>
    </r>
    <phoneticPr fontId="228" type="noConversion"/>
  </si>
  <si>
    <r>
      <t>2</t>
    </r>
    <r>
      <rPr>
        <sz val="11"/>
        <color theme="1"/>
        <rFont val="宋体"/>
        <family val="3"/>
        <charset val="134"/>
        <scheme val="minor"/>
      </rPr>
      <t>018-4</t>
    </r>
    <phoneticPr fontId="228" type="noConversion"/>
  </si>
  <si>
    <r>
      <t>2</t>
    </r>
    <r>
      <rPr>
        <sz val="11"/>
        <color theme="1"/>
        <rFont val="宋体"/>
        <family val="3"/>
        <charset val="134"/>
        <scheme val="minor"/>
      </rPr>
      <t>018-3</t>
    </r>
    <phoneticPr fontId="228" type="noConversion"/>
  </si>
  <si>
    <r>
      <t>2</t>
    </r>
    <r>
      <rPr>
        <sz val="11"/>
        <color theme="1"/>
        <rFont val="宋体"/>
        <family val="3"/>
        <charset val="134"/>
        <scheme val="minor"/>
      </rPr>
      <t>018-2</t>
    </r>
    <phoneticPr fontId="228" type="noConversion"/>
  </si>
  <si>
    <r>
      <t>2</t>
    </r>
    <r>
      <rPr>
        <sz val="11"/>
        <color theme="1"/>
        <rFont val="宋体"/>
        <family val="3"/>
        <charset val="134"/>
        <scheme val="minor"/>
      </rPr>
      <t>018-1</t>
    </r>
    <phoneticPr fontId="228" type="noConversion"/>
  </si>
  <si>
    <r>
      <t>2</t>
    </r>
    <r>
      <rPr>
        <sz val="11"/>
        <color theme="1"/>
        <rFont val="宋体"/>
        <family val="3"/>
        <charset val="134"/>
        <scheme val="minor"/>
      </rPr>
      <t>017-4</t>
    </r>
    <phoneticPr fontId="228" type="noConversion"/>
  </si>
  <si>
    <r>
      <t>2</t>
    </r>
    <r>
      <rPr>
        <sz val="11"/>
        <color theme="1"/>
        <rFont val="宋体"/>
        <family val="3"/>
        <charset val="134"/>
        <scheme val="minor"/>
      </rPr>
      <t>017-3</t>
    </r>
    <phoneticPr fontId="228" type="noConversion"/>
  </si>
  <si>
    <r>
      <t>2</t>
    </r>
    <r>
      <rPr>
        <sz val="11"/>
        <color theme="1"/>
        <rFont val="宋体"/>
        <family val="3"/>
        <charset val="134"/>
        <scheme val="minor"/>
      </rPr>
      <t>017-2</t>
    </r>
    <phoneticPr fontId="228" type="noConversion"/>
  </si>
  <si>
    <r>
      <t>2</t>
    </r>
    <r>
      <rPr>
        <sz val="11"/>
        <color theme="1"/>
        <rFont val="宋体"/>
        <family val="3"/>
        <charset val="134"/>
        <scheme val="minor"/>
      </rPr>
      <t>017-1</t>
    </r>
    <phoneticPr fontId="228" type="noConversion"/>
  </si>
  <si>
    <t>期日修正系数</t>
    <phoneticPr fontId="228" type="noConversion"/>
  </si>
  <si>
    <t>季度</t>
    <phoneticPr fontId="228" type="noConversion"/>
  </si>
  <si>
    <t>土地增值收益率</t>
    <phoneticPr fontId="228" type="noConversion"/>
  </si>
  <si>
    <t>划拨国有建设用地使用权价格</t>
    <phoneticPr fontId="228" type="noConversion"/>
  </si>
  <si>
    <t>地面单价（元/平方米）</t>
    <phoneticPr fontId="228" type="noConversion"/>
  </si>
  <si>
    <t>土地总价（万元）</t>
    <phoneticPr fontId="228" type="noConversion"/>
  </si>
  <si>
    <t>亩</t>
    <phoneticPr fontId="228" type="noConversion"/>
  </si>
  <si>
    <t>房屋坐落</t>
  </si>
  <si>
    <t>轨枕厂</t>
    <rPh sb="0" eb="1">
      <t>gui zhen e chan</t>
    </rPh>
    <rPh sb="2" eb="3">
      <t>chang</t>
    </rPh>
    <phoneticPr fontId="3" type="noConversion"/>
  </si>
  <si>
    <t>分  值</t>
  </si>
  <si>
    <t>项目
名称</t>
  </si>
  <si>
    <t>怀盛</t>
  </si>
  <si>
    <t>被腾退人</t>
  </si>
  <si>
    <t>宅基地面积</t>
  </si>
  <si>
    <t>卫生间</t>
    <phoneticPr fontId="3" type="noConversion"/>
  </si>
  <si>
    <t>澡堂</t>
    <phoneticPr fontId="3" type="noConversion"/>
  </si>
  <si>
    <t>食堂</t>
    <phoneticPr fontId="3" type="noConversion"/>
  </si>
  <si>
    <t>玻璃房</t>
    <phoneticPr fontId="3" type="noConversion"/>
  </si>
  <si>
    <t>可移动顶棚</t>
    <phoneticPr fontId="3" type="noConversion"/>
  </si>
  <si>
    <t>门卫</t>
    <phoneticPr fontId="3" type="noConversion"/>
  </si>
  <si>
    <t>山上小破房</t>
    <phoneticPr fontId="3" type="noConversion"/>
  </si>
  <si>
    <t>架空棚</t>
    <phoneticPr fontId="3" type="noConversion"/>
  </si>
  <si>
    <t>临时工棚</t>
    <phoneticPr fontId="3" type="noConversion"/>
  </si>
  <si>
    <t>房号</t>
  </si>
  <si>
    <t>建筑物1</t>
    <phoneticPr fontId="3" type="noConversion"/>
  </si>
  <si>
    <t>建筑物2</t>
    <phoneticPr fontId="3" type="noConversion"/>
  </si>
  <si>
    <t>建筑物3</t>
  </si>
  <si>
    <t>建筑物4</t>
  </si>
  <si>
    <t>建筑物5</t>
  </si>
  <si>
    <t>建筑物6</t>
  </si>
  <si>
    <t>建筑物7</t>
  </si>
  <si>
    <t>建筑物8</t>
  </si>
  <si>
    <t>建筑物9</t>
  </si>
  <si>
    <t>建筑物10</t>
  </si>
  <si>
    <t>建筑物11</t>
  </si>
  <si>
    <t>建筑物12</t>
  </si>
  <si>
    <t>建筑物13</t>
  </si>
  <si>
    <t>建筑物14</t>
  </si>
  <si>
    <t>建筑物15</t>
  </si>
  <si>
    <t>建筑物16</t>
  </si>
  <si>
    <t>建筑物17</t>
  </si>
  <si>
    <t>建筑物18</t>
  </si>
  <si>
    <t>建筑物19</t>
  </si>
  <si>
    <t>建筑物20</t>
  </si>
  <si>
    <t>建筑物21</t>
  </si>
  <si>
    <t>建筑物22</t>
  </si>
  <si>
    <t>建筑物23</t>
  </si>
  <si>
    <t>建筑物24</t>
  </si>
  <si>
    <t>建筑物25</t>
  </si>
  <si>
    <t>建筑物26</t>
  </si>
  <si>
    <t>建筑物27</t>
  </si>
  <si>
    <t>建筑物28</t>
  </si>
  <si>
    <t>建筑物28</t>
    <phoneticPr fontId="3" type="noConversion"/>
  </si>
  <si>
    <t>建筑物29</t>
  </si>
  <si>
    <t>建筑物30</t>
  </si>
  <si>
    <t>建筑物31</t>
  </si>
  <si>
    <t>建筑物32</t>
  </si>
  <si>
    <t>建筑物33</t>
  </si>
  <si>
    <t>建筑物34</t>
  </si>
  <si>
    <t>建筑物35</t>
  </si>
  <si>
    <t>建筑物36</t>
  </si>
  <si>
    <t>建筑物37</t>
  </si>
  <si>
    <t>建筑物38</t>
  </si>
  <si>
    <t>建筑物39</t>
  </si>
  <si>
    <t>建筑物40</t>
  </si>
  <si>
    <t>建筑物41</t>
  </si>
  <si>
    <t>建筑物42</t>
  </si>
  <si>
    <t>建筑物43</t>
  </si>
  <si>
    <t>建筑物44</t>
  </si>
  <si>
    <t>建筑物45</t>
  </si>
  <si>
    <t>建筑物46</t>
  </si>
  <si>
    <t>棚1</t>
    <rPh sb="0" eb="1">
      <t>peng</t>
    </rPh>
    <phoneticPr fontId="3" type="noConversion"/>
  </si>
  <si>
    <t>棚2</t>
    <rPh sb="0" eb="1">
      <t>peng</t>
    </rPh>
    <phoneticPr fontId="3" type="noConversion"/>
  </si>
  <si>
    <t>棚3</t>
    <rPh sb="0" eb="1">
      <t>peng</t>
    </rPh>
    <phoneticPr fontId="3" type="noConversion"/>
  </si>
  <si>
    <t>棚4</t>
    <rPh sb="0" eb="1">
      <t>peng</t>
    </rPh>
    <phoneticPr fontId="3" type="noConversion"/>
  </si>
  <si>
    <t>棚5</t>
    <rPh sb="0" eb="1">
      <t>peng</t>
    </rPh>
    <phoneticPr fontId="3" type="noConversion"/>
  </si>
  <si>
    <t>棚6</t>
    <rPh sb="0" eb="1">
      <t>peng</t>
    </rPh>
    <phoneticPr fontId="3" type="noConversion"/>
  </si>
  <si>
    <t>棚7</t>
    <rPh sb="0" eb="1">
      <t>peng</t>
    </rPh>
    <phoneticPr fontId="3" type="noConversion"/>
  </si>
  <si>
    <t>棚8</t>
    <rPh sb="0" eb="1">
      <t>peng</t>
    </rPh>
    <phoneticPr fontId="3" type="noConversion"/>
  </si>
  <si>
    <t>棚9</t>
    <rPh sb="0" eb="1">
      <t>peng</t>
    </rPh>
    <phoneticPr fontId="3" type="noConversion"/>
  </si>
  <si>
    <t>棚10</t>
    <rPh sb="0" eb="1">
      <t>peng</t>
    </rPh>
    <phoneticPr fontId="3" type="noConversion"/>
  </si>
  <si>
    <r>
      <t>32</t>
    </r>
    <r>
      <rPr>
        <b/>
        <sz val="10.5"/>
        <rFont val="宋体"/>
        <family val="3"/>
        <charset val="134"/>
      </rPr>
      <t>号房中房</t>
    </r>
    <r>
      <rPr>
        <b/>
        <sz val="10.5"/>
        <rFont val="Times New Roman"/>
        <family val="1"/>
      </rPr>
      <t>1</t>
    </r>
    <phoneticPr fontId="3" type="noConversion"/>
  </si>
  <si>
    <r>
      <t>32</t>
    </r>
    <r>
      <rPr>
        <b/>
        <sz val="10.5"/>
        <rFont val="宋体"/>
        <family val="3"/>
        <charset val="134"/>
      </rPr>
      <t>号房中房</t>
    </r>
    <r>
      <rPr>
        <b/>
        <sz val="10.5"/>
        <rFont val="Times New Roman"/>
        <family val="1"/>
      </rPr>
      <t>2</t>
    </r>
    <phoneticPr fontId="3" type="noConversion"/>
  </si>
  <si>
    <r>
      <t>房屋</t>
    </r>
    <r>
      <rPr>
        <b/>
        <sz val="10.5"/>
        <rFont val="宋体"/>
        <family val="3"/>
        <charset val="134"/>
      </rPr>
      <t>长</t>
    </r>
    <r>
      <rPr>
        <sz val="10.5"/>
        <rFont val="宋体"/>
        <family val="3"/>
        <charset val="134"/>
      </rPr>
      <t>度</t>
    </r>
  </si>
  <si>
    <r>
      <t>房屋</t>
    </r>
    <r>
      <rPr>
        <b/>
        <sz val="10.5"/>
        <rFont val="宋体"/>
        <family val="3"/>
        <charset val="134"/>
      </rPr>
      <t>宽</t>
    </r>
    <r>
      <rPr>
        <sz val="10.5"/>
        <rFont val="宋体"/>
        <family val="3"/>
        <charset val="134"/>
      </rPr>
      <t>度</t>
    </r>
  </si>
  <si>
    <t>借墙长度</t>
  </si>
  <si>
    <t>使用面积</t>
  </si>
  <si>
    <t>房屋周长</t>
  </si>
  <si>
    <t>标准间数</t>
  </si>
  <si>
    <t>房屋进深</t>
  </si>
  <si>
    <t>（单位：米）</t>
  </si>
  <si>
    <t>房型选项</t>
  </si>
  <si>
    <t>砼屋面</t>
  </si>
  <si>
    <t>屋面</t>
  </si>
  <si>
    <t>彩钢板/现浇板</t>
    <rPh sb="0" eb="1">
      <t>cai gang ban</t>
    </rPh>
    <rPh sb="4" eb="5">
      <t>xian jiao ban</t>
    </rPh>
    <phoneticPr fontId="3" type="noConversion"/>
  </si>
  <si>
    <t>房架</t>
  </si>
  <si>
    <t>地面</t>
  </si>
  <si>
    <t>顶棚</t>
  </si>
  <si>
    <t>墙身</t>
  </si>
  <si>
    <t>墙身调节系数</t>
  </si>
  <si>
    <t>台基高度</t>
  </si>
  <si>
    <t>台阶调整系数</t>
  </si>
  <si>
    <t>墙身分数</t>
  </si>
  <si>
    <t>门窗</t>
  </si>
  <si>
    <t>柱高</t>
  </si>
  <si>
    <t>柱高差率</t>
  </si>
  <si>
    <t>隔断</t>
  </si>
  <si>
    <t>选项</t>
  </si>
  <si>
    <t>整砖24</t>
  </si>
  <si>
    <t>彩钢板隔断单层</t>
  </si>
  <si>
    <t>塑钢、铝合金</t>
  </si>
  <si>
    <t>单砖、碎砖、空心砖</t>
  </si>
  <si>
    <t>数量</t>
  </si>
  <si>
    <t>分数</t>
  </si>
  <si>
    <t>成新</t>
  </si>
  <si>
    <r>
      <t>（成新＞</t>
    </r>
    <r>
      <rPr>
        <sz val="9"/>
        <rFont val="Times New Roman"/>
        <family val="1"/>
      </rPr>
      <t>0</t>
    </r>
    <r>
      <rPr>
        <sz val="9"/>
        <rFont val="宋体"/>
        <family val="3"/>
        <charset val="134"/>
      </rPr>
      <t>）</t>
    </r>
  </si>
  <si>
    <t>折余率</t>
  </si>
  <si>
    <t>房中房</t>
    <phoneticPr fontId="3" type="noConversion"/>
  </si>
  <si>
    <t>房体价格</t>
  </si>
  <si>
    <t>国地</t>
    <phoneticPr fontId="3" type="noConversion"/>
  </si>
  <si>
    <t>单价</t>
  </si>
  <si>
    <t>附属物名称</t>
  </si>
  <si>
    <t>普通灯</t>
    <phoneticPr fontId="3" type="noConversion"/>
  </si>
  <si>
    <t>陶瓷池</t>
    <phoneticPr fontId="3" type="noConversion"/>
  </si>
  <si>
    <t>水泥池</t>
    <phoneticPr fontId="3" type="noConversion"/>
  </si>
  <si>
    <t>配电箱</t>
    <phoneticPr fontId="3" type="noConversion"/>
  </si>
  <si>
    <t>化粪池</t>
    <phoneticPr fontId="3" type="noConversion"/>
  </si>
  <si>
    <t>雨搭</t>
    <phoneticPr fontId="3" type="noConversion"/>
  </si>
  <si>
    <t>铁门</t>
    <phoneticPr fontId="3" type="noConversion"/>
  </si>
  <si>
    <t>棚</t>
    <rPh sb="0" eb="1">
      <t>peng</t>
    </rPh>
    <phoneticPr fontId="3" type="noConversion"/>
  </si>
  <si>
    <t>单位</t>
  </si>
  <si>
    <t>金额</t>
  </si>
  <si>
    <t>防盗门（单）</t>
    <phoneticPr fontId="3" type="noConversion"/>
  </si>
  <si>
    <t>防盗门（双）</t>
    <phoneticPr fontId="3" type="noConversion"/>
  </si>
  <si>
    <t>卷帘门（自动）</t>
    <phoneticPr fontId="3" type="noConversion"/>
  </si>
  <si>
    <t>窗帘杆-普通</t>
    <phoneticPr fontId="3" type="noConversion"/>
  </si>
  <si>
    <t>蹲式大便器</t>
    <phoneticPr fontId="3" type="noConversion"/>
  </si>
  <si>
    <t>小便器</t>
    <phoneticPr fontId="3" type="noConversion"/>
  </si>
  <si>
    <t>铁梯</t>
    <phoneticPr fontId="3" type="noConversion"/>
  </si>
  <si>
    <t>个</t>
    <phoneticPr fontId="3" type="noConversion"/>
  </si>
  <si>
    <t>座</t>
    <phoneticPr fontId="3" type="noConversion"/>
  </si>
  <si>
    <t>平方米</t>
    <phoneticPr fontId="3" type="noConversion"/>
  </si>
  <si>
    <t>个</t>
  </si>
  <si>
    <t>铁护窗</t>
    <phoneticPr fontId="3" type="noConversion"/>
  </si>
  <si>
    <t>不锈钢栏杆</t>
    <phoneticPr fontId="3" type="noConversion"/>
  </si>
  <si>
    <t>铁栏杆</t>
    <phoneticPr fontId="3" type="noConversion"/>
  </si>
  <si>
    <t>锦砖贴面</t>
    <phoneticPr fontId="3" type="noConversion"/>
  </si>
  <si>
    <t>院墙</t>
    <phoneticPr fontId="3" type="noConversion"/>
  </si>
  <si>
    <t>院地</t>
    <phoneticPr fontId="3" type="noConversion"/>
  </si>
  <si>
    <t>平方米</t>
  </si>
  <si>
    <t>整砖24隔断</t>
    <phoneticPr fontId="3" type="noConversion"/>
  </si>
  <si>
    <t>水漏斗</t>
    <phoneticPr fontId="3" type="noConversion"/>
  </si>
  <si>
    <t>电缆3*3*16</t>
    <phoneticPr fontId="3" type="noConversion"/>
  </si>
  <si>
    <t>电缆4*4*70</t>
    <phoneticPr fontId="3" type="noConversion"/>
  </si>
  <si>
    <t>电缆4*4*150</t>
    <phoneticPr fontId="3" type="noConversion"/>
  </si>
  <si>
    <t>电缆4*4*95</t>
    <phoneticPr fontId="3" type="noConversion"/>
  </si>
  <si>
    <t>电缆4*4*96</t>
    <phoneticPr fontId="3" type="noConversion"/>
  </si>
  <si>
    <t>米</t>
    <phoneticPr fontId="3" type="noConversion"/>
  </si>
  <si>
    <t>电缆</t>
    <phoneticPr fontId="3" type="noConversion"/>
  </si>
  <si>
    <t>电缆问下规格</t>
    <phoneticPr fontId="3" type="noConversion"/>
  </si>
  <si>
    <t>电缆4*4*97</t>
    <phoneticPr fontId="3" type="noConversion"/>
  </si>
  <si>
    <t>棚</t>
    <phoneticPr fontId="3" type="noConversion"/>
  </si>
  <si>
    <r>
      <t>3</t>
    </r>
    <r>
      <rPr>
        <sz val="10.5"/>
        <rFont val="宋体"/>
        <family val="3"/>
        <charset val="134"/>
      </rPr>
      <t>2号建筑物房中房</t>
    </r>
    <phoneticPr fontId="3" type="noConversion"/>
  </si>
  <si>
    <t>不算电缆</t>
    <phoneticPr fontId="3" type="noConversion"/>
  </si>
  <si>
    <t>算电缆</t>
    <phoneticPr fontId="3" type="noConversion"/>
  </si>
  <si>
    <t>国地</t>
    <phoneticPr fontId="3" type="noConversion"/>
  </si>
  <si>
    <t>土地</t>
    <phoneticPr fontId="3" type="noConversion"/>
  </si>
  <si>
    <t>房屋</t>
    <phoneticPr fontId="3" type="noConversion"/>
  </si>
  <si>
    <t>附属物</t>
    <phoneticPr fontId="3" type="noConversion"/>
  </si>
  <si>
    <t>机器设备</t>
    <phoneticPr fontId="3" type="noConversion"/>
  </si>
  <si>
    <t>附属物价格</t>
  </si>
  <si>
    <t>平均单价</t>
  </si>
  <si>
    <t>安置房补偿通知单</t>
  </si>
  <si>
    <t>北京市宅基地房屋安置补偿价格结果通知单</t>
  </si>
  <si>
    <t>宅 基 地 区 位 补 偿 价 款</t>
  </si>
  <si>
    <t>认定宅基地总补偿面积</t>
  </si>
  <si>
    <t>宅基地认定控制面积</t>
  </si>
  <si>
    <t>控制面积内区位补偿价
（6000元/㎡）</t>
  </si>
  <si>
    <t>超出控制面积
区位补偿价</t>
  </si>
  <si>
    <t>宅基地区位补偿总价</t>
  </si>
  <si>
    <t xml:space="preserve">房  屋  价  款       </t>
  </si>
  <si>
    <t>房 号</t>
  </si>
  <si>
    <t>建筑面积（㎡）</t>
  </si>
  <si>
    <r>
      <t>金额</t>
    </r>
    <r>
      <rPr>
        <b/>
        <sz val="9"/>
        <rFont val="宋体"/>
        <family val="3"/>
        <charset val="134"/>
      </rPr>
      <t>(元)</t>
    </r>
  </si>
  <si>
    <t>建筑面积合计</t>
  </si>
  <si>
    <t>房屋价款分计</t>
  </si>
  <si>
    <t>装修、设备及附属物价款</t>
  </si>
  <si>
    <t>类别名称</t>
  </si>
  <si>
    <t>单 位</t>
  </si>
  <si>
    <t>数 量</t>
  </si>
  <si>
    <t>装修、设备及附属物价款分计</t>
  </si>
  <si>
    <t>房屋重置成新价合计</t>
  </si>
  <si>
    <t>元</t>
  </si>
  <si>
    <t>宅基地腾退
补偿款总价</t>
  </si>
  <si>
    <t>大写金额</t>
  </si>
  <si>
    <t>完全货币补偿通知单</t>
  </si>
  <si>
    <t>北京市宅基地房屋货币补偿价格结果通知单</t>
  </si>
  <si>
    <t>宅 基 地 标 准 房 地 产 价 格 补 偿 价 款</t>
  </si>
  <si>
    <t>控制面积内标准房地产价格补偿（20926元/㎡）</t>
  </si>
  <si>
    <t>超出控制面积
标准房地产价格补偿</t>
  </si>
  <si>
    <t>标准房地产价格补偿总价</t>
  </si>
  <si>
    <t xml:space="preserve"> 房  屋  价  款  </t>
  </si>
  <si>
    <t>首发单</t>
  </si>
  <si>
    <t>宅基地房屋重置成新价评估结果通知单</t>
  </si>
  <si>
    <r>
      <t xml:space="preserve">                                                              房  屋  价  款                                     </t>
    </r>
    <r>
      <rPr>
        <sz val="10"/>
        <rFont val="宋体"/>
        <family val="3"/>
        <charset val="134"/>
      </rPr>
      <t>（面积单位:</t>
    </r>
    <r>
      <rPr>
        <sz val="11"/>
        <rFont val="宋体"/>
        <family val="3"/>
        <charset val="134"/>
      </rPr>
      <t>m</t>
    </r>
    <r>
      <rPr>
        <vertAlign val="superscript"/>
        <sz val="9"/>
        <rFont val="宋体"/>
        <family val="3"/>
        <charset val="134"/>
      </rPr>
      <t>2</t>
    </r>
    <r>
      <rPr>
        <sz val="10"/>
        <rFont val="宋体"/>
        <family val="3"/>
        <charset val="134"/>
      </rPr>
      <t>）</t>
    </r>
  </si>
  <si>
    <t>小计（1）</t>
  </si>
  <si>
    <t>小计（2）</t>
  </si>
  <si>
    <t>重置价合计</t>
  </si>
  <si>
    <t>附注：本表不含宅基地补偿价，再复印无效。</t>
  </si>
  <si>
    <t>大芯板</t>
  </si>
  <si>
    <t>胶合板，包镶门</t>
  </si>
  <si>
    <t>石膏板</t>
  </si>
  <si>
    <t>木龙骨纤维板隔断半玻璃门</t>
  </si>
  <si>
    <t>板条苇箔抹灰隔断</t>
  </si>
  <si>
    <t>彩钢板隔断双层</t>
  </si>
  <si>
    <r>
      <t>屋</t>
    </r>
    <r>
      <rPr>
        <b/>
        <sz val="12"/>
        <color indexed="8"/>
        <rFont val="Times New Roman"/>
        <family val="1"/>
      </rPr>
      <t xml:space="preserve">   </t>
    </r>
    <r>
      <rPr>
        <b/>
        <sz val="12"/>
        <color indexed="8"/>
        <rFont val="宋体"/>
        <family val="3"/>
        <charset val="134"/>
      </rPr>
      <t>面</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1</t>
    </r>
    <r>
      <rPr>
        <sz val="12"/>
        <color indexed="8"/>
        <rFont val="宋体"/>
        <family val="3"/>
        <charset val="134"/>
      </rPr>
      <t>）</t>
    </r>
  </si>
  <si>
    <r>
      <t xml:space="preserve"> </t>
    </r>
    <r>
      <rPr>
        <b/>
        <sz val="12"/>
        <color indexed="8"/>
        <rFont val="宋体"/>
        <family val="3"/>
        <charset val="134"/>
      </rPr>
      <t>屋</t>
    </r>
    <r>
      <rPr>
        <b/>
        <sz val="12"/>
        <color indexed="8"/>
        <rFont val="Times New Roman"/>
        <family val="1"/>
      </rPr>
      <t xml:space="preserve">   </t>
    </r>
    <r>
      <rPr>
        <b/>
        <sz val="12"/>
        <color indexed="8"/>
        <rFont val="宋体"/>
        <family val="3"/>
        <charset val="134"/>
      </rPr>
      <t>架</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2</t>
    </r>
    <r>
      <rPr>
        <sz val="12"/>
        <color indexed="8"/>
        <rFont val="宋体"/>
        <family val="3"/>
        <charset val="134"/>
      </rPr>
      <t>）</t>
    </r>
  </si>
  <si>
    <r>
      <t>墙</t>
    </r>
    <r>
      <rPr>
        <b/>
        <sz val="12"/>
        <color indexed="8"/>
        <rFont val="Times New Roman"/>
        <family val="1"/>
      </rPr>
      <t xml:space="preserve">   </t>
    </r>
    <r>
      <rPr>
        <b/>
        <sz val="12"/>
        <color indexed="8"/>
        <rFont val="宋体"/>
        <family val="3"/>
        <charset val="134"/>
      </rPr>
      <t>身</t>
    </r>
    <r>
      <rPr>
        <b/>
        <sz val="12"/>
        <color indexed="8"/>
        <rFont val="Times New Roman"/>
        <family val="1"/>
      </rPr>
      <t xml:space="preserve">   </t>
    </r>
    <r>
      <rPr>
        <b/>
        <sz val="12"/>
        <color indexed="8"/>
        <rFont val="宋体"/>
        <family val="3"/>
        <charset val="134"/>
      </rPr>
      <t>计</t>
    </r>
    <r>
      <rPr>
        <b/>
        <sz val="12"/>
        <color indexed="8"/>
        <rFont val="Times New Roman"/>
        <family val="1"/>
      </rPr>
      <t xml:space="preserve">   </t>
    </r>
    <r>
      <rPr>
        <b/>
        <sz val="12"/>
        <color indexed="8"/>
        <rFont val="宋体"/>
        <family val="3"/>
        <charset val="134"/>
      </rPr>
      <t>分</t>
    </r>
    <r>
      <rPr>
        <b/>
        <sz val="12"/>
        <color indexed="8"/>
        <rFont val="Times New Roman"/>
        <family val="1"/>
      </rPr>
      <t xml:space="preserve">   </t>
    </r>
    <r>
      <rPr>
        <b/>
        <sz val="12"/>
        <color indexed="8"/>
        <rFont val="宋体"/>
        <family val="3"/>
        <charset val="134"/>
      </rPr>
      <t>表</t>
    </r>
    <r>
      <rPr>
        <b/>
        <sz val="12"/>
        <color indexed="8"/>
        <rFont val="Times New Roman"/>
        <family val="1"/>
      </rPr>
      <t xml:space="preserve">     </t>
    </r>
    <r>
      <rPr>
        <sz val="12"/>
        <color indexed="8"/>
        <rFont val="宋体"/>
        <family val="3"/>
        <charset val="134"/>
      </rPr>
      <t>（表</t>
    </r>
    <r>
      <rPr>
        <sz val="12"/>
        <color indexed="8"/>
        <rFont val="Times New Roman"/>
        <family val="1"/>
      </rPr>
      <t>3</t>
    </r>
    <r>
      <rPr>
        <sz val="12"/>
        <color indexed="8"/>
        <rFont val="宋体"/>
        <family val="3"/>
        <charset val="134"/>
      </rPr>
      <t>）</t>
    </r>
    <r>
      <rPr>
        <sz val="12"/>
        <color indexed="8"/>
        <rFont val="Times New Roman"/>
        <family val="1"/>
      </rPr>
      <t xml:space="preserve">                            </t>
    </r>
  </si>
  <si>
    <r>
      <t>门</t>
    </r>
    <r>
      <rPr>
        <b/>
        <sz val="14"/>
        <color indexed="8"/>
        <rFont val="Times New Roman"/>
        <family val="1"/>
      </rPr>
      <t xml:space="preserve">   </t>
    </r>
    <r>
      <rPr>
        <b/>
        <sz val="14"/>
        <color indexed="8"/>
        <rFont val="宋体"/>
        <family val="3"/>
        <charset val="134"/>
      </rPr>
      <t>窗</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sz val="14"/>
        <color indexed="8"/>
        <rFont val="宋体"/>
        <family val="3"/>
        <charset val="134"/>
      </rPr>
      <t>（表</t>
    </r>
    <r>
      <rPr>
        <sz val="14"/>
        <color indexed="8"/>
        <rFont val="Times New Roman"/>
        <family val="1"/>
      </rPr>
      <t>5</t>
    </r>
    <r>
      <rPr>
        <sz val="14"/>
        <color indexed="8"/>
        <rFont val="宋体"/>
        <family val="3"/>
        <charset val="134"/>
      </rPr>
      <t>）</t>
    </r>
  </si>
  <si>
    <r>
      <t>地</t>
    </r>
    <r>
      <rPr>
        <b/>
        <sz val="14"/>
        <color indexed="8"/>
        <rFont val="Times New Roman"/>
        <family val="1"/>
      </rPr>
      <t xml:space="preserve">   </t>
    </r>
    <r>
      <rPr>
        <b/>
        <sz val="14"/>
        <color indexed="8"/>
        <rFont val="宋体"/>
        <family val="3"/>
        <charset val="134"/>
      </rPr>
      <t>面</t>
    </r>
    <r>
      <rPr>
        <b/>
        <sz val="14"/>
        <color indexed="8"/>
        <rFont val="Times New Roman"/>
        <family val="1"/>
      </rPr>
      <t xml:space="preserve">   </t>
    </r>
    <r>
      <rPr>
        <b/>
        <sz val="14"/>
        <color indexed="8"/>
        <rFont val="宋体"/>
        <family val="3"/>
        <charset val="134"/>
      </rPr>
      <t>计</t>
    </r>
    <r>
      <rPr>
        <b/>
        <sz val="14"/>
        <color indexed="8"/>
        <rFont val="Times New Roman"/>
        <family val="1"/>
      </rPr>
      <t xml:space="preserve">   </t>
    </r>
    <r>
      <rPr>
        <b/>
        <sz val="14"/>
        <color indexed="8"/>
        <rFont val="宋体"/>
        <family val="3"/>
        <charset val="134"/>
      </rPr>
      <t>分</t>
    </r>
    <r>
      <rPr>
        <b/>
        <sz val="14"/>
        <color indexed="8"/>
        <rFont val="Times New Roman"/>
        <family val="1"/>
      </rPr>
      <t xml:space="preserve">   </t>
    </r>
    <r>
      <rPr>
        <b/>
        <sz val="14"/>
        <color indexed="8"/>
        <rFont val="宋体"/>
        <family val="3"/>
        <charset val="134"/>
      </rPr>
      <t>表</t>
    </r>
    <r>
      <rPr>
        <b/>
        <sz val="14"/>
        <color indexed="8"/>
        <rFont val="Times New Roman"/>
        <family val="1"/>
      </rPr>
      <t xml:space="preserve">     </t>
    </r>
    <r>
      <rPr>
        <b/>
        <sz val="12"/>
        <color indexed="8"/>
        <rFont val="宋体"/>
        <family val="3"/>
        <charset val="134"/>
      </rPr>
      <t>（表</t>
    </r>
    <r>
      <rPr>
        <b/>
        <sz val="12"/>
        <color indexed="8"/>
        <rFont val="Times New Roman"/>
        <family val="1"/>
      </rPr>
      <t>7</t>
    </r>
    <r>
      <rPr>
        <b/>
        <sz val="12"/>
        <color indexed="8"/>
        <rFont val="宋体"/>
        <family val="3"/>
        <charset val="134"/>
      </rPr>
      <t>）</t>
    </r>
  </si>
  <si>
    <r>
      <t>隔</t>
    </r>
    <r>
      <rPr>
        <b/>
        <sz val="12"/>
        <rFont val="Times New Roman"/>
        <family val="1"/>
      </rPr>
      <t xml:space="preserve">      </t>
    </r>
    <r>
      <rPr>
        <b/>
        <sz val="12"/>
        <rFont val="宋体"/>
        <family val="3"/>
        <charset val="134"/>
      </rPr>
      <t>断</t>
    </r>
  </si>
  <si>
    <t>成新折余率</t>
  </si>
  <si>
    <r>
      <t>项</t>
    </r>
    <r>
      <rPr>
        <b/>
        <sz val="9"/>
        <color indexed="8"/>
        <rFont val="Times New Roman"/>
        <family val="1"/>
      </rPr>
      <t xml:space="preserve">   </t>
    </r>
    <r>
      <rPr>
        <b/>
        <sz val="9"/>
        <color indexed="8"/>
        <rFont val="宋体"/>
        <family val="3"/>
        <charset val="134"/>
      </rPr>
      <t>目</t>
    </r>
  </si>
  <si>
    <r>
      <t>分</t>
    </r>
    <r>
      <rPr>
        <b/>
        <sz val="9"/>
        <color indexed="8"/>
        <rFont val="Times New Roman"/>
        <family val="1"/>
      </rPr>
      <t xml:space="preserve"> </t>
    </r>
    <r>
      <rPr>
        <b/>
        <sz val="9"/>
        <color indexed="8"/>
        <rFont val="宋体"/>
        <family val="3"/>
        <charset val="134"/>
      </rPr>
      <t>数</t>
    </r>
  </si>
  <si>
    <r>
      <t>说</t>
    </r>
    <r>
      <rPr>
        <b/>
        <sz val="9"/>
        <color indexed="8"/>
        <rFont val="Times New Roman"/>
        <family val="1"/>
      </rPr>
      <t xml:space="preserve">             </t>
    </r>
    <r>
      <rPr>
        <b/>
        <sz val="9"/>
        <color indexed="8"/>
        <rFont val="宋体"/>
        <family val="3"/>
        <charset val="134"/>
      </rPr>
      <t>明</t>
    </r>
  </si>
  <si>
    <r>
      <t>单</t>
    </r>
    <r>
      <rPr>
        <b/>
        <sz val="9"/>
        <color indexed="8"/>
        <rFont val="Times New Roman"/>
        <family val="1"/>
      </rPr>
      <t xml:space="preserve"> </t>
    </r>
    <r>
      <rPr>
        <b/>
        <sz val="9"/>
        <color indexed="8"/>
        <rFont val="宋体"/>
        <family val="3"/>
        <charset val="134"/>
      </rPr>
      <t>位</t>
    </r>
  </si>
  <si>
    <r>
      <t>说</t>
    </r>
    <r>
      <rPr>
        <b/>
        <sz val="9"/>
        <color indexed="8"/>
        <rFont val="Times New Roman"/>
        <family val="1"/>
      </rPr>
      <t xml:space="preserve">                     </t>
    </r>
    <r>
      <rPr>
        <b/>
        <sz val="9"/>
        <color indexed="8"/>
        <rFont val="宋体"/>
        <family val="3"/>
        <charset val="134"/>
      </rPr>
      <t>明</t>
    </r>
  </si>
  <si>
    <r>
      <t>简</t>
    </r>
    <r>
      <rPr>
        <b/>
        <sz val="9"/>
        <color indexed="8"/>
        <rFont val="Times New Roman"/>
        <family val="1"/>
      </rPr>
      <t xml:space="preserve"> </t>
    </r>
    <r>
      <rPr>
        <b/>
        <sz val="9"/>
        <color indexed="8"/>
        <rFont val="宋体"/>
        <family val="3"/>
        <charset val="134"/>
      </rPr>
      <t>称</t>
    </r>
  </si>
  <si>
    <r>
      <t>顶</t>
    </r>
    <r>
      <rPr>
        <b/>
        <sz val="9"/>
        <color indexed="8"/>
        <rFont val="Times New Roman"/>
        <family val="1"/>
      </rPr>
      <t xml:space="preserve">  </t>
    </r>
    <r>
      <rPr>
        <b/>
        <sz val="9"/>
        <color indexed="8"/>
        <rFont val="宋体"/>
        <family val="3"/>
        <charset val="134"/>
      </rPr>
      <t>面</t>
    </r>
  </si>
  <si>
    <r>
      <t xml:space="preserve">项   </t>
    </r>
    <r>
      <rPr>
        <b/>
        <sz val="9"/>
        <color indexed="8"/>
        <rFont val="Times New Roman"/>
        <family val="1"/>
      </rPr>
      <t xml:space="preserve"> </t>
    </r>
    <r>
      <rPr>
        <b/>
        <sz val="9"/>
        <color indexed="8"/>
        <rFont val="宋体"/>
        <family val="3"/>
        <charset val="134"/>
      </rPr>
      <t>目</t>
    </r>
  </si>
  <si>
    <t>说明</t>
  </si>
  <si>
    <r>
      <t>简</t>
    </r>
    <r>
      <rPr>
        <b/>
        <sz val="9"/>
        <rFont val="Times New Roman"/>
        <family val="1"/>
      </rPr>
      <t xml:space="preserve"> </t>
    </r>
    <r>
      <rPr>
        <b/>
        <sz val="9"/>
        <rFont val="宋体"/>
        <family val="3"/>
        <charset val="134"/>
      </rPr>
      <t>称</t>
    </r>
  </si>
  <si>
    <r>
      <t>分</t>
    </r>
    <r>
      <rPr>
        <b/>
        <sz val="9"/>
        <rFont val="Times New Roman"/>
        <family val="1"/>
      </rPr>
      <t xml:space="preserve"> </t>
    </r>
    <r>
      <rPr>
        <b/>
        <sz val="9"/>
        <rFont val="宋体"/>
        <family val="3"/>
        <charset val="134"/>
      </rPr>
      <t>数</t>
    </r>
  </si>
  <si>
    <t>瓦房折余率</t>
  </si>
  <si>
    <t>灰瓦房折余率</t>
  </si>
  <si>
    <t>灰房折余率</t>
  </si>
  <si>
    <t>瓦屋面</t>
  </si>
  <si>
    <t>琉璃瓦</t>
  </si>
  <si>
    <t>间</t>
  </si>
  <si>
    <t>中式七檩柁</t>
  </si>
  <si>
    <r>
      <t xml:space="preserve"> </t>
    </r>
    <r>
      <rPr>
        <sz val="9"/>
        <color indexed="8"/>
        <rFont val="宋体"/>
        <family val="3"/>
        <charset val="134"/>
      </rPr>
      <t>高级做法</t>
    </r>
  </si>
  <si>
    <t>细磨砖墙</t>
  </si>
  <si>
    <t>整个墙身外部细磨砖垒砌，兰整砖衬里</t>
  </si>
  <si>
    <t>磨</t>
  </si>
  <si>
    <t>中式门窗</t>
  </si>
  <si>
    <t>雕刻精细、带帘架、有心屉</t>
  </si>
  <si>
    <t>中1</t>
  </si>
  <si>
    <t>高级实木地板</t>
  </si>
  <si>
    <t>柚木、香脂木豆等高级实木地板</t>
  </si>
  <si>
    <t>板1</t>
  </si>
  <si>
    <t>隔1</t>
  </si>
  <si>
    <t xml:space="preserve"> 合瓦</t>
  </si>
  <si>
    <r>
      <t xml:space="preserve"> </t>
    </r>
    <r>
      <rPr>
        <sz val="9"/>
        <color indexed="8"/>
        <rFont val="宋体"/>
        <family val="3"/>
        <charset val="134"/>
      </rPr>
      <t>普通做法，三间房两架跨空柁，两架排山柁</t>
    </r>
  </si>
  <si>
    <t>磨砖棋盘心</t>
  </si>
  <si>
    <t>山墙四框、坎墙、后檐下碱为细磨碎砖衬里</t>
  </si>
  <si>
    <t>磨棋</t>
  </si>
  <si>
    <t>部分雕刻或精细制作</t>
  </si>
  <si>
    <t>中2</t>
  </si>
  <si>
    <t>普通实木地板</t>
  </si>
  <si>
    <t>红木、榨木、水曲柳等各种硬木地板</t>
  </si>
  <si>
    <t>板2</t>
  </si>
  <si>
    <t>隔2</t>
  </si>
  <si>
    <t>筒瓦</t>
  </si>
  <si>
    <t>中</t>
  </si>
  <si>
    <t>普通做法，三间房两架跨空柁</t>
  </si>
  <si>
    <t>粗磨砖墙</t>
  </si>
  <si>
    <t>粗磨砖垒砌，兰整砖衬里</t>
  </si>
  <si>
    <t>粗磨</t>
  </si>
  <si>
    <t>木门窗</t>
  </si>
  <si>
    <t>满门窗，窗框宽不小于60mm，双玻或一玻一纱</t>
  </si>
  <si>
    <t>木1</t>
  </si>
  <si>
    <t>实木复合木地板</t>
  </si>
  <si>
    <t>多层实木复合木地板</t>
  </si>
  <si>
    <t>板3</t>
  </si>
  <si>
    <t>隔3</t>
  </si>
  <si>
    <t>石板瓦</t>
  </si>
  <si>
    <t>中式五檩柁</t>
  </si>
  <si>
    <t>整砖墙</t>
  </si>
  <si>
    <t>烧结标准砖墙，满门窗</t>
  </si>
  <si>
    <t>整1</t>
  </si>
  <si>
    <t>强化复合地板</t>
  </si>
  <si>
    <t>强化复合木地板</t>
  </si>
  <si>
    <t>板4</t>
  </si>
  <si>
    <t>隔4</t>
  </si>
  <si>
    <t>水泥瓦</t>
  </si>
  <si>
    <t>式</t>
  </si>
  <si>
    <t>烧结标准砖墙，一门一窗</t>
  </si>
  <si>
    <t>整2</t>
  </si>
  <si>
    <t>满门窗，单玻</t>
  </si>
  <si>
    <t>木2</t>
  </si>
  <si>
    <t>普通木地板</t>
  </si>
  <si>
    <t>其他普通木质的木地板</t>
  </si>
  <si>
    <t>板5</t>
  </si>
  <si>
    <t>隔5</t>
  </si>
  <si>
    <t>灰</t>
  </si>
  <si>
    <t>干碴瓦</t>
  </si>
  <si>
    <t>兰砖墙</t>
  </si>
  <si>
    <t>仿古兰机砖墙，满门窗</t>
  </si>
  <si>
    <t>兰1</t>
  </si>
  <si>
    <t>一门窗，窗框宽不小于60mm，双玻或一玻一纱</t>
  </si>
  <si>
    <t>木3</t>
  </si>
  <si>
    <t>大理石</t>
  </si>
  <si>
    <t>高级大理石、花岗岩、天然
、尺寸不小于60cm*60cm</t>
  </si>
  <si>
    <t>理1</t>
  </si>
  <si>
    <t>隔6</t>
  </si>
  <si>
    <t>瓦</t>
  </si>
  <si>
    <t>仰瓦灰梗</t>
  </si>
  <si>
    <t>屋</t>
  </si>
  <si>
    <t>中式平台柁</t>
  </si>
  <si>
    <t>高级做法</t>
  </si>
  <si>
    <t>仿古兰机砖墙，一门一窗</t>
  </si>
  <si>
    <t>兰2</t>
  </si>
  <si>
    <t>木、钢门窗</t>
  </si>
  <si>
    <t>一门窗，单玻</t>
  </si>
  <si>
    <t>钢木</t>
  </si>
  <si>
    <t>普通大理石、花岗岩、天然、
拼碎图案大理石</t>
  </si>
  <si>
    <t>理2</t>
  </si>
  <si>
    <t>隔7</t>
  </si>
  <si>
    <t>前合瓦后棋盘心</t>
  </si>
  <si>
    <t>普通做法，三间房两架跨空柁，两架排山柁</t>
  </si>
  <si>
    <t>半整砖墙</t>
  </si>
  <si>
    <t>半整机制红、兰砖、空斗砖</t>
  </si>
  <si>
    <t>半整</t>
  </si>
  <si>
    <t>普通材质，满门窗</t>
  </si>
  <si>
    <t>铝1</t>
  </si>
  <si>
    <t>天然、碎大理石</t>
  </si>
  <si>
    <t>理3</t>
  </si>
  <si>
    <t>隔8</t>
  </si>
  <si>
    <t>面</t>
  </si>
  <si>
    <t>前棋盘心后青灰</t>
  </si>
  <si>
    <t>架</t>
  </si>
  <si>
    <t>虎皮石墙</t>
  </si>
  <si>
    <t>虎皮石墙，水泥砂浆勾缝，满门窗</t>
  </si>
  <si>
    <t>虎1</t>
  </si>
  <si>
    <t>普通材质，一门窗</t>
  </si>
  <si>
    <t>铝2</t>
  </si>
  <si>
    <t>水磨石</t>
  </si>
  <si>
    <t>预制水磨石或现制水磨石、嵌条、美术</t>
  </si>
  <si>
    <t>隔9</t>
  </si>
  <si>
    <t>灰屋面</t>
  </si>
  <si>
    <t>青灰顶、麦壳灰、
泥顶</t>
  </si>
  <si>
    <t>硬山搁檩</t>
  </si>
  <si>
    <t>檩长≤3.3米</t>
  </si>
  <si>
    <t>虎皮石墙，水泥砂浆勾缝，一门一窗</t>
  </si>
  <si>
    <t>虎2</t>
  </si>
  <si>
    <t>马赛克</t>
  </si>
  <si>
    <t>普通马赛克，仿马赛克瓷砖</t>
  </si>
  <si>
    <t>赛</t>
  </si>
  <si>
    <t>隔10</t>
  </si>
  <si>
    <r>
      <t>3.3</t>
    </r>
    <r>
      <rPr>
        <sz val="9"/>
        <color indexed="8"/>
        <rFont val="宋体"/>
        <family val="3"/>
        <charset val="134"/>
      </rPr>
      <t>米＜跨度≤</t>
    </r>
    <r>
      <rPr>
        <sz val="9"/>
        <color indexed="8"/>
        <rFont val="Times New Roman"/>
        <family val="1"/>
      </rPr>
      <t>4</t>
    </r>
    <r>
      <rPr>
        <sz val="9"/>
        <color indexed="8"/>
        <rFont val="宋体"/>
        <family val="3"/>
        <charset val="134"/>
      </rPr>
      <t>米</t>
    </r>
  </si>
  <si>
    <t>彩钢板墙</t>
  </si>
  <si>
    <t>彩钢夹芯板墙</t>
  </si>
  <si>
    <t>彩钢1</t>
  </si>
  <si>
    <t>瓷砖</t>
  </si>
  <si>
    <t>高档瓷砖，尺寸不小于60cm*60cm</t>
  </si>
  <si>
    <t>瓷1</t>
  </si>
  <si>
    <t>混</t>
  </si>
  <si>
    <t>现浇板</t>
  </si>
  <si>
    <r>
      <t>4</t>
    </r>
    <r>
      <rPr>
        <sz val="9"/>
        <color indexed="8"/>
        <rFont val="宋体"/>
        <family val="3"/>
        <charset val="134"/>
      </rPr>
      <t>米＜跨</t>
    </r>
  </si>
  <si>
    <t>单层彩钢板墙</t>
  </si>
  <si>
    <t>彩钢2</t>
  </si>
  <si>
    <r>
      <t>顶</t>
    </r>
    <r>
      <rPr>
        <b/>
        <sz val="9"/>
        <color indexed="8"/>
        <rFont val="Times New Roman"/>
        <family val="1"/>
      </rPr>
      <t xml:space="preserve">   </t>
    </r>
    <r>
      <rPr>
        <b/>
        <sz val="9"/>
        <color indexed="8"/>
        <rFont val="宋体"/>
        <family val="3"/>
        <charset val="134"/>
      </rPr>
      <t>棚</t>
    </r>
    <r>
      <rPr>
        <b/>
        <sz val="9"/>
        <color indexed="8"/>
        <rFont val="Times New Roman"/>
        <family val="1"/>
      </rPr>
      <t xml:space="preserve">   </t>
    </r>
    <r>
      <rPr>
        <b/>
        <sz val="9"/>
        <color indexed="8"/>
        <rFont val="宋体"/>
        <family val="3"/>
        <charset val="134"/>
      </rPr>
      <t>计</t>
    </r>
    <r>
      <rPr>
        <b/>
        <sz val="9"/>
        <color indexed="8"/>
        <rFont val="Times New Roman"/>
        <family val="1"/>
      </rPr>
      <t xml:space="preserve">   </t>
    </r>
    <r>
      <rPr>
        <b/>
        <sz val="9"/>
        <color indexed="8"/>
        <rFont val="宋体"/>
        <family val="3"/>
        <charset val="134"/>
      </rPr>
      <t>分</t>
    </r>
    <r>
      <rPr>
        <b/>
        <sz val="9"/>
        <color indexed="8"/>
        <rFont val="Times New Roman"/>
        <family val="1"/>
      </rPr>
      <t xml:space="preserve">   </t>
    </r>
    <r>
      <rPr>
        <b/>
        <sz val="9"/>
        <color indexed="8"/>
        <rFont val="宋体"/>
        <family val="3"/>
        <charset val="134"/>
      </rPr>
      <t>表</t>
    </r>
    <r>
      <rPr>
        <b/>
        <sz val="9"/>
        <color indexed="8"/>
        <rFont val="Times New Roman"/>
        <family val="1"/>
      </rPr>
      <t xml:space="preserve">     </t>
    </r>
    <r>
      <rPr>
        <sz val="9"/>
        <color indexed="8"/>
        <rFont val="宋体"/>
        <family val="3"/>
        <charset val="134"/>
      </rPr>
      <t>（表</t>
    </r>
    <r>
      <rPr>
        <sz val="9"/>
        <color indexed="8"/>
        <rFont val="Times New Roman"/>
        <family val="1"/>
      </rPr>
      <t>6</t>
    </r>
    <r>
      <rPr>
        <sz val="9"/>
        <color indexed="8"/>
        <rFont val="宋体"/>
        <family val="3"/>
        <charset val="134"/>
      </rPr>
      <t>）</t>
    </r>
  </si>
  <si>
    <t>普通瓷砖、锦砖、防滑砖、花砖、玻化砖</t>
  </si>
  <si>
    <t>瓷2</t>
  </si>
  <si>
    <t>凝</t>
  </si>
  <si>
    <t>预制槽型板</t>
  </si>
  <si>
    <t>人</t>
  </si>
  <si>
    <t>人字屋架</t>
  </si>
  <si>
    <r>
      <t xml:space="preserve"> </t>
    </r>
    <r>
      <rPr>
        <sz val="9"/>
        <color indexed="8"/>
        <rFont val="宋体"/>
        <family val="3"/>
        <charset val="134"/>
      </rPr>
      <t>跨度≤</t>
    </r>
    <r>
      <rPr>
        <sz val="9"/>
        <color indexed="8"/>
        <rFont val="Times New Roman"/>
        <family val="1"/>
      </rPr>
      <t>6</t>
    </r>
    <r>
      <rPr>
        <sz val="9"/>
        <color indexed="8"/>
        <rFont val="宋体"/>
        <family val="3"/>
        <charset val="134"/>
      </rPr>
      <t>米</t>
    </r>
  </si>
  <si>
    <r>
      <t>项</t>
    </r>
    <r>
      <rPr>
        <b/>
        <sz val="9"/>
        <color indexed="8"/>
        <rFont val="Times New Roman"/>
        <family val="1"/>
      </rPr>
      <t xml:space="preserve">      </t>
    </r>
    <r>
      <rPr>
        <b/>
        <sz val="9"/>
        <color indexed="8"/>
        <rFont val="宋体"/>
        <family val="3"/>
        <charset val="134"/>
      </rPr>
      <t>目</t>
    </r>
  </si>
  <si>
    <t>塑料地砖</t>
  </si>
  <si>
    <t>塑</t>
  </si>
  <si>
    <t>土</t>
  </si>
  <si>
    <t>预制圆孔板、
预制加气板</t>
  </si>
  <si>
    <t>字</t>
  </si>
  <si>
    <r>
      <t xml:space="preserve"> 6</t>
    </r>
    <r>
      <rPr>
        <sz val="9"/>
        <color indexed="8"/>
        <rFont val="宋体"/>
        <family val="3"/>
        <charset val="134"/>
      </rPr>
      <t>米＜跨度≤</t>
    </r>
    <r>
      <rPr>
        <sz val="9"/>
        <color indexed="8"/>
        <rFont val="Times New Roman"/>
        <family val="1"/>
      </rPr>
      <t>8</t>
    </r>
    <r>
      <rPr>
        <sz val="9"/>
        <color indexed="8"/>
        <rFont val="宋体"/>
        <family val="3"/>
        <charset val="134"/>
      </rPr>
      <t>米</t>
    </r>
  </si>
  <si>
    <t>钙塑板</t>
  </si>
  <si>
    <t>钙塑板、铝扣板</t>
  </si>
  <si>
    <t>钙塑</t>
  </si>
  <si>
    <t>方砖</t>
  </si>
  <si>
    <t>经砍磨加工的方砖</t>
  </si>
  <si>
    <t>方</t>
  </si>
  <si>
    <r>
      <t>8</t>
    </r>
    <r>
      <rPr>
        <sz val="9"/>
        <color indexed="8"/>
        <rFont val="宋体"/>
        <family val="3"/>
        <charset val="134"/>
      </rPr>
      <t>米＜跨度</t>
    </r>
  </si>
  <si>
    <t>台基修正系数</t>
  </si>
  <si>
    <t>饰面石膏板及纸面石膏板艺术造型</t>
  </si>
  <si>
    <t>石膏1</t>
  </si>
  <si>
    <t>水泥、条砖</t>
  </si>
  <si>
    <t>普通水泥、焦渣、条砖地面、是否分格不予区分</t>
  </si>
  <si>
    <t>泥</t>
  </si>
  <si>
    <t>木板油毡</t>
  </si>
  <si>
    <t>钢屋架</t>
  </si>
  <si>
    <r>
      <t>系数</t>
    </r>
    <r>
      <rPr>
        <sz val="9"/>
        <color indexed="8"/>
        <rFont val="Times New Roman"/>
        <family val="1"/>
      </rPr>
      <t>%</t>
    </r>
  </si>
  <si>
    <t>普通石膏板</t>
  </si>
  <si>
    <t>石膏2</t>
  </si>
  <si>
    <t>其</t>
  </si>
  <si>
    <t>石棉瓦</t>
  </si>
  <si>
    <t>钢</t>
  </si>
  <si>
    <r>
      <t xml:space="preserve"> 6</t>
    </r>
    <r>
      <rPr>
        <sz val="9"/>
        <color indexed="8"/>
        <rFont val="宋体"/>
        <family val="3"/>
        <charset val="134"/>
      </rPr>
      <t>米＜跨度≤</t>
    </r>
    <r>
      <rPr>
        <sz val="9"/>
        <color indexed="8"/>
        <rFont val="Times New Roman"/>
        <family val="1"/>
      </rPr>
      <t>9</t>
    </r>
    <r>
      <rPr>
        <sz val="9"/>
        <color indexed="8"/>
        <rFont val="宋体"/>
        <family val="3"/>
        <charset val="134"/>
      </rPr>
      <t>米</t>
    </r>
  </si>
  <si>
    <t>胶合板</t>
  </si>
  <si>
    <t>胶合板带压条顶棚，刷清漆</t>
  </si>
  <si>
    <t>胶</t>
  </si>
  <si>
    <t>墙身调剂系数</t>
  </si>
  <si>
    <r>
      <t>拆迁容积率修正系数（</t>
    </r>
    <r>
      <rPr>
        <b/>
        <sz val="12"/>
        <color indexed="8"/>
        <rFont val="Times New Roman"/>
        <family val="1"/>
      </rPr>
      <t>K</t>
    </r>
    <r>
      <rPr>
        <b/>
        <sz val="12"/>
        <color indexed="8"/>
        <rFont val="宋体"/>
        <family val="3"/>
        <charset val="134"/>
      </rPr>
      <t>）</t>
    </r>
  </si>
  <si>
    <t>瓦楞铁</t>
  </si>
  <si>
    <r>
      <t xml:space="preserve"> 9</t>
    </r>
    <r>
      <rPr>
        <sz val="9"/>
        <color indexed="8"/>
        <rFont val="宋体"/>
        <family val="3"/>
        <charset val="134"/>
      </rPr>
      <t>米＜跨度，石棉瓦、彩钢板等轻质屋面</t>
    </r>
  </si>
  <si>
    <t>纤维板</t>
  </si>
  <si>
    <t>木丝板或纤维板顶棚，刷调和漆</t>
  </si>
  <si>
    <t>纤维</t>
  </si>
  <si>
    <t>组合间数</t>
  </si>
  <si>
    <t>调整系数</t>
  </si>
  <si>
    <t>隔断数量</t>
  </si>
  <si>
    <r>
      <t xml:space="preserve">R  </t>
    </r>
    <r>
      <rPr>
        <sz val="9"/>
        <color indexed="8"/>
        <rFont val="Times New Roman"/>
        <family val="1"/>
      </rPr>
      <t xml:space="preserve">          </t>
    </r>
    <r>
      <rPr>
        <b/>
        <sz val="9"/>
        <color indexed="8"/>
        <rFont val="Times New Roman"/>
        <family val="1"/>
      </rPr>
      <t>r'</t>
    </r>
  </si>
  <si>
    <r>
      <t>r'</t>
    </r>
    <r>
      <rPr>
        <sz val="9"/>
        <color indexed="8"/>
        <rFont val="宋体"/>
        <family val="3"/>
        <charset val="134"/>
      </rPr>
      <t>＜</t>
    </r>
    <r>
      <rPr>
        <sz val="9"/>
        <color indexed="8"/>
        <rFont val="Times New Roman"/>
        <family val="1"/>
      </rPr>
      <t>1</t>
    </r>
  </si>
  <si>
    <r>
      <t>1</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2</t>
    </r>
  </si>
  <si>
    <r>
      <t>2</t>
    </r>
    <r>
      <rPr>
        <sz val="9"/>
        <color indexed="8"/>
        <rFont val="宋体"/>
        <family val="3"/>
        <charset val="134"/>
      </rPr>
      <t>≤</t>
    </r>
    <r>
      <rPr>
        <sz val="9"/>
        <color indexed="8"/>
        <rFont val="Times New Roman"/>
        <family val="1"/>
      </rPr>
      <t>r'</t>
    </r>
    <r>
      <rPr>
        <sz val="9"/>
        <color indexed="8"/>
        <rFont val="宋体"/>
        <family val="3"/>
        <charset val="134"/>
      </rPr>
      <t>＜</t>
    </r>
    <r>
      <rPr>
        <sz val="9"/>
        <color indexed="8"/>
        <rFont val="Times New Roman"/>
        <family val="1"/>
      </rPr>
      <t>3</t>
    </r>
  </si>
  <si>
    <r>
      <t>3</t>
    </r>
    <r>
      <rPr>
        <sz val="9"/>
        <color indexed="8"/>
        <rFont val="宋体"/>
        <family val="3"/>
        <charset val="134"/>
      </rPr>
      <t>≤</t>
    </r>
    <r>
      <rPr>
        <sz val="9"/>
        <color indexed="8"/>
        <rFont val="Times New Roman"/>
        <family val="1"/>
      </rPr>
      <t>r'</t>
    </r>
    <r>
      <rPr>
        <sz val="9"/>
        <color indexed="8"/>
        <rFont val="宋体"/>
        <family val="3"/>
        <charset val="134"/>
      </rPr>
      <t>＜4</t>
    </r>
  </si>
  <si>
    <r>
      <t>4</t>
    </r>
    <r>
      <rPr>
        <sz val="9"/>
        <color indexed="8"/>
        <rFont val="宋体"/>
        <family val="3"/>
        <charset val="134"/>
      </rPr>
      <t>≤</t>
    </r>
    <r>
      <rPr>
        <sz val="9"/>
        <color indexed="8"/>
        <rFont val="Times New Roman"/>
        <family val="1"/>
      </rPr>
      <t>r'</t>
    </r>
  </si>
  <si>
    <t>他</t>
  </si>
  <si>
    <t>干挂瓦水泥瓦</t>
  </si>
  <si>
    <r>
      <t xml:space="preserve"> 9</t>
    </r>
    <r>
      <rPr>
        <sz val="9"/>
        <color indexed="8"/>
        <rFont val="宋体"/>
        <family val="3"/>
        <charset val="134"/>
      </rPr>
      <t>米＜跨度，大型屋面版</t>
    </r>
  </si>
  <si>
    <t>矿棉吸音板</t>
  </si>
  <si>
    <t>吸音</t>
  </si>
  <si>
    <t>干挂瓦石棉瓦</t>
  </si>
  <si>
    <t>钢筋混凝土梁</t>
  </si>
  <si>
    <r>
      <t xml:space="preserve"> </t>
    </r>
    <r>
      <rPr>
        <sz val="9"/>
        <color indexed="8"/>
        <rFont val="宋体"/>
        <family val="3"/>
        <charset val="134"/>
      </rPr>
      <t>跨度≤</t>
    </r>
    <r>
      <rPr>
        <sz val="9"/>
        <color indexed="8"/>
        <rFont val="Times New Roman"/>
        <family val="1"/>
      </rPr>
      <t>9</t>
    </r>
    <r>
      <rPr>
        <sz val="9"/>
        <color indexed="8"/>
        <rFont val="宋体"/>
        <family val="3"/>
        <charset val="134"/>
      </rPr>
      <t>米</t>
    </r>
  </si>
  <si>
    <t>PVC</t>
  </si>
  <si>
    <t>干挂铅铁</t>
  </si>
  <si>
    <r>
      <t xml:space="preserve"> 9</t>
    </r>
    <r>
      <rPr>
        <sz val="9"/>
        <color indexed="8"/>
        <rFont val="宋体"/>
        <family val="3"/>
        <charset val="134"/>
      </rPr>
      <t>米＜跨度</t>
    </r>
  </si>
  <si>
    <t>抹灰</t>
  </si>
  <si>
    <t>玻璃钢</t>
  </si>
  <si>
    <t>纸</t>
  </si>
  <si>
    <t>彩钢板</t>
  </si>
  <si>
    <t>简易顶棚</t>
  </si>
  <si>
    <t>各种铁丝吊顶棚或未加工面层制作的顶棚</t>
  </si>
  <si>
    <t>简</t>
  </si>
  <si>
    <t>彩钢板（单层）</t>
  </si>
  <si>
    <t>混凝土板勾缝喷浆</t>
  </si>
  <si>
    <t>每增加一间</t>
  </si>
  <si>
    <r>
      <t>递减</t>
    </r>
    <r>
      <rPr>
        <sz val="9"/>
        <color indexed="8"/>
        <rFont val="Times New Roman"/>
        <family val="1"/>
      </rPr>
      <t>1%</t>
    </r>
  </si>
  <si>
    <t>附属物</t>
  </si>
  <si>
    <t>备注</t>
  </si>
  <si>
    <t>001号文标准</t>
  </si>
  <si>
    <t>火炕</t>
  </si>
  <si>
    <t>土井</t>
  </si>
  <si>
    <t>座</t>
  </si>
  <si>
    <t>砖井</t>
  </si>
  <si>
    <t>米</t>
  </si>
  <si>
    <t>机井-深度小于50</t>
  </si>
  <si>
    <t>机井-深度大于150</t>
  </si>
  <si>
    <t>太阳能-简易</t>
  </si>
  <si>
    <t>雨搭</t>
  </si>
  <si>
    <t>电表</t>
  </si>
  <si>
    <t>块</t>
  </si>
  <si>
    <t>插卡电表</t>
  </si>
  <si>
    <t>旗杆</t>
  </si>
  <si>
    <t>门楼1</t>
  </si>
  <si>
    <t>门楼2</t>
  </si>
  <si>
    <t>门楼</t>
  </si>
  <si>
    <t>门楼4</t>
  </si>
  <si>
    <t>随墙门</t>
  </si>
  <si>
    <t>槽</t>
  </si>
  <si>
    <t>随墙门-单扇</t>
  </si>
  <si>
    <t>铁板门</t>
  </si>
  <si>
    <t>铁门</t>
  </si>
  <si>
    <t>院墙-整砖</t>
  </si>
  <si>
    <t>院墙-半整砖</t>
  </si>
  <si>
    <t>院墙-虎皮石</t>
  </si>
  <si>
    <t>院墙-铁艺墙</t>
  </si>
  <si>
    <t>院墙-铁艺墙-半截砖墙</t>
  </si>
  <si>
    <t>院地-大理石</t>
  </si>
  <si>
    <t>院地-条石</t>
  </si>
  <si>
    <t>院地-水磨石</t>
  </si>
  <si>
    <t>院地-瓷砖</t>
  </si>
  <si>
    <t>院地-拼大理石</t>
  </si>
  <si>
    <t>院地-拼水磨石</t>
  </si>
  <si>
    <t>院地-水泥格砖</t>
  </si>
  <si>
    <t>院地-方砖</t>
  </si>
  <si>
    <t>院地-水泥</t>
  </si>
  <si>
    <t>院地-草坪砖</t>
  </si>
  <si>
    <t>混凝土路面</t>
  </si>
  <si>
    <t>浴盆</t>
  </si>
  <si>
    <t>浴盆炕</t>
  </si>
  <si>
    <t>陶瓷池</t>
  </si>
  <si>
    <t>水磨石池</t>
  </si>
  <si>
    <t>不锈钢池</t>
  </si>
  <si>
    <t>水泥池</t>
  </si>
  <si>
    <t>坐式大便器</t>
  </si>
  <si>
    <t>蹲式大便器</t>
  </si>
  <si>
    <t>小便器</t>
  </si>
  <si>
    <t>地漏</t>
  </si>
  <si>
    <t>暖气-四柱铸铁</t>
  </si>
  <si>
    <t>暖气</t>
  </si>
  <si>
    <t>室外上水管</t>
  </si>
  <si>
    <t>室外下水管</t>
  </si>
  <si>
    <t>自来水表井</t>
  </si>
  <si>
    <t>份</t>
  </si>
  <si>
    <t>化粪池</t>
  </si>
  <si>
    <t>渗井</t>
  </si>
  <si>
    <t>雨水口井</t>
  </si>
  <si>
    <t>水落管</t>
  </si>
  <si>
    <t xml:space="preserve">米 </t>
  </si>
  <si>
    <t>水漏斗</t>
  </si>
  <si>
    <t>檐沟</t>
  </si>
  <si>
    <t>普通灯</t>
  </si>
  <si>
    <t>大芯板隔断</t>
  </si>
  <si>
    <t>木龙骨半玻璃隔断</t>
  </si>
  <si>
    <t>石膏板隔断</t>
  </si>
  <si>
    <t>彩钢板双层隔断</t>
  </si>
  <si>
    <t>彩钢板单层隔断</t>
  </si>
  <si>
    <t>整砖24隔断</t>
  </si>
  <si>
    <t>单砖隔断</t>
  </si>
  <si>
    <t>护墙板</t>
  </si>
  <si>
    <t>墙面漆</t>
  </si>
  <si>
    <t>壁纸-高级</t>
  </si>
  <si>
    <t>壁纸-普通</t>
  </si>
  <si>
    <t>软包</t>
  </si>
  <si>
    <t>暖气罩</t>
  </si>
  <si>
    <t>延米</t>
  </si>
  <si>
    <t>大理石贴面</t>
  </si>
  <si>
    <t>锦砖贴面-高级</t>
  </si>
  <si>
    <t>锦砖贴面-普通</t>
  </si>
  <si>
    <t>水磨石贴面</t>
  </si>
  <si>
    <t>水刷石</t>
  </si>
  <si>
    <t>顶棚灯孔-普通</t>
  </si>
  <si>
    <t>顶棚灯孔-金属</t>
  </si>
  <si>
    <t>顶棚灯槽</t>
  </si>
  <si>
    <t>窗帘盒</t>
  </si>
  <si>
    <t>窗帘杆-普通</t>
  </si>
  <si>
    <t>窗帘杆-高级</t>
  </si>
  <si>
    <t>窗帘轨</t>
  </si>
  <si>
    <t>挂镜线-木质</t>
  </si>
  <si>
    <t>挂镜线-塑料</t>
  </si>
  <si>
    <t>包门、窗套-双面</t>
  </si>
  <si>
    <t>包门、窗套-单面</t>
  </si>
  <si>
    <t>非标附属物</t>
  </si>
  <si>
    <t>实木门</t>
  </si>
  <si>
    <t>樘</t>
  </si>
  <si>
    <t>合金门</t>
  </si>
  <si>
    <t>简棚</t>
  </si>
  <si>
    <r>
      <t>m</t>
    </r>
    <r>
      <rPr>
        <vertAlign val="superscript"/>
        <sz val="10"/>
        <rFont val="宋体"/>
        <family val="3"/>
        <charset val="134"/>
      </rPr>
      <t>2</t>
    </r>
  </si>
  <si>
    <t>简易；较小</t>
  </si>
  <si>
    <t>棚</t>
  </si>
  <si>
    <t>棚房</t>
  </si>
  <si>
    <t>较大</t>
  </si>
  <si>
    <t>简易家禽窝</t>
  </si>
  <si>
    <t>较小、干砌、简易</t>
  </si>
  <si>
    <t>家禽窝</t>
  </si>
  <si>
    <t>大型家禽窝</t>
  </si>
  <si>
    <t>锅台</t>
  </si>
  <si>
    <t>较小、其他</t>
  </si>
  <si>
    <t>大锅台</t>
  </si>
  <si>
    <t>砖砌、贴砖，较大的</t>
  </si>
  <si>
    <t>板式太阳能（16）</t>
  </si>
  <si>
    <t>小16（含）管以下</t>
  </si>
  <si>
    <t>板式太阳能（24）</t>
  </si>
  <si>
    <t>18-24（含）管</t>
  </si>
  <si>
    <t>板式太阳能（25）</t>
  </si>
  <si>
    <t>24管以上</t>
  </si>
  <si>
    <t>防盗门（铁栏）</t>
  </si>
  <si>
    <t>铁板、栅栏式</t>
  </si>
  <si>
    <t>防盗门（单）</t>
  </si>
  <si>
    <t>单门</t>
  </si>
  <si>
    <t>防盗门（子母）</t>
  </si>
  <si>
    <t>子母门</t>
  </si>
  <si>
    <t>防盗门（双）</t>
  </si>
  <si>
    <t>双扇门、超规门</t>
  </si>
  <si>
    <t>铁丝网</t>
  </si>
  <si>
    <t>铁护窗</t>
  </si>
  <si>
    <t>铁片、铁筋及铁管</t>
  </si>
  <si>
    <t>不锈钢护窗</t>
  </si>
  <si>
    <t>不锈钢、铸铁铁艺</t>
  </si>
  <si>
    <t>卷帘门（手动）</t>
  </si>
  <si>
    <t>手动</t>
  </si>
  <si>
    <t>卷帘门（自动）</t>
  </si>
  <si>
    <t>自动、感应、遥控</t>
  </si>
  <si>
    <t>电动推拉门</t>
  </si>
  <si>
    <t>m</t>
  </si>
  <si>
    <t>普通</t>
  </si>
  <si>
    <t>电动推拉门（高）</t>
  </si>
  <si>
    <t>高档</t>
  </si>
  <si>
    <t>铁梯</t>
  </si>
  <si>
    <t>普通直梯</t>
  </si>
  <si>
    <t>铁梯（含护栏）</t>
  </si>
  <si>
    <t>带护栏</t>
  </si>
  <si>
    <t>铁梯（平台）</t>
  </si>
  <si>
    <t>带护栏或有顶，有休息平台</t>
  </si>
  <si>
    <t>广告牌</t>
  </si>
  <si>
    <t xml:space="preserve">普通 </t>
  </si>
  <si>
    <t>广告牌(含支架)</t>
  </si>
  <si>
    <t>牌下支架或柱</t>
  </si>
  <si>
    <t>广告牌(灯箱）</t>
  </si>
  <si>
    <t>广告牌(支架灯箱）</t>
  </si>
  <si>
    <t>路灯（3m）</t>
  </si>
  <si>
    <r>
      <t>高</t>
    </r>
    <r>
      <rPr>
        <sz val="10"/>
        <rFont val="Arial"/>
        <family val="2"/>
      </rPr>
      <t>3</t>
    </r>
    <r>
      <rPr>
        <sz val="10"/>
        <rFont val="宋体"/>
        <family val="3"/>
        <charset val="134"/>
      </rPr>
      <t>米以下及庭院花灯</t>
    </r>
  </si>
  <si>
    <t>路灯（5m）</t>
  </si>
  <si>
    <r>
      <t>高</t>
    </r>
    <r>
      <rPr>
        <sz val="10"/>
        <rFont val="Arial"/>
        <family val="2"/>
      </rPr>
      <t>3-5</t>
    </r>
    <r>
      <rPr>
        <sz val="10"/>
        <rFont val="宋体"/>
        <family val="3"/>
        <charset val="134"/>
      </rPr>
      <t>米</t>
    </r>
  </si>
  <si>
    <t>路灯（6m）</t>
  </si>
  <si>
    <r>
      <t>高</t>
    </r>
    <r>
      <rPr>
        <sz val="10"/>
        <rFont val="Arial"/>
        <family val="2"/>
      </rPr>
      <t>5</t>
    </r>
    <r>
      <rPr>
        <sz val="10"/>
        <rFont val="宋体"/>
        <family val="3"/>
        <charset val="134"/>
      </rPr>
      <t>米以上</t>
    </r>
  </si>
  <si>
    <t>油炸杆</t>
  </si>
  <si>
    <t>根</t>
  </si>
  <si>
    <t>水泥线杆</t>
  </si>
  <si>
    <r>
      <t>10</t>
    </r>
    <r>
      <rPr>
        <sz val="10"/>
        <rFont val="宋体"/>
        <family val="3"/>
        <charset val="134"/>
      </rPr>
      <t>米以下</t>
    </r>
  </si>
  <si>
    <t>水泥线杆（10m以上）</t>
  </si>
  <si>
    <r>
      <t>10</t>
    </r>
    <r>
      <rPr>
        <sz val="10"/>
        <rFont val="宋体"/>
        <family val="3"/>
        <charset val="134"/>
      </rPr>
      <t>米及以上</t>
    </r>
  </si>
  <si>
    <t>坐式大便器（品牌）</t>
  </si>
  <si>
    <t>套</t>
  </si>
  <si>
    <t>品牌</t>
  </si>
  <si>
    <t>镜子</t>
  </si>
  <si>
    <t>换装暖气</t>
  </si>
  <si>
    <t>晾衣杆（普通）</t>
  </si>
  <si>
    <t>晾衣杆（单杆）</t>
  </si>
  <si>
    <t>晾衣杆（双杆）</t>
  </si>
  <si>
    <t>楼梯（木制）</t>
  </si>
  <si>
    <t>楼梯扶手（木制）</t>
  </si>
  <si>
    <t>罗马柱</t>
  </si>
  <si>
    <t>配电箱</t>
  </si>
  <si>
    <t>家用</t>
  </si>
  <si>
    <t>橱柜</t>
  </si>
  <si>
    <t>不带吊柜</t>
  </si>
  <si>
    <t>整体橱柜</t>
  </si>
  <si>
    <t>整体橱柜（高）</t>
  </si>
  <si>
    <t>高档、品牌</t>
  </si>
  <si>
    <t>吊柜</t>
  </si>
  <si>
    <t>壁柜</t>
  </si>
  <si>
    <t>多宝格</t>
  </si>
  <si>
    <t>洗手盆</t>
  </si>
  <si>
    <t>整体浴室</t>
  </si>
  <si>
    <t>彩钢房</t>
  </si>
  <si>
    <t>遮阳网</t>
  </si>
  <si>
    <t>参照雨搭</t>
  </si>
  <si>
    <t>阳光板顶</t>
  </si>
  <si>
    <t>参照单彩</t>
  </si>
  <si>
    <t>橱窗宣传栏</t>
  </si>
  <si>
    <t>监控</t>
  </si>
  <si>
    <t>按监控摄像头数量计算</t>
  </si>
  <si>
    <t>石亭</t>
  </si>
  <si>
    <t>木亭</t>
  </si>
  <si>
    <t>护坡（浆砌）</t>
  </si>
  <si>
    <t>m³</t>
  </si>
  <si>
    <t>护坡（干砌）</t>
  </si>
  <si>
    <t>草坪</t>
  </si>
  <si>
    <t>地下室</t>
  </si>
  <si>
    <t>高度2m以下，仅限非住宅</t>
  </si>
  <si>
    <t>铁丝护网</t>
  </si>
  <si>
    <t>不锈钢栏杆</t>
  </si>
  <si>
    <t>铁栏杆</t>
  </si>
  <si>
    <t>硬木栏杆</t>
  </si>
  <si>
    <t>铜管栏杆</t>
  </si>
  <si>
    <t>钛金栏杆</t>
  </si>
  <si>
    <t>假山</t>
  </si>
  <si>
    <t>钛金字</t>
  </si>
  <si>
    <t>m²</t>
  </si>
  <si>
    <t>铜字</t>
  </si>
  <si>
    <t>广告字</t>
  </si>
  <si>
    <t>活动板房</t>
  </si>
  <si>
    <t>水泥方杆</t>
  </si>
  <si>
    <t>只有水泥方杆无网</t>
  </si>
  <si>
    <t>水泥方杆（含网）</t>
  </si>
  <si>
    <t>有网有水泥方杆</t>
  </si>
  <si>
    <t>材树幼苗</t>
  </si>
  <si>
    <t>24-40</t>
  </si>
  <si>
    <t>果树幼苗</t>
  </si>
  <si>
    <t>40-120</t>
  </si>
  <si>
    <t>——</t>
    <phoneticPr fontId="228" type="noConversion"/>
  </si>
  <si>
    <t>合计</t>
    <phoneticPr fontId="228" type="noConversion"/>
  </si>
  <si>
    <t>序号</t>
    <phoneticPr fontId="228" type="noConversion"/>
  </si>
  <si>
    <t>项目</t>
    <phoneticPr fontId="228" type="noConversion"/>
  </si>
  <si>
    <t>基数</t>
    <phoneticPr fontId="228" type="noConversion"/>
  </si>
  <si>
    <t>总价（万元）</t>
    <phoneticPr fontId="228" type="noConversion"/>
  </si>
  <si>
    <t>备注</t>
    <phoneticPr fontId="228" type="noConversion"/>
  </si>
  <si>
    <t>土地使用权价格</t>
    <phoneticPr fontId="228" type="noConversion"/>
  </si>
  <si>
    <t>基准地价修正系数法、成本法</t>
    <phoneticPr fontId="228" type="noConversion"/>
  </si>
  <si>
    <t>建（构）筑物价格</t>
    <phoneticPr fontId="228" type="noConversion"/>
  </si>
  <si>
    <t>补偿价格参照《房地产估价规范》[GB/T 50291-2015]、《北京市房屋重置成新价评估技术标准》[北估秘（2016）001号]进行评估。</t>
    <phoneticPr fontId="228" type="noConversion"/>
  </si>
  <si>
    <t>附属物价格</t>
    <phoneticPr fontId="228" type="noConversion"/>
  </si>
  <si>
    <t>补偿价格参照《北京市房屋重置成新价评估技术标准》[北估秘（2016）001号]进行评估。</t>
    <phoneticPr fontId="228" type="noConversion"/>
  </si>
  <si>
    <t>无法恢复使用的设施设备补偿价</t>
    <phoneticPr fontId="228" type="noConversion"/>
  </si>
  <si>
    <t>无法恢复使用的设施设备应为委托估价方或不动产权利人提供的全部设备资料清单，于估价期日的重置成新价格。</t>
    <phoneticPr fontId="228" type="noConversion"/>
  </si>
  <si>
    <t>因土地收购造成的停产停业损失补偿费用</t>
    <phoneticPr fontId="22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</si>
  <si>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28" type="noConversion"/>
  </si>
  <si>
    <t>搬迁补偿费用</t>
    <phoneticPr fontId="228" type="noConversion"/>
  </si>
  <si>
    <t>补偿费用参照《关于国有土地上房屋征收与补偿中有关事项的通
知》[京建法（2012）19号]确定。非住宅按50元/建筑平方米搬迁、临时安置补偿费确定，需要搬迁重新安装的空调、电话移机费。</t>
    <phoneticPr fontId="228" type="noConversion"/>
  </si>
  <si>
    <t>合计</t>
    <phoneticPr fontId="228" type="noConversion"/>
  </si>
  <si>
    <t>土地收购补偿价格</t>
    <phoneticPr fontId="228" type="noConversion"/>
  </si>
  <si>
    <t>【1】至【6】项之和</t>
    <phoneticPr fontId="228" type="noConversion"/>
  </si>
  <si>
    <t>方法及权重</t>
    <phoneticPr fontId="228" type="noConversion"/>
  </si>
  <si>
    <t>估价结果</t>
    <phoneticPr fontId="228" type="noConversion"/>
  </si>
  <si>
    <t>——</t>
    <phoneticPr fontId="228" type="noConversion"/>
  </si>
  <si>
    <t>用于生产经营的非住宅房屋的月租金</t>
    <phoneticPr fontId="228" type="noConversion"/>
  </si>
  <si>
    <t>日租金（元/平方米）</t>
    <phoneticPr fontId="228" type="noConversion"/>
  </si>
  <si>
    <t>天数（天）</t>
    <phoneticPr fontId="228" type="noConversion"/>
  </si>
  <si>
    <t>面积（平方米）</t>
    <phoneticPr fontId="228" type="noConversion"/>
  </si>
  <si>
    <t>合计（万元）</t>
    <phoneticPr fontId="228" type="noConversion"/>
  </si>
  <si>
    <t>月净利润</t>
    <phoneticPr fontId="228" type="noConversion"/>
  </si>
  <si>
    <t>停产停业损失补偿费=（用于生产经营的非住宅房屋的月租金+月净利润×修正系数+员工月生活补助）×停产停业补偿期限</t>
    <phoneticPr fontId="228" type="noConversion"/>
  </si>
  <si>
    <t>年度</t>
    <phoneticPr fontId="228" type="noConversion"/>
  </si>
  <si>
    <t>1-5月</t>
    <phoneticPr fontId="228" type="noConversion"/>
  </si>
  <si>
    <t>月度</t>
    <phoneticPr fontId="228" type="noConversion"/>
  </si>
  <si>
    <t>——</t>
    <phoneticPr fontId="228" type="noConversion"/>
  </si>
  <si>
    <r>
      <t>前12个月</t>
    </r>
    <r>
      <rPr>
        <sz val="11"/>
        <color theme="1"/>
        <rFont val="宋体"/>
        <family val="3"/>
        <charset val="134"/>
        <scheme val="minor"/>
      </rPr>
      <t>平均净利润</t>
    </r>
    <phoneticPr fontId="228" type="noConversion"/>
  </si>
  <si>
    <t>修正系数</t>
    <phoneticPr fontId="228" type="noConversion"/>
  </si>
  <si>
    <t>员工月生活补助</t>
    <phoneticPr fontId="228" type="noConversion"/>
  </si>
  <si>
    <t>人数</t>
    <phoneticPr fontId="228" type="noConversion"/>
  </si>
  <si>
    <t>补偿金额(元/月）</t>
    <phoneticPr fontId="228" type="noConversion"/>
  </si>
  <si>
    <t>合计（万元）</t>
    <phoneticPr fontId="228" type="noConversion"/>
  </si>
  <si>
    <t>停产停业补偿期限</t>
    <phoneticPr fontId="228" type="noConversion"/>
  </si>
  <si>
    <t>期限（月）</t>
    <phoneticPr fontId="228" type="noConversion"/>
  </si>
  <si>
    <t>被征收房屋容积率小于0.5的修正</t>
    <phoneticPr fontId="228" type="noConversion"/>
  </si>
  <si>
    <t>企业所得税</t>
    <phoneticPr fontId="228" type="noConversion"/>
  </si>
  <si>
    <t>1季度</t>
    <phoneticPr fontId="228" type="noConversion"/>
  </si>
  <si>
    <t>2季度</t>
    <phoneticPr fontId="228" type="noConversion"/>
  </si>
  <si>
    <t>3季度</t>
    <phoneticPr fontId="228" type="noConversion"/>
  </si>
  <si>
    <t>4季度</t>
    <phoneticPr fontId="228" type="noConversion"/>
  </si>
  <si>
    <t>利润表</t>
  </si>
  <si>
    <t>财企02表</t>
  </si>
  <si>
    <t>编制单位：北京丰怀轨枕有限公司</t>
  </si>
  <si>
    <t>2020年度</t>
  </si>
  <si>
    <t>金额单位：元</t>
  </si>
  <si>
    <t>项            目</t>
  </si>
  <si>
    <t>行次</t>
  </si>
  <si>
    <t>本期金额</t>
  </si>
  <si>
    <t>上期金额</t>
  </si>
  <si>
    <t>一、营业总收入</t>
  </si>
  <si>
    <t>1</t>
  </si>
  <si>
    <t xml:space="preserve">    减：营业外支出</t>
  </si>
  <si>
    <t>37</t>
  </si>
  <si>
    <t xml:space="preserve">    其中：营业收入</t>
  </si>
  <si>
    <t>2</t>
  </si>
  <si>
    <t>四、利润总额（亏损总额以“－”号填列）</t>
  </si>
  <si>
    <t>38</t>
  </si>
  <si>
    <t xml:space="preserve">       △利息收入</t>
  </si>
  <si>
    <t>3</t>
  </si>
  <si>
    <t xml:space="preserve">    减：所得税费用</t>
  </si>
  <si>
    <t>39</t>
  </si>
  <si>
    <t xml:space="preserve">       △已赚保费</t>
  </si>
  <si>
    <t>4</t>
  </si>
  <si>
    <t>五、净利润（净亏损以“－”号填列）</t>
  </si>
  <si>
    <t>40</t>
  </si>
  <si>
    <t xml:space="preserve">       △手续费及佣金收入</t>
  </si>
  <si>
    <t>5</t>
  </si>
  <si>
    <t xml:space="preserve">   （一）按所有权归属分类</t>
  </si>
  <si>
    <t>41</t>
  </si>
  <si>
    <t>-</t>
  </si>
  <si>
    <t>二、营业总成本</t>
  </si>
  <si>
    <t>6</t>
  </si>
  <si>
    <t xml:space="preserve">        归属于母公司所有者的净利润</t>
  </si>
  <si>
    <t>42</t>
  </si>
  <si>
    <t xml:space="preserve">    其中：营业成本</t>
  </si>
  <si>
    <t>7</t>
  </si>
  <si>
    <t xml:space="preserve">        *少数股东损益</t>
  </si>
  <si>
    <t>43</t>
  </si>
  <si>
    <t xml:space="preserve">       △利息支出</t>
  </si>
  <si>
    <t>8</t>
  </si>
  <si>
    <t xml:space="preserve">   （二）按经营持续性分类</t>
  </si>
  <si>
    <t>44</t>
  </si>
  <si>
    <t xml:space="preserve">       △手续费及佣金支出</t>
  </si>
  <si>
    <t>9</t>
  </si>
  <si>
    <t xml:space="preserve">        持续经营净利润（净亏损以“-”号填列）</t>
  </si>
  <si>
    <t>45</t>
  </si>
  <si>
    <t xml:space="preserve">       △退保金</t>
  </si>
  <si>
    <t>10</t>
  </si>
  <si>
    <t xml:space="preserve">        终止经营净利润（净亏损以“-”号填列）</t>
  </si>
  <si>
    <t>46</t>
  </si>
  <si>
    <t xml:space="preserve">       △赔付支出净额</t>
  </si>
  <si>
    <t>11</t>
  </si>
  <si>
    <t>六、其他综合收益的税后净额</t>
  </si>
  <si>
    <t>47</t>
  </si>
  <si>
    <t xml:space="preserve">       △提取保险责任准备金净额</t>
  </si>
  <si>
    <t>12</t>
  </si>
  <si>
    <t xml:space="preserve">    归属于母公司所有者的其他综合收益的税后净额</t>
  </si>
  <si>
    <t>48</t>
  </si>
  <si>
    <t xml:space="preserve">       △保单红利支出</t>
  </si>
  <si>
    <t>13</t>
  </si>
  <si>
    <t xml:space="preserve">    （一）不能重分类进损益的其他综合收益</t>
  </si>
  <si>
    <t>49</t>
  </si>
  <si>
    <t xml:space="preserve">       △分保费用</t>
  </si>
  <si>
    <t>14</t>
  </si>
  <si>
    <t xml:space="preserve">          1.重新计量设定受益计划变动额</t>
  </si>
  <si>
    <t>50</t>
  </si>
  <si>
    <t xml:space="preserve">         税金及附加</t>
  </si>
  <si>
    <t>15</t>
  </si>
  <si>
    <t xml:space="preserve">          2.权益法下不能转损益的其他综合收益</t>
  </si>
  <si>
    <t>51</t>
  </si>
  <si>
    <t xml:space="preserve">         销售费用</t>
  </si>
  <si>
    <t>16</t>
  </si>
  <si>
    <t xml:space="preserve">        ☆3.其他权益工具投资公允价值变动</t>
  </si>
  <si>
    <t>52</t>
  </si>
  <si>
    <t xml:space="preserve">         管理费用</t>
  </si>
  <si>
    <t>17</t>
  </si>
  <si>
    <t xml:space="preserve">        ☆4.企业自身信用风险公允价值变动</t>
  </si>
  <si>
    <t>53</t>
  </si>
  <si>
    <t xml:space="preserve">         研发费用</t>
  </si>
  <si>
    <t>18</t>
  </si>
  <si>
    <t xml:space="preserve">          5.其他</t>
  </si>
  <si>
    <t>54</t>
  </si>
  <si>
    <t xml:space="preserve">         财务费用</t>
  </si>
  <si>
    <t>19</t>
  </si>
  <si>
    <t xml:space="preserve">    （二）将重分类进损益的其他综合收益</t>
  </si>
  <si>
    <t>55</t>
  </si>
  <si>
    <t xml:space="preserve">             其中：利息费用</t>
  </si>
  <si>
    <t>20</t>
  </si>
  <si>
    <t xml:space="preserve">          1.权益法下可转损益的其他综合收益</t>
  </si>
  <si>
    <t>56</t>
  </si>
  <si>
    <t xml:space="preserve">                   利息收入</t>
  </si>
  <si>
    <t>21</t>
  </si>
  <si>
    <t xml:space="preserve">        ☆2.其他债权投资公允价值变动</t>
  </si>
  <si>
    <t>57</t>
  </si>
  <si>
    <t xml:space="preserve">                   汇兑净损失（净收益以“-”号填列）</t>
  </si>
  <si>
    <t>22</t>
  </si>
  <si>
    <t xml:space="preserve">          3.可供出售金融资产公允价值变动损益</t>
  </si>
  <si>
    <t>58</t>
  </si>
  <si>
    <t xml:space="preserve">         其他</t>
  </si>
  <si>
    <t>23</t>
  </si>
  <si>
    <t xml:space="preserve">        ☆4.金融资产重分类计入其他综合收益的金额</t>
  </si>
  <si>
    <t>59</t>
  </si>
  <si>
    <t xml:space="preserve">    加： 其他收益</t>
  </si>
  <si>
    <t>24</t>
  </si>
  <si>
    <t xml:space="preserve">          5.持有至到期投资重分类为可供出售金融资产损益</t>
  </si>
  <si>
    <t>60</t>
  </si>
  <si>
    <t xml:space="preserve">         投资收益（损失以“-”号填列）</t>
  </si>
  <si>
    <t>25</t>
  </si>
  <si>
    <t xml:space="preserve">        ☆6.其他债权投资信用减值准备</t>
  </si>
  <si>
    <t>61</t>
  </si>
  <si>
    <t xml:space="preserve">             其中：对联营企业和合营企业的投资收益</t>
  </si>
  <si>
    <t>26</t>
  </si>
  <si>
    <t xml:space="preserve">          7.现金流量套期储备（现金流量套期损益的有效部分）</t>
  </si>
  <si>
    <t>62</t>
  </si>
  <si>
    <t xml:space="preserve">                  ☆以摊余成本计量的金融资产终止确认收益（损失以“-”号填列）</t>
  </si>
  <si>
    <t>27</t>
  </si>
  <si>
    <t xml:space="preserve">          8.外币财务报表折算差额</t>
  </si>
  <si>
    <t>63</t>
  </si>
  <si>
    <t xml:space="preserve">       △汇兑收益（损失以“-”号填列）</t>
  </si>
  <si>
    <t>28</t>
  </si>
  <si>
    <t xml:space="preserve">          9.其他</t>
  </si>
  <si>
    <t>64</t>
  </si>
  <si>
    <t xml:space="preserve">       ☆净敞口套期收益（损失以“-”号填列）</t>
  </si>
  <si>
    <t>29</t>
  </si>
  <si>
    <t xml:space="preserve">   *归属于少数股东的其他综合收益的税后净额</t>
  </si>
  <si>
    <t>65</t>
  </si>
  <si>
    <t xml:space="preserve">         公允价值变动收益（损失以“-”号填列）</t>
  </si>
  <si>
    <t>30</t>
  </si>
  <si>
    <t>七、综合收益总额</t>
  </si>
  <si>
    <t>66</t>
  </si>
  <si>
    <t xml:space="preserve">       ☆信用减值损失（损失以“-”填列）</t>
  </si>
  <si>
    <t>31</t>
  </si>
  <si>
    <t xml:space="preserve">    归属于母公司所有者的综合收益总额</t>
  </si>
  <si>
    <t>67</t>
  </si>
  <si>
    <t xml:space="preserve">         资产减值损失（损失以“-”填列）</t>
  </si>
  <si>
    <t>32</t>
  </si>
  <si>
    <t xml:space="preserve">   *归属于少数股东的综合收益总额</t>
  </si>
  <si>
    <t>68</t>
  </si>
  <si>
    <t xml:space="preserve">         资产处置收益（损失以“-”填列）</t>
  </si>
  <si>
    <t>33</t>
  </si>
  <si>
    <t>八、每股收益：</t>
  </si>
  <si>
    <t>69</t>
  </si>
  <si>
    <t>三、营业利润（亏损以“－”号填列）</t>
  </si>
  <si>
    <t>34</t>
  </si>
  <si>
    <t xml:space="preserve">    基本每股收益</t>
  </si>
  <si>
    <t>70</t>
  </si>
  <si>
    <t xml:space="preserve">    加：营业外收入</t>
  </si>
  <si>
    <t>35</t>
  </si>
  <si>
    <t xml:space="preserve">    稀释每股收益</t>
  </si>
  <si>
    <t>71</t>
  </si>
  <si>
    <t xml:space="preserve">        其中：政府补助</t>
  </si>
  <si>
    <t>36</t>
  </si>
  <si>
    <t>72</t>
  </si>
  <si>
    <t>注:表中带*项目为合并财务报表专用；加△楷体项目为金融类企业专用；加☆项目为执行新收入/新金融工具准则企业适用。</t>
  </si>
  <si>
    <t>2020年净利润</t>
    <phoneticPr fontId="228" type="noConversion"/>
  </si>
  <si>
    <t>估价结果-土地使用权</t>
    <phoneticPr fontId="228" type="noConversion"/>
  </si>
  <si>
    <r>
      <rPr>
        <b/>
        <sz val="12"/>
        <color theme="1"/>
        <rFont val="宋体"/>
        <family val="3"/>
        <charset val="134"/>
      </rPr>
      <t>序号</t>
    </r>
    <phoneticPr fontId="325" type="noConversion"/>
  </si>
  <si>
    <r>
      <rPr>
        <b/>
        <sz val="12"/>
        <color theme="1"/>
        <rFont val="宋体"/>
        <family val="3"/>
        <charset val="134"/>
      </rPr>
      <t>树木种类</t>
    </r>
    <phoneticPr fontId="325" type="noConversion"/>
  </si>
  <si>
    <t>胸径（cm）</t>
    <phoneticPr fontId="325" type="noConversion"/>
  </si>
  <si>
    <t>单价（元）</t>
    <phoneticPr fontId="325" type="noConversion"/>
  </si>
  <si>
    <r>
      <rPr>
        <b/>
        <sz val="12"/>
        <color theme="1"/>
        <rFont val="宋体"/>
        <family val="3"/>
        <charset val="134"/>
      </rPr>
      <t>数量</t>
    </r>
    <phoneticPr fontId="325" type="noConversion"/>
  </si>
  <si>
    <t>总价（元）</t>
    <phoneticPr fontId="325" type="noConversion"/>
  </si>
  <si>
    <t>白皮松（松）</t>
    <phoneticPr fontId="325" type="noConversion"/>
  </si>
  <si>
    <r>
      <t>20</t>
    </r>
    <r>
      <rPr>
        <sz val="12"/>
        <color theme="1"/>
        <rFont val="宋体"/>
        <family val="3"/>
        <charset val="134"/>
      </rPr>
      <t>以下</t>
    </r>
    <phoneticPr fontId="325" type="noConversion"/>
  </si>
  <si>
    <r>
      <rPr>
        <sz val="12"/>
        <color theme="1"/>
        <rFont val="宋体"/>
        <family val="3"/>
        <charset val="134"/>
      </rPr>
      <t>柏树</t>
    </r>
    <phoneticPr fontId="325" type="noConversion"/>
  </si>
  <si>
    <t>20-50</t>
    <phoneticPr fontId="325" type="noConversion"/>
  </si>
  <si>
    <r>
      <rPr>
        <sz val="12"/>
        <color theme="1"/>
        <rFont val="宋体"/>
        <family val="3"/>
        <charset val="134"/>
      </rPr>
      <t>椿树</t>
    </r>
    <phoneticPr fontId="325" type="noConversion"/>
  </si>
  <si>
    <r>
      <t>20</t>
    </r>
    <r>
      <rPr>
        <sz val="12"/>
        <color theme="1"/>
        <rFont val="宋体"/>
        <family val="3"/>
        <charset val="134"/>
      </rPr>
      <t>以下</t>
    </r>
    <phoneticPr fontId="325" type="noConversion"/>
  </si>
  <si>
    <r>
      <t>50</t>
    </r>
    <r>
      <rPr>
        <sz val="12"/>
        <color theme="1"/>
        <rFont val="宋体"/>
        <family val="3"/>
        <charset val="134"/>
      </rPr>
      <t>以上</t>
    </r>
    <phoneticPr fontId="325" type="noConversion"/>
  </si>
  <si>
    <r>
      <rPr>
        <sz val="12"/>
        <color theme="1"/>
        <rFont val="宋体"/>
        <family val="3"/>
        <charset val="134"/>
      </rPr>
      <t>海棠树</t>
    </r>
    <phoneticPr fontId="325" type="noConversion"/>
  </si>
  <si>
    <r>
      <rPr>
        <sz val="12"/>
        <color theme="1"/>
        <rFont val="宋体"/>
        <family val="3"/>
        <charset val="134"/>
      </rPr>
      <t>槐树</t>
    </r>
    <phoneticPr fontId="325" type="noConversion"/>
  </si>
  <si>
    <r>
      <rPr>
        <sz val="12"/>
        <color theme="1"/>
        <rFont val="宋体"/>
        <family val="3"/>
        <charset val="134"/>
      </rPr>
      <t>柳树</t>
    </r>
    <phoneticPr fontId="325" type="noConversion"/>
  </si>
  <si>
    <r>
      <rPr>
        <sz val="12"/>
        <color theme="1"/>
        <rFont val="宋体"/>
        <family val="3"/>
        <charset val="134"/>
      </rPr>
      <t>龙抓槐</t>
    </r>
    <phoneticPr fontId="325" type="noConversion"/>
  </si>
  <si>
    <r>
      <rPr>
        <sz val="12"/>
        <color theme="1"/>
        <rFont val="宋体"/>
        <family val="3"/>
        <charset val="134"/>
      </rPr>
      <t>桑树</t>
    </r>
    <phoneticPr fontId="325" type="noConversion"/>
  </si>
  <si>
    <r>
      <rPr>
        <sz val="12"/>
        <color theme="1"/>
        <rFont val="宋体"/>
        <family val="3"/>
        <charset val="134"/>
      </rPr>
      <t>山楂树</t>
    </r>
    <phoneticPr fontId="325" type="noConversion"/>
  </si>
  <si>
    <r>
      <rPr>
        <sz val="12"/>
        <color theme="1"/>
        <rFont val="宋体"/>
        <family val="3"/>
        <charset val="134"/>
      </rPr>
      <t>柿子树</t>
    </r>
    <phoneticPr fontId="325" type="noConversion"/>
  </si>
  <si>
    <r>
      <rPr>
        <sz val="12"/>
        <color theme="1"/>
        <rFont val="宋体"/>
        <family val="3"/>
        <charset val="134"/>
      </rPr>
      <t>松树</t>
    </r>
    <phoneticPr fontId="325" type="noConversion"/>
  </si>
  <si>
    <r>
      <rPr>
        <sz val="12"/>
        <color theme="1"/>
        <rFont val="宋体"/>
        <family val="3"/>
        <charset val="134"/>
      </rPr>
      <t>桃树</t>
    </r>
    <phoneticPr fontId="325" type="noConversion"/>
  </si>
  <si>
    <r>
      <rPr>
        <sz val="12"/>
        <color theme="1"/>
        <rFont val="宋体"/>
        <family val="3"/>
        <charset val="134"/>
      </rPr>
      <t>梧桐树</t>
    </r>
    <phoneticPr fontId="325" type="noConversion"/>
  </si>
  <si>
    <r>
      <rPr>
        <sz val="12"/>
        <color theme="1"/>
        <rFont val="宋体"/>
        <family val="3"/>
        <charset val="134"/>
      </rPr>
      <t>雪松</t>
    </r>
    <phoneticPr fontId="325" type="noConversion"/>
  </si>
  <si>
    <r>
      <rPr>
        <sz val="12"/>
        <color theme="1"/>
        <rFont val="宋体"/>
        <family val="3"/>
        <charset val="134"/>
      </rPr>
      <t>紫藤萝</t>
    </r>
    <phoneticPr fontId="325" type="noConversion"/>
  </si>
  <si>
    <r>
      <rPr>
        <sz val="12"/>
        <color theme="1"/>
        <rFont val="宋体"/>
        <family val="3"/>
        <charset val="134"/>
      </rPr>
      <t>蔟</t>
    </r>
    <phoneticPr fontId="325" type="noConversion"/>
  </si>
  <si>
    <r>
      <rPr>
        <sz val="12"/>
        <color theme="1"/>
        <rFont val="宋体"/>
        <family val="3"/>
        <charset val="134"/>
      </rPr>
      <t>小叶黄杨</t>
    </r>
    <phoneticPr fontId="325" type="noConversion"/>
  </si>
  <si>
    <r>
      <t>1m</t>
    </r>
    <r>
      <rPr>
        <sz val="12"/>
        <color theme="1"/>
        <rFont val="宋体"/>
        <family val="3"/>
        <charset val="134"/>
      </rPr>
      <t>圆</t>
    </r>
    <phoneticPr fontId="325" type="noConversion"/>
  </si>
  <si>
    <r>
      <t>100x1</t>
    </r>
    <r>
      <rPr>
        <sz val="12"/>
        <color theme="1"/>
        <rFont val="宋体"/>
        <family val="3"/>
        <charset val="134"/>
      </rPr>
      <t>㎡</t>
    </r>
    <phoneticPr fontId="325" type="noConversion"/>
  </si>
  <si>
    <r>
      <rPr>
        <sz val="12"/>
        <color theme="1"/>
        <rFont val="宋体"/>
        <family val="3"/>
        <charset val="134"/>
      </rPr>
      <t>杨树</t>
    </r>
    <phoneticPr fontId="325" type="noConversion"/>
  </si>
  <si>
    <r>
      <rPr>
        <sz val="12"/>
        <color theme="1"/>
        <rFont val="宋体"/>
        <family val="3"/>
        <charset val="134"/>
      </rPr>
      <t>银杏树</t>
    </r>
    <phoneticPr fontId="325" type="noConversion"/>
  </si>
  <si>
    <r>
      <t>20</t>
    </r>
    <r>
      <rPr>
        <sz val="12"/>
        <color theme="1"/>
        <rFont val="宋体"/>
        <family val="3"/>
        <charset val="134"/>
      </rPr>
      <t>以下</t>
    </r>
    <phoneticPr fontId="325" type="noConversion"/>
  </si>
  <si>
    <t>20-50</t>
    <phoneticPr fontId="325" type="noConversion"/>
  </si>
  <si>
    <r>
      <rPr>
        <sz val="12"/>
        <color theme="1"/>
        <rFont val="宋体"/>
        <family val="3"/>
        <charset val="134"/>
      </rPr>
      <t>榆树</t>
    </r>
    <phoneticPr fontId="325" type="noConversion"/>
  </si>
  <si>
    <r>
      <t>50</t>
    </r>
    <r>
      <rPr>
        <sz val="12"/>
        <color theme="1"/>
        <rFont val="宋体"/>
        <family val="3"/>
        <charset val="134"/>
      </rPr>
      <t>以上</t>
    </r>
    <phoneticPr fontId="325" type="noConversion"/>
  </si>
  <si>
    <r>
      <rPr>
        <sz val="12"/>
        <color theme="1"/>
        <rFont val="宋体"/>
        <family val="3"/>
        <charset val="134"/>
      </rPr>
      <t>玉兰树</t>
    </r>
    <phoneticPr fontId="325" type="noConversion"/>
  </si>
  <si>
    <r>
      <rPr>
        <sz val="12"/>
        <color theme="1"/>
        <rFont val="宋体"/>
        <family val="3"/>
        <charset val="134"/>
      </rPr>
      <t>紫玉兰</t>
    </r>
    <phoneticPr fontId="325" type="noConversion"/>
  </si>
  <si>
    <t>合计</t>
    <phoneticPr fontId="228" type="noConversion"/>
  </si>
  <si>
    <t>杏树</t>
    <phoneticPr fontId="228" type="noConversion"/>
  </si>
  <si>
    <t>黄杨墙</t>
    <phoneticPr fontId="228" type="noConversion"/>
  </si>
  <si>
    <t>泡桐</t>
    <phoneticPr fontId="228" type="noConversion"/>
  </si>
  <si>
    <t>美国大平针</t>
    <phoneticPr fontId="228" type="noConversion"/>
  </si>
  <si>
    <r>
      <t>20</t>
    </r>
    <r>
      <rPr>
        <sz val="12"/>
        <color rgb="FFFF0000"/>
        <rFont val="宋体"/>
        <family val="3"/>
        <charset val="134"/>
      </rPr>
      <t>以下</t>
    </r>
    <phoneticPr fontId="325" type="noConversion"/>
  </si>
  <si>
    <t>估价结果通知单</t>
    <phoneticPr fontId="3" type="noConversion"/>
  </si>
  <si>
    <r>
      <t xml:space="preserve"> </t>
    </r>
    <r>
      <rPr>
        <sz val="12"/>
        <rFont val="宋体"/>
        <family val="3"/>
        <charset val="134"/>
      </rPr>
      <t xml:space="preserve">                                                            </t>
    </r>
    <r>
      <rPr>
        <sz val="11"/>
        <color theme="1"/>
        <rFont val="宋体"/>
        <family val="3"/>
        <charset val="134"/>
        <scheme val="minor"/>
      </rPr>
      <t>评估编号：</t>
    </r>
    <phoneticPr fontId="3" type="noConversion"/>
  </si>
  <si>
    <t>被腾退人：</t>
  </si>
  <si>
    <t>北京市</t>
    <phoneticPr fontId="3" type="noConversion"/>
  </si>
  <si>
    <t>房屋坐落：</t>
  </si>
  <si>
    <t>一、房屋重置成新价：</t>
  </si>
  <si>
    <t>建筑面积：</t>
  </si>
  <si>
    <t>建筑面积(㎡)</t>
  </si>
  <si>
    <t>房屋总价
(元)</t>
  </si>
  <si>
    <t>24号</t>
    <phoneticPr fontId="3" type="noConversion"/>
  </si>
  <si>
    <t>25号</t>
    <phoneticPr fontId="3" type="noConversion"/>
  </si>
  <si>
    <t>26号</t>
    <phoneticPr fontId="3" type="noConversion"/>
  </si>
  <si>
    <t>设备及附属物部分</t>
  </si>
  <si>
    <t>装修部分</t>
  </si>
  <si>
    <t>金额(元)</t>
  </si>
  <si>
    <t>瓷砖地面</t>
  </si>
  <si>
    <t>塑钢、铝合金隔断</t>
  </si>
  <si>
    <t>锦砖贴面</t>
  </si>
  <si>
    <t>院墙</t>
  </si>
  <si>
    <t>不锈钢栏杆/扶手</t>
  </si>
  <si>
    <t>院地</t>
  </si>
  <si>
    <t>配电箱</t>
    <phoneticPr fontId="3" type="noConversion"/>
  </si>
  <si>
    <t>个</t>
    <phoneticPr fontId="3" type="noConversion"/>
  </si>
  <si>
    <t>卷帘门</t>
  </si>
  <si>
    <t>配电柜</t>
    <phoneticPr fontId="3" type="noConversion"/>
  </si>
  <si>
    <r>
      <t>电缆3</t>
    </r>
    <r>
      <rPr>
        <sz val="12"/>
        <rFont val="宋体"/>
        <family val="3"/>
        <charset val="134"/>
      </rPr>
      <t>*3*16</t>
    </r>
    <phoneticPr fontId="3" type="noConversion"/>
  </si>
  <si>
    <t>米</t>
    <phoneticPr fontId="3" type="noConversion"/>
  </si>
  <si>
    <t/>
  </si>
  <si>
    <t>电缆4*4*70</t>
    <phoneticPr fontId="3" type="noConversion"/>
  </si>
  <si>
    <t>电缆4*4*150</t>
    <phoneticPr fontId="3" type="noConversion"/>
  </si>
  <si>
    <t>电缆4*4*95</t>
    <phoneticPr fontId="3" type="noConversion"/>
  </si>
  <si>
    <t>护窗</t>
  </si>
  <si>
    <t>电缆4*4*96</t>
  </si>
  <si>
    <t>防盗门</t>
  </si>
  <si>
    <t>电缆4*4*97</t>
  </si>
  <si>
    <t>石膏板顶棚</t>
  </si>
  <si>
    <t>PVC顶棚</t>
  </si>
  <si>
    <t>汇总</t>
    <phoneticPr fontId="3" type="noConversion"/>
  </si>
  <si>
    <t>树木</t>
    <phoneticPr fontId="3" type="noConversion"/>
  </si>
  <si>
    <t>树种</t>
    <phoneticPr fontId="3" type="noConversion"/>
  </si>
  <si>
    <t>胸径</t>
    <phoneticPr fontId="3" type="noConversion"/>
  </si>
  <si>
    <t>数量</t>
    <phoneticPr fontId="3" type="noConversion"/>
  </si>
  <si>
    <t>价格</t>
    <phoneticPr fontId="3" type="noConversion"/>
  </si>
  <si>
    <t>桑树</t>
    <phoneticPr fontId="3" type="noConversion"/>
  </si>
  <si>
    <t>椿树</t>
    <phoneticPr fontId="3" type="noConversion"/>
  </si>
  <si>
    <t>快柏</t>
    <phoneticPr fontId="3" type="noConversion"/>
  </si>
  <si>
    <t>高:2.5</t>
    <phoneticPr fontId="3" type="noConversion"/>
  </si>
  <si>
    <t>高:3.5</t>
    <phoneticPr fontId="3" type="noConversion"/>
  </si>
  <si>
    <t>椿树</t>
    <phoneticPr fontId="3" type="noConversion"/>
  </si>
  <si>
    <t>快柏</t>
    <phoneticPr fontId="3" type="noConversion"/>
  </si>
  <si>
    <t>高:4</t>
    <phoneticPr fontId="3" type="noConversion"/>
  </si>
  <si>
    <t>侧柏</t>
    <phoneticPr fontId="3" type="noConversion"/>
  </si>
  <si>
    <t>高:2</t>
    <phoneticPr fontId="3" type="noConversion"/>
  </si>
  <si>
    <t>玉兰</t>
    <phoneticPr fontId="3" type="noConversion"/>
  </si>
  <si>
    <t>杨树</t>
    <phoneticPr fontId="3" type="noConversion"/>
  </si>
  <si>
    <t>柿子树</t>
    <phoneticPr fontId="3" type="noConversion"/>
  </si>
  <si>
    <t>杨树</t>
    <phoneticPr fontId="3" type="noConversion"/>
  </si>
  <si>
    <t>龙爪槐</t>
    <phoneticPr fontId="3" type="noConversion"/>
  </si>
  <si>
    <t>美国大平针</t>
    <phoneticPr fontId="3" type="noConversion"/>
  </si>
  <si>
    <t>泡桐</t>
    <phoneticPr fontId="3" type="noConversion"/>
  </si>
  <si>
    <t>杏树</t>
    <phoneticPr fontId="3" type="noConversion"/>
  </si>
  <si>
    <t>榆树</t>
    <phoneticPr fontId="3" type="noConversion"/>
  </si>
  <si>
    <t>黄杨墙</t>
    <phoneticPr fontId="3" type="noConversion"/>
  </si>
  <si>
    <t>高：1</t>
    <phoneticPr fontId="3" type="noConversion"/>
  </si>
  <si>
    <t>汇总</t>
    <phoneticPr fontId="3" type="noConversion"/>
  </si>
  <si>
    <t>评估额汇总</t>
    <phoneticPr fontId="3" type="noConversion"/>
  </si>
  <si>
    <t>面积合计</t>
    <phoneticPr fontId="3" type="noConversion"/>
  </si>
  <si>
    <t>总价</t>
    <phoneticPr fontId="228" type="noConversion"/>
  </si>
  <si>
    <t>合同股东方</t>
    <phoneticPr fontId="228" type="noConversion"/>
  </si>
  <si>
    <t>2021年1-3月净利润</t>
    <phoneticPr fontId="228" type="noConversion"/>
  </si>
  <si>
    <t>合计</t>
    <phoneticPr fontId="228" type="noConversion"/>
  </si>
  <si>
    <t>棚</t>
    <phoneticPr fontId="228" type="noConversion"/>
  </si>
  <si>
    <t>普通灯</t>
    <phoneticPr fontId="228" type="noConversion"/>
  </si>
  <si>
    <t>水泥池</t>
    <phoneticPr fontId="228" type="noConversion"/>
  </si>
  <si>
    <t>配电箱</t>
    <phoneticPr fontId="228" type="noConversion"/>
  </si>
  <si>
    <t>化粪池</t>
    <phoneticPr fontId="228" type="noConversion"/>
  </si>
  <si>
    <t>雨搭</t>
    <phoneticPr fontId="228" type="noConversion"/>
  </si>
  <si>
    <t>铁门</t>
    <phoneticPr fontId="228" type="noConversion"/>
  </si>
  <si>
    <t>防盗门（单）</t>
    <phoneticPr fontId="228" type="noConversion"/>
  </si>
  <si>
    <t>防盗门（双）</t>
    <phoneticPr fontId="228" type="noConversion"/>
  </si>
  <si>
    <t>卷帘门</t>
    <phoneticPr fontId="228" type="noConversion"/>
  </si>
  <si>
    <t>窗帘杆</t>
    <phoneticPr fontId="228" type="noConversion"/>
  </si>
  <si>
    <t>蹲式大便器</t>
    <phoneticPr fontId="228" type="noConversion"/>
  </si>
  <si>
    <t>小便器</t>
    <phoneticPr fontId="228" type="noConversion"/>
  </si>
  <si>
    <t>铁梯</t>
    <phoneticPr fontId="228" type="noConversion"/>
  </si>
  <si>
    <t>护窗</t>
    <phoneticPr fontId="228" type="noConversion"/>
  </si>
  <si>
    <t>不锈钢栏杆/扶手</t>
    <phoneticPr fontId="228" type="noConversion"/>
  </si>
  <si>
    <t>铁栏杆</t>
    <phoneticPr fontId="228" type="noConversion"/>
  </si>
  <si>
    <t>锦砖贴面</t>
    <phoneticPr fontId="3" type="noConversion"/>
  </si>
  <si>
    <t>院墙</t>
    <phoneticPr fontId="3" type="noConversion"/>
  </si>
  <si>
    <t>院地</t>
    <phoneticPr fontId="228" type="noConversion"/>
  </si>
  <si>
    <t>整砖24隔断</t>
    <phoneticPr fontId="228" type="noConversion"/>
  </si>
  <si>
    <t>32号房中房1</t>
    <phoneticPr fontId="228" type="noConversion"/>
  </si>
  <si>
    <t>32号房中房2</t>
    <phoneticPr fontId="228" type="noConversion"/>
  </si>
  <si>
    <t>水漏斗</t>
    <phoneticPr fontId="228" type="noConversion"/>
  </si>
  <si>
    <t>棚</t>
    <phoneticPr fontId="228" type="noConversion"/>
  </si>
  <si>
    <t>电缆</t>
    <phoneticPr fontId="228" type="noConversion"/>
  </si>
  <si>
    <t>米</t>
    <phoneticPr fontId="228" type="noConversion"/>
  </si>
  <si>
    <t>米</t>
    <phoneticPr fontId="228" type="noConversion"/>
  </si>
  <si>
    <t>个</t>
    <phoneticPr fontId="3" type="noConversion"/>
  </si>
  <si>
    <t>桥梁厂</t>
    <phoneticPr fontId="228" type="noConversion"/>
  </si>
  <si>
    <t>怀北矿山</t>
    <phoneticPr fontId="228" type="noConversion"/>
  </si>
  <si>
    <t>中铁物资</t>
    <phoneticPr fontId="228" type="noConversion"/>
  </si>
  <si>
    <t>北方铁路运输</t>
    <phoneticPr fontId="228" type="noConversion"/>
  </si>
  <si>
    <t>占股比例</t>
    <phoneticPr fontId="228" type="noConversion"/>
  </si>
  <si>
    <t>土地补偿</t>
    <phoneticPr fontId="228" type="noConversion"/>
  </si>
  <si>
    <t>房屋重置价</t>
    <phoneticPr fontId="228" type="noConversion"/>
  </si>
  <si>
    <t>房屋装修及附属物</t>
    <phoneticPr fontId="228" type="noConversion"/>
  </si>
  <si>
    <t>设备</t>
    <phoneticPr fontId="228" type="noConversion"/>
  </si>
  <si>
    <t>职工经济补偿金</t>
    <phoneticPr fontId="228" type="noConversion"/>
  </si>
  <si>
    <t>腾退补助费</t>
    <phoneticPr fontId="228" type="noConversion"/>
  </si>
  <si>
    <t>货物迁移费用</t>
    <phoneticPr fontId="228" type="noConversion"/>
  </si>
  <si>
    <t>奖励期内的各项奖励费</t>
    <phoneticPr fontId="228" type="noConversion"/>
  </si>
  <si>
    <t>序号</t>
    <phoneticPr fontId="228" type="noConversion"/>
  </si>
  <si>
    <t>腾退补偿项</t>
    <phoneticPr fontId="228" type="noConversion"/>
  </si>
  <si>
    <r>
      <rPr>
        <sz val="8"/>
        <color theme="1"/>
        <rFont val="宋体"/>
        <family val="3"/>
        <charset val="134"/>
      </rPr>
      <t>万元</t>
    </r>
    <phoneticPr fontId="228" type="noConversion"/>
  </si>
  <si>
    <r>
      <t>26088.75</t>
    </r>
    <r>
      <rPr>
        <sz val="9"/>
        <color theme="1"/>
        <rFont val="宋体"/>
        <family val="3"/>
        <charset val="134"/>
      </rPr>
      <t>㎡</t>
    </r>
    <phoneticPr fontId="228" type="noConversion"/>
  </si>
  <si>
    <r>
      <t>7785.17</t>
    </r>
    <r>
      <rPr>
        <sz val="9"/>
        <color theme="1"/>
        <rFont val="宋体"/>
        <family val="3"/>
        <charset val="134"/>
      </rPr>
      <t>㎡</t>
    </r>
    <phoneticPr fontId="228" type="noConversion"/>
  </si>
  <si>
    <t>不含职工补偿</t>
    <phoneticPr fontId="228" type="noConversion"/>
  </si>
  <si>
    <t>总价（元）</t>
    <phoneticPr fontId="228" type="noConversion"/>
  </si>
  <si>
    <t>建（构）筑物价格总表</t>
    <phoneticPr fontId="3" type="noConversion"/>
  </si>
  <si>
    <t>电缆3*3*16</t>
    <phoneticPr fontId="3" type="noConversion"/>
  </si>
  <si>
    <t>树木</t>
    <phoneticPr fontId="228" type="noConversion"/>
  </si>
  <si>
    <t>加电缆</t>
    <phoneticPr fontId="228" type="noConversion"/>
  </si>
  <si>
    <t>规划建筑面积（平方米）</t>
  </si>
  <si>
    <t>成交价（万元）</t>
  </si>
  <si>
    <t>楼面单价</t>
  </si>
  <si>
    <t>地面单价</t>
  </si>
  <si>
    <r>
      <t>土地增值率（</t>
    </r>
    <r>
      <rPr>
        <sz val="10.5"/>
        <color theme="1"/>
        <rFont val="Arial"/>
        <family val="2"/>
      </rPr>
      <t>%</t>
    </r>
    <r>
      <rPr>
        <sz val="10.5"/>
        <color theme="1"/>
        <rFont val="宋体"/>
        <family val="3"/>
        <charset val="134"/>
      </rPr>
      <t>）</t>
    </r>
  </si>
  <si>
    <r>
      <t>北京市平谷新城北部产业用地</t>
    </r>
    <r>
      <rPr>
        <sz val="10.5"/>
        <color theme="1"/>
        <rFont val="Arial"/>
        <family val="2"/>
      </rPr>
      <t>F05-05</t>
    </r>
    <r>
      <rPr>
        <sz val="10.5"/>
        <color theme="1"/>
        <rFont val="宋体"/>
        <family val="3"/>
        <charset val="134"/>
      </rPr>
      <t>地块</t>
    </r>
    <r>
      <rPr>
        <sz val="10.5"/>
        <color theme="1"/>
        <rFont val="Arial"/>
        <family val="2"/>
      </rPr>
      <t>M2</t>
    </r>
    <r>
      <rPr>
        <sz val="10.5"/>
        <color theme="1"/>
        <rFont val="宋体"/>
        <family val="3"/>
        <charset val="134"/>
      </rPr>
      <t>工业用地</t>
    </r>
  </si>
  <si>
    <r>
      <t>30231.139</t>
    </r>
    <r>
      <rPr>
        <sz val="10.5"/>
        <color theme="1"/>
        <rFont val="宋体"/>
        <family val="3"/>
        <charset val="134"/>
      </rPr>
      <t>、土地（</t>
    </r>
    <r>
      <rPr>
        <sz val="10.5"/>
        <color theme="1"/>
        <rFont val="Arial"/>
        <family val="2"/>
      </rPr>
      <t>30231.139</t>
    </r>
    <r>
      <rPr>
        <sz val="10.5"/>
        <color theme="1"/>
        <rFont val="宋体"/>
        <family val="3"/>
        <charset val="134"/>
      </rPr>
      <t>）</t>
    </r>
  </si>
  <si>
    <r>
      <t>北京市平谷区新城北部产业用地</t>
    </r>
    <r>
      <rPr>
        <sz val="10.5"/>
        <color theme="1"/>
        <rFont val="Arial"/>
        <family val="2"/>
      </rPr>
      <t>F05-04</t>
    </r>
    <r>
      <rPr>
        <sz val="10.5"/>
        <color theme="1"/>
        <rFont val="宋体"/>
        <family val="3"/>
        <charset val="134"/>
      </rPr>
      <t>地块</t>
    </r>
  </si>
  <si>
    <r>
      <t>34616.871</t>
    </r>
    <r>
      <rPr>
        <sz val="10.5"/>
        <color theme="1"/>
        <rFont val="宋体"/>
        <family val="3"/>
        <charset val="134"/>
      </rPr>
      <t>、土地（</t>
    </r>
    <r>
      <rPr>
        <sz val="10.5"/>
        <color theme="1"/>
        <rFont val="Arial"/>
        <family val="2"/>
      </rPr>
      <t>34616.871</t>
    </r>
    <r>
      <rPr>
        <sz val="10.5"/>
        <color theme="1"/>
        <rFont val="宋体"/>
        <family val="3"/>
        <charset val="134"/>
      </rPr>
      <t>）</t>
    </r>
  </si>
  <si>
    <r>
      <t>平谷区新城北部产业用地</t>
    </r>
    <r>
      <rPr>
        <sz val="10.5"/>
        <color theme="1"/>
        <rFont val="Arial"/>
        <family val="2"/>
      </rPr>
      <t>F05-03</t>
    </r>
    <r>
      <rPr>
        <sz val="10.5"/>
        <color theme="1"/>
        <rFont val="宋体"/>
        <family val="3"/>
        <charset val="134"/>
      </rPr>
      <t>地块工业用地</t>
    </r>
  </si>
  <si>
    <r>
      <t>17333</t>
    </r>
    <r>
      <rPr>
        <sz val="10.5"/>
        <color theme="1"/>
        <rFont val="宋体"/>
        <family val="3"/>
        <charset val="134"/>
      </rPr>
      <t>、土地（</t>
    </r>
    <r>
      <rPr>
        <sz val="10.5"/>
        <color theme="1"/>
        <rFont val="Arial"/>
        <family val="2"/>
      </rPr>
      <t>17333.333</t>
    </r>
    <r>
      <rPr>
        <sz val="10.5"/>
        <color theme="1"/>
        <rFont val="宋体"/>
        <family val="3"/>
        <charset val="134"/>
      </rPr>
      <t>）</t>
    </r>
  </si>
  <si>
    <r>
      <t>平谷区新城北部产业用地</t>
    </r>
    <r>
      <rPr>
        <sz val="10.5"/>
        <color theme="1"/>
        <rFont val="Arial"/>
        <family val="2"/>
      </rPr>
      <t>F05-02</t>
    </r>
    <r>
      <rPr>
        <sz val="10.5"/>
        <color theme="1"/>
        <rFont val="宋体"/>
        <family val="3"/>
        <charset val="134"/>
      </rPr>
      <t>地块工业用地</t>
    </r>
  </si>
  <si>
    <t>平谷工业土地增值收益率小计</t>
  </si>
  <si>
    <t>米</t>
    <phoneticPr fontId="228" type="noConversion"/>
  </si>
  <si>
    <t>设备名称</t>
  </si>
  <si>
    <t>厂商</t>
  </si>
  <si>
    <t>型号</t>
  </si>
  <si>
    <t>现值（万元）</t>
  </si>
  <si>
    <t>车床</t>
  </si>
  <si>
    <t>沈阳一机厂</t>
  </si>
  <si>
    <t>CA6140/1500</t>
  </si>
  <si>
    <t>搖臂鑽</t>
  </si>
  <si>
    <r>
      <t>北京</t>
    </r>
    <r>
      <rPr>
        <sz val="14"/>
        <color theme="1"/>
        <rFont val="Arial"/>
        <family val="2"/>
      </rPr>
      <t xml:space="preserve"> </t>
    </r>
    <r>
      <rPr>
        <sz val="14"/>
        <color theme="1"/>
        <rFont val="宋体"/>
        <family val="3"/>
        <charset val="134"/>
      </rPr>
      <t>第三机床厂</t>
    </r>
  </si>
  <si>
    <t>Z3040</t>
  </si>
  <si>
    <t>搖臂鑽床</t>
  </si>
  <si>
    <t>/</t>
  </si>
  <si>
    <t>Z3050</t>
  </si>
  <si>
    <t>钻铣床</t>
  </si>
  <si>
    <t>江西重型机械厂</t>
  </si>
  <si>
    <t>Z832</t>
  </si>
  <si>
    <t>牛头刨床</t>
  </si>
  <si>
    <t>青岛建筑机械厂</t>
  </si>
  <si>
    <t>BC600</t>
  </si>
  <si>
    <t>摩擦锯</t>
  </si>
  <si>
    <t>丰台桥梁厂</t>
  </si>
  <si>
    <t>非标</t>
  </si>
  <si>
    <t>压力机</t>
  </si>
  <si>
    <t>马鞍山中捷锻压机床厂</t>
  </si>
  <si>
    <t>JB23-16</t>
  </si>
  <si>
    <t>等離子切割机</t>
  </si>
  <si>
    <t>北京电焊股份有限公司</t>
  </si>
  <si>
    <t>LE60E</t>
  </si>
  <si>
    <t>LE61E</t>
  </si>
  <si>
    <t>LE62E</t>
  </si>
  <si>
    <t>LG200E</t>
  </si>
  <si>
    <r>
      <t>CNC1260</t>
    </r>
    <r>
      <rPr>
        <sz val="14"/>
        <color theme="1"/>
        <rFont val="宋体"/>
        <family val="3"/>
        <charset val="134"/>
      </rPr>
      <t>电脑弹簧机</t>
    </r>
  </si>
  <si>
    <t>浙江金狮弹簧机厂</t>
  </si>
  <si>
    <t>CNC1260</t>
  </si>
  <si>
    <t>数控弯箍机</t>
  </si>
  <si>
    <t>刑台市鹏昊机械制造有限公司</t>
  </si>
  <si>
    <t>KT-2</t>
  </si>
  <si>
    <t>多功能数控弯箍机</t>
  </si>
  <si>
    <t>墩头机</t>
  </si>
  <si>
    <t>北京泰通机械在</t>
  </si>
  <si>
    <r>
      <t>76</t>
    </r>
    <r>
      <rPr>
        <sz val="14"/>
        <color theme="1"/>
        <rFont val="宋体"/>
        <family val="3"/>
        <charset val="134"/>
      </rPr>
      <t>型</t>
    </r>
  </si>
  <si>
    <t>空压机</t>
  </si>
  <si>
    <r>
      <t xml:space="preserve"> </t>
    </r>
    <r>
      <rPr>
        <sz val="14"/>
        <color theme="1"/>
        <rFont val="宋体"/>
        <family val="3"/>
        <charset val="134"/>
      </rPr>
      <t>北京小型压缩机厂</t>
    </r>
    <r>
      <rPr>
        <sz val="14"/>
        <color theme="1"/>
        <rFont val="Arial"/>
        <family val="2"/>
      </rPr>
      <t xml:space="preserve"> </t>
    </r>
  </si>
  <si>
    <t>W-1.2/10</t>
  </si>
  <si>
    <r>
      <t>弯曲机</t>
    </r>
    <r>
      <rPr>
        <sz val="14"/>
        <color theme="1"/>
        <rFont val="Arial"/>
        <family val="2"/>
      </rPr>
      <t>GW40</t>
    </r>
  </si>
  <si>
    <r>
      <t xml:space="preserve"> </t>
    </r>
    <r>
      <rPr>
        <sz val="14"/>
        <color theme="1"/>
        <rFont val="宋体"/>
        <family val="3"/>
        <charset val="134"/>
      </rPr>
      <t>北京京昌源茂机械公司</t>
    </r>
    <r>
      <rPr>
        <sz val="14"/>
        <color theme="1"/>
        <rFont val="Arial"/>
        <family val="2"/>
      </rPr>
      <t xml:space="preserve"> </t>
    </r>
  </si>
  <si>
    <t xml:space="preserve"> GW40 </t>
  </si>
  <si>
    <t>钢筋直切断机</t>
  </si>
  <si>
    <t>东北重型机械厂</t>
  </si>
  <si>
    <t>GT4/14</t>
  </si>
  <si>
    <r>
      <t xml:space="preserve"> </t>
    </r>
    <r>
      <rPr>
        <sz val="14"/>
        <color theme="1"/>
        <rFont val="宋体"/>
        <family val="3"/>
        <charset val="134"/>
      </rPr>
      <t>液压轨枕放张机</t>
    </r>
  </si>
  <si>
    <t>杭州雷思机电公司</t>
  </si>
  <si>
    <t>MP-60-E</t>
  </si>
  <si>
    <t>洗石设备</t>
  </si>
  <si>
    <t>路明兴</t>
  </si>
  <si>
    <t>秦皇岛燕山大学机械厂</t>
  </si>
  <si>
    <t>GT4/12</t>
  </si>
  <si>
    <t>搅拌楼设备</t>
  </si>
  <si>
    <t>济南建友</t>
  </si>
  <si>
    <t>卷簧机机头总成</t>
  </si>
  <si>
    <t>洛阳显恒数控机床有限公司</t>
  </si>
  <si>
    <t>TL201</t>
  </si>
  <si>
    <t>电葫芦</t>
  </si>
  <si>
    <t>北京起重设备厂</t>
  </si>
  <si>
    <t>CD1T×6M</t>
  </si>
  <si>
    <r>
      <t>柴油发电机</t>
    </r>
    <r>
      <rPr>
        <sz val="14"/>
        <color theme="1"/>
        <rFont val="Arial"/>
        <family val="2"/>
      </rPr>
      <t xml:space="preserve"> </t>
    </r>
  </si>
  <si>
    <t>8000W</t>
  </si>
  <si>
    <t>点焊机</t>
  </si>
  <si>
    <t>DN-25-1</t>
  </si>
  <si>
    <t>张拉控制柜</t>
  </si>
  <si>
    <t>株州科星</t>
  </si>
  <si>
    <t>ZLZC-1</t>
  </si>
  <si>
    <t>汽车衡</t>
  </si>
  <si>
    <t>北京市实达称重系统有限公司</t>
  </si>
  <si>
    <t>脱模机</t>
  </si>
  <si>
    <t>双梁门吊及铁轨</t>
  </si>
  <si>
    <t>郑州装卸机械厂</t>
  </si>
  <si>
    <t>10T×22</t>
  </si>
  <si>
    <t>双梁桥式起重机</t>
  </si>
  <si>
    <t>河南中原起重机厂</t>
  </si>
  <si>
    <t>QDA6 10T-16.5M</t>
  </si>
  <si>
    <t>单梁桥式起重机</t>
  </si>
  <si>
    <t>5T11m</t>
  </si>
  <si>
    <t>双主梁桁架门式起重机</t>
  </si>
  <si>
    <r>
      <t>河南</t>
    </r>
    <r>
      <rPr>
        <sz val="14"/>
        <color theme="1"/>
        <rFont val="Arial"/>
        <family val="2"/>
      </rPr>
      <t xml:space="preserve"> </t>
    </r>
    <r>
      <rPr>
        <sz val="14"/>
        <color theme="1"/>
        <rFont val="宋体"/>
        <family val="3"/>
        <charset val="134"/>
      </rPr>
      <t>宏远</t>
    </r>
  </si>
  <si>
    <t>10T</t>
  </si>
  <si>
    <t>葫芦门式起重机</t>
  </si>
  <si>
    <t>MH2T×4.7M</t>
  </si>
  <si>
    <t>简易龙门吊</t>
  </si>
  <si>
    <t>卷扬机</t>
  </si>
  <si>
    <t>北京房山</t>
  </si>
  <si>
    <t>JK1</t>
  </si>
  <si>
    <t>出渣皮带机</t>
  </si>
  <si>
    <t>码垛机</t>
  </si>
  <si>
    <t>吊盖扳机</t>
  </si>
  <si>
    <t>自动吊架</t>
  </si>
  <si>
    <t>油泵站设备</t>
  </si>
  <si>
    <t>蒸养自控系统</t>
  </si>
  <si>
    <t>KX-59010-1520</t>
  </si>
  <si>
    <t>筒仓除尘器</t>
  </si>
  <si>
    <t>河北当涂</t>
  </si>
  <si>
    <t>料顶仓除尘器</t>
  </si>
  <si>
    <t>河北巨英</t>
  </si>
  <si>
    <t>水泥仓</t>
  </si>
  <si>
    <t>SNC200#</t>
  </si>
  <si>
    <t>标准养护室全自动控温控湿设备</t>
  </si>
  <si>
    <t>北京路达恒信建筑机械仪器公司</t>
  </si>
  <si>
    <t>FHBS-40</t>
  </si>
  <si>
    <t>养护设备</t>
  </si>
  <si>
    <t>上海自动化九厂</t>
  </si>
  <si>
    <t>CJ-1</t>
  </si>
  <si>
    <t>养护设备改造</t>
  </si>
  <si>
    <t>自建</t>
  </si>
  <si>
    <t>养护控制系统（工控机）</t>
  </si>
  <si>
    <t>柳州市科星自动化研究所</t>
  </si>
  <si>
    <t>KX-G</t>
  </si>
  <si>
    <t>混凝土养护温度控制系统</t>
  </si>
  <si>
    <t>出水小车组</t>
  </si>
  <si>
    <t>出水灰渣斗</t>
  </si>
  <si>
    <t>摆式辊道</t>
  </si>
  <si>
    <t>其他动力设备</t>
  </si>
  <si>
    <r>
      <t>纵向轨道（</t>
    </r>
    <r>
      <rPr>
        <sz val="14"/>
        <color theme="1"/>
        <rFont val="Arial"/>
        <family val="2"/>
      </rPr>
      <t>9</t>
    </r>
    <r>
      <rPr>
        <sz val="14"/>
        <color theme="1"/>
        <rFont val="宋体"/>
        <family val="3"/>
        <charset val="134"/>
      </rPr>
      <t>号</t>
    </r>
  </si>
  <si>
    <r>
      <t>纵向轨道（</t>
    </r>
    <r>
      <rPr>
        <sz val="14"/>
        <color theme="1"/>
        <rFont val="Arial"/>
        <family val="2"/>
      </rPr>
      <t>10</t>
    </r>
    <r>
      <rPr>
        <sz val="14"/>
        <color theme="1"/>
        <rFont val="宋体"/>
        <family val="3"/>
        <charset val="134"/>
      </rPr>
      <t>号）</t>
    </r>
  </si>
  <si>
    <r>
      <t>纵向轨道（</t>
    </r>
    <r>
      <rPr>
        <sz val="14"/>
        <color theme="1"/>
        <rFont val="Arial"/>
        <family val="2"/>
      </rPr>
      <t>11</t>
    </r>
    <r>
      <rPr>
        <sz val="14"/>
        <color theme="1"/>
        <rFont val="宋体"/>
        <family val="3"/>
        <charset val="134"/>
      </rPr>
      <t>号设备</t>
    </r>
    <r>
      <rPr>
        <sz val="14"/>
        <color theme="1"/>
        <rFont val="Arial"/>
        <family val="2"/>
      </rPr>
      <t xml:space="preserve"> 2</t>
    </r>
    <r>
      <rPr>
        <sz val="14"/>
        <color theme="1"/>
        <rFont val="宋体"/>
        <family val="3"/>
        <charset val="134"/>
      </rPr>
      <t>组）</t>
    </r>
  </si>
  <si>
    <r>
      <t>纵向轨道（</t>
    </r>
    <r>
      <rPr>
        <sz val="14"/>
        <color theme="1"/>
        <rFont val="Arial"/>
        <family val="2"/>
      </rPr>
      <t>3</t>
    </r>
    <r>
      <rPr>
        <sz val="14"/>
        <color theme="1"/>
        <rFont val="宋体"/>
        <family val="3"/>
        <charset val="134"/>
      </rPr>
      <t>号）</t>
    </r>
  </si>
  <si>
    <r>
      <t>纵向轨道（</t>
    </r>
    <r>
      <rPr>
        <sz val="14"/>
        <color theme="1"/>
        <rFont val="Arial"/>
        <family val="2"/>
      </rPr>
      <t>2</t>
    </r>
    <r>
      <rPr>
        <sz val="14"/>
        <color theme="1"/>
        <rFont val="宋体"/>
        <family val="3"/>
        <charset val="134"/>
      </rPr>
      <t>号设备</t>
    </r>
    <r>
      <rPr>
        <sz val="14"/>
        <color theme="1"/>
        <rFont val="Arial"/>
        <family val="2"/>
      </rPr>
      <t>1</t>
    </r>
    <r>
      <rPr>
        <sz val="14"/>
        <color theme="1"/>
        <rFont val="宋体"/>
        <family val="3"/>
        <charset val="134"/>
      </rPr>
      <t>组）</t>
    </r>
  </si>
  <si>
    <r>
      <t>纵向轨道（</t>
    </r>
    <r>
      <rPr>
        <sz val="14"/>
        <color theme="1"/>
        <rFont val="Arial"/>
        <family val="2"/>
      </rPr>
      <t>4</t>
    </r>
    <r>
      <rPr>
        <sz val="14"/>
        <color theme="1"/>
        <rFont val="宋体"/>
        <family val="3"/>
        <charset val="134"/>
      </rPr>
      <t>号设备）</t>
    </r>
  </si>
  <si>
    <t>拉丝横移辊道</t>
  </si>
  <si>
    <t>成品输送辊道</t>
  </si>
  <si>
    <t>弹性辊道</t>
  </si>
  <si>
    <t>弹性辊道（脱轨）</t>
  </si>
  <si>
    <r>
      <t>纵向辊道（</t>
    </r>
    <r>
      <rPr>
        <sz val="14"/>
        <color theme="1"/>
        <rFont val="Arial"/>
        <family val="2"/>
      </rPr>
      <t>5</t>
    </r>
    <r>
      <rPr>
        <sz val="14"/>
        <color theme="1"/>
        <rFont val="宋体"/>
        <family val="3"/>
        <charset val="134"/>
      </rPr>
      <t>号）</t>
    </r>
  </si>
  <si>
    <r>
      <t>纵向辊道（</t>
    </r>
    <r>
      <rPr>
        <sz val="14"/>
        <color theme="1"/>
        <rFont val="Arial"/>
        <family val="2"/>
      </rPr>
      <t>6</t>
    </r>
    <r>
      <rPr>
        <sz val="14"/>
        <color theme="1"/>
        <rFont val="宋体"/>
        <family val="3"/>
        <charset val="134"/>
      </rPr>
      <t>号）</t>
    </r>
    <r>
      <rPr>
        <sz val="14"/>
        <color theme="1"/>
        <rFont val="Arial"/>
        <family val="2"/>
      </rPr>
      <t>1</t>
    </r>
    <r>
      <rPr>
        <sz val="14"/>
        <color theme="1"/>
        <rFont val="宋体"/>
        <family val="3"/>
        <charset val="134"/>
      </rPr>
      <t>组</t>
    </r>
  </si>
  <si>
    <r>
      <t>纵向辊道（</t>
    </r>
    <r>
      <rPr>
        <sz val="14"/>
        <color theme="1"/>
        <rFont val="Arial"/>
        <family val="2"/>
      </rPr>
      <t>7</t>
    </r>
    <r>
      <rPr>
        <sz val="14"/>
        <color theme="1"/>
        <rFont val="宋体"/>
        <family val="3"/>
        <charset val="134"/>
      </rPr>
      <t>号）</t>
    </r>
    <r>
      <rPr>
        <sz val="14"/>
        <color theme="1"/>
        <rFont val="Arial"/>
        <family val="2"/>
      </rPr>
      <t>2</t>
    </r>
    <r>
      <rPr>
        <sz val="14"/>
        <color theme="1"/>
        <rFont val="宋体"/>
        <family val="3"/>
        <charset val="134"/>
      </rPr>
      <t>组</t>
    </r>
  </si>
  <si>
    <t>纵向辊道</t>
  </si>
  <si>
    <t>震动台</t>
  </si>
  <si>
    <t>深入式搅拌机</t>
  </si>
  <si>
    <t>江阴市新桥石化机械厂</t>
  </si>
  <si>
    <t>LY-0.75</t>
  </si>
  <si>
    <t>立式搅拌机</t>
  </si>
  <si>
    <t>电器设备</t>
  </si>
  <si>
    <t>北京第二开关厂</t>
  </si>
  <si>
    <t>PGL2</t>
  </si>
  <si>
    <t>数显扭曲测量仪</t>
  </si>
  <si>
    <t>河北献县领航轨枕检验仪器厂</t>
  </si>
  <si>
    <t>HNQ</t>
  </si>
  <si>
    <t>含汽量测定仪直读式</t>
  </si>
  <si>
    <t>无锡建业</t>
  </si>
  <si>
    <r>
      <t>0.17</t>
    </r>
    <r>
      <rPr>
        <sz val="14"/>
        <color theme="1"/>
        <rFont val="宋体"/>
        <family val="3"/>
        <charset val="134"/>
      </rPr>
      <t>升</t>
    </r>
  </si>
  <si>
    <t>校准平台</t>
  </si>
  <si>
    <t>HPT200*1800mm</t>
  </si>
  <si>
    <r>
      <t>恒温水槽</t>
    </r>
    <r>
      <rPr>
        <sz val="14"/>
        <color theme="1"/>
        <rFont val="Arial"/>
        <family val="2"/>
      </rPr>
      <t>250×200×150mm</t>
    </r>
  </si>
  <si>
    <t>上海越平</t>
  </si>
  <si>
    <t>DC-3006</t>
  </si>
  <si>
    <t>测力仪</t>
  </si>
  <si>
    <t>天水红山试验机有限公司</t>
  </si>
  <si>
    <t>HS-500KN</t>
  </si>
  <si>
    <r>
      <t>无线电测量仪器</t>
    </r>
    <r>
      <rPr>
        <sz val="14"/>
        <color theme="1"/>
        <rFont val="Arial"/>
        <family val="2"/>
      </rPr>
      <t>-</t>
    </r>
    <r>
      <rPr>
        <sz val="14"/>
        <color theme="1"/>
        <rFont val="宋体"/>
        <family val="3"/>
        <charset val="134"/>
      </rPr>
      <t>侧力传感器</t>
    </r>
  </si>
  <si>
    <t>100KN</t>
  </si>
  <si>
    <r>
      <t>电子分析天平</t>
    </r>
    <r>
      <rPr>
        <sz val="14"/>
        <color theme="1"/>
        <rFont val="Arial"/>
        <family val="2"/>
      </rPr>
      <t xml:space="preserve"> </t>
    </r>
    <r>
      <rPr>
        <sz val="14"/>
        <color theme="1"/>
        <rFont val="宋体"/>
        <family val="3"/>
        <charset val="134"/>
      </rPr>
      <t>精度</t>
    </r>
    <r>
      <rPr>
        <sz val="14"/>
        <color theme="1"/>
        <rFont val="Arial"/>
        <family val="2"/>
      </rPr>
      <t>0.1m</t>
    </r>
  </si>
  <si>
    <t>上海佑科</t>
  </si>
  <si>
    <r>
      <t>称量</t>
    </r>
    <r>
      <rPr>
        <sz val="14"/>
        <color theme="1"/>
        <rFont val="Arial"/>
        <family val="2"/>
      </rPr>
      <t>200</t>
    </r>
  </si>
  <si>
    <t>天平</t>
  </si>
  <si>
    <t>常熟市双杰测试仪器厂</t>
  </si>
  <si>
    <r>
      <t>200kg</t>
    </r>
    <r>
      <rPr>
        <sz val="14"/>
        <color theme="1"/>
        <rFont val="宋体"/>
        <family val="3"/>
        <charset val="134"/>
      </rPr>
      <t>感量</t>
    </r>
    <r>
      <rPr>
        <sz val="14"/>
        <color theme="1"/>
        <rFont val="Arial"/>
        <family val="2"/>
      </rPr>
      <t>0.1m</t>
    </r>
  </si>
  <si>
    <t>火焰光度计</t>
  </si>
  <si>
    <t>上海仪电分析</t>
  </si>
  <si>
    <t>6400A</t>
  </si>
  <si>
    <t>钢筋弯折实验机</t>
  </si>
  <si>
    <t>宁夏青山实验机厂</t>
  </si>
  <si>
    <t>WJJ-10C</t>
  </si>
  <si>
    <t>压力式实验机</t>
  </si>
  <si>
    <t>济南实验机厂</t>
  </si>
  <si>
    <t>2000KN</t>
  </si>
  <si>
    <t>万能实验机</t>
  </si>
  <si>
    <t>WAW-300B</t>
  </si>
  <si>
    <t>压力实验机</t>
  </si>
  <si>
    <t>北京东侧实验仪器厂</t>
  </si>
  <si>
    <t>YAW-3000</t>
  </si>
  <si>
    <t>北京路业科宇实验仪器有限公司</t>
  </si>
  <si>
    <t>DYE300B</t>
  </si>
  <si>
    <t>静载实验机</t>
  </si>
  <si>
    <t>天水试验厂</t>
  </si>
  <si>
    <t>500KN</t>
  </si>
  <si>
    <r>
      <t>静载实验机</t>
    </r>
    <r>
      <rPr>
        <sz val="14"/>
        <color theme="1"/>
        <rFont val="Arial"/>
        <family val="2"/>
      </rPr>
      <t>-</t>
    </r>
    <r>
      <rPr>
        <sz val="14"/>
        <color theme="1"/>
        <rFont val="宋体"/>
        <family val="3"/>
        <charset val="134"/>
      </rPr>
      <t>增冷却机</t>
    </r>
  </si>
  <si>
    <t>试验用搅拌机</t>
  </si>
  <si>
    <t>天津市路达建筑仪器</t>
  </si>
  <si>
    <t>HJW-60</t>
  </si>
  <si>
    <t>水泥静桨搅拌机</t>
  </si>
  <si>
    <r>
      <t>无锡建筑材料仪器</t>
    </r>
    <r>
      <rPr>
        <sz val="14"/>
        <color theme="1"/>
        <rFont val="Arial"/>
        <family val="2"/>
      </rPr>
      <t xml:space="preserve"> </t>
    </r>
    <r>
      <rPr>
        <sz val="14"/>
        <color theme="1"/>
        <rFont val="宋体"/>
        <family val="3"/>
        <charset val="134"/>
      </rPr>
      <t>机械厂</t>
    </r>
  </si>
  <si>
    <t>NJ-160A</t>
  </si>
  <si>
    <t>水泥胶砂搅拌机</t>
  </si>
  <si>
    <t>JJ-5</t>
  </si>
  <si>
    <t>水泥胶砂振动机</t>
  </si>
  <si>
    <t>沈阳北方测试仪器厂</t>
  </si>
  <si>
    <r>
      <t>JZT-85A</t>
    </r>
    <r>
      <rPr>
        <sz val="14"/>
        <color theme="1"/>
        <rFont val="宋体"/>
        <family val="3"/>
        <charset val="134"/>
      </rPr>
      <t>型</t>
    </r>
  </si>
  <si>
    <t>混凝土搅拌机强制式单卧轴</t>
  </si>
  <si>
    <t>废水治理设备</t>
  </si>
  <si>
    <t>北京风雨龙环保节能科技有限公司</t>
  </si>
  <si>
    <t>LS-15T</t>
  </si>
  <si>
    <t>污水治理设备</t>
  </si>
  <si>
    <t>北京远景胜达环保科技有限公司</t>
  </si>
  <si>
    <r>
      <t>车间粉尘治理除尘器</t>
    </r>
    <r>
      <rPr>
        <sz val="14"/>
        <color theme="1"/>
        <rFont val="Arial"/>
        <family val="2"/>
      </rPr>
      <t>2</t>
    </r>
    <r>
      <rPr>
        <sz val="14"/>
        <color theme="1"/>
        <rFont val="宋体"/>
        <family val="3"/>
        <charset val="134"/>
      </rPr>
      <t>套</t>
    </r>
  </si>
  <si>
    <t>北京市鄱藍环保设备厂</t>
  </si>
  <si>
    <t>组合</t>
  </si>
  <si>
    <r>
      <t>环保治理设备</t>
    </r>
    <r>
      <rPr>
        <sz val="14"/>
        <color theme="1"/>
        <rFont val="Arial"/>
        <family val="2"/>
      </rPr>
      <t>-</t>
    </r>
    <r>
      <rPr>
        <sz val="14"/>
        <color theme="1"/>
        <rFont val="宋体"/>
        <family val="3"/>
        <charset val="134"/>
      </rPr>
      <t>焊接除尘器</t>
    </r>
    <r>
      <rPr>
        <sz val="14"/>
        <color theme="1"/>
        <rFont val="Arial"/>
        <family val="2"/>
      </rPr>
      <t>1</t>
    </r>
    <r>
      <rPr>
        <sz val="14"/>
        <color theme="1"/>
        <rFont val="宋体"/>
        <family val="3"/>
        <charset val="134"/>
      </rPr>
      <t>套</t>
    </r>
  </si>
  <si>
    <t>北京远景康达体育传媒有限公司</t>
  </si>
  <si>
    <t>燃气锅炉</t>
  </si>
  <si>
    <t>安阳方块锅炉有限公司</t>
  </si>
  <si>
    <t>WN/1.0</t>
  </si>
  <si>
    <t>WNS2-1.25YQ</t>
  </si>
  <si>
    <t>组合式箱式变电站</t>
  </si>
  <si>
    <t>北京东方中电</t>
  </si>
  <si>
    <t>ZXB-II</t>
  </si>
  <si>
    <r>
      <t>下灰车</t>
    </r>
    <r>
      <rPr>
        <sz val="14"/>
        <color theme="1"/>
        <rFont val="Arial"/>
        <family val="2"/>
      </rPr>
      <t>(</t>
    </r>
    <r>
      <rPr>
        <sz val="14"/>
        <color theme="1"/>
        <rFont val="宋体"/>
        <family val="3"/>
        <charset val="134"/>
      </rPr>
      <t>下料机</t>
    </r>
    <r>
      <rPr>
        <sz val="14"/>
        <color theme="1"/>
        <rFont val="Arial"/>
        <family val="2"/>
      </rPr>
      <t>)</t>
    </r>
  </si>
  <si>
    <t>山东曲阜巨力铁路机械厂</t>
  </si>
  <si>
    <t>减水剂设备</t>
  </si>
  <si>
    <t>储水箱</t>
  </si>
  <si>
    <t>巨力铁路</t>
  </si>
  <si>
    <t>单相自吸水泵</t>
  </si>
  <si>
    <r>
      <t xml:space="preserve"> </t>
    </r>
    <r>
      <rPr>
        <sz val="14"/>
        <color theme="1"/>
        <rFont val="宋体"/>
        <family val="3"/>
        <charset val="134"/>
      </rPr>
      <t>上海钱福电器</t>
    </r>
    <r>
      <rPr>
        <sz val="14"/>
        <color theme="1"/>
        <rFont val="Arial"/>
        <family val="2"/>
      </rPr>
      <t xml:space="preserve"> </t>
    </r>
  </si>
  <si>
    <t>耐腐蚀自吸泵</t>
  </si>
  <si>
    <r>
      <t xml:space="preserve"> </t>
    </r>
    <r>
      <rPr>
        <sz val="14"/>
        <color theme="1"/>
        <rFont val="宋体"/>
        <family val="3"/>
        <charset val="134"/>
      </rPr>
      <t>宜兴宙斯泵业</t>
    </r>
    <r>
      <rPr>
        <sz val="14"/>
        <color theme="1"/>
        <rFont val="Arial"/>
        <family val="2"/>
      </rPr>
      <t xml:space="preserve"> </t>
    </r>
  </si>
  <si>
    <t>32FSZ-K-11</t>
  </si>
  <si>
    <t>吊件机</t>
  </si>
  <si>
    <t>自赁</t>
  </si>
  <si>
    <t>工作台</t>
  </si>
  <si>
    <r>
      <t>13</t>
    </r>
    <r>
      <rPr>
        <sz val="14"/>
        <color theme="1"/>
        <rFont val="宋体"/>
        <family val="3"/>
        <charset val="134"/>
      </rPr>
      <t>米</t>
    </r>
  </si>
  <si>
    <t>液压翻模机</t>
  </si>
  <si>
    <t>料斗</t>
  </si>
  <si>
    <t>焊机</t>
  </si>
  <si>
    <t>北京东升电焊机厂</t>
  </si>
  <si>
    <t>BX1-500-5F</t>
  </si>
  <si>
    <t>螺旋千斤顶</t>
  </si>
  <si>
    <t>上海沪南千斤顶制造</t>
  </si>
  <si>
    <r>
      <t>450</t>
    </r>
    <r>
      <rPr>
        <sz val="14"/>
        <color theme="1"/>
        <rFont val="宋体"/>
        <family val="3"/>
        <charset val="134"/>
      </rPr>
      <t>千克</t>
    </r>
  </si>
  <si>
    <t>注油泵</t>
  </si>
  <si>
    <t>手提电焊机</t>
  </si>
  <si>
    <r>
      <t xml:space="preserve"> </t>
    </r>
    <r>
      <rPr>
        <sz val="14"/>
        <color theme="1"/>
        <rFont val="宋体"/>
        <family val="3"/>
        <charset val="134"/>
      </rPr>
      <t>胶莱焊机厂</t>
    </r>
    <r>
      <rPr>
        <sz val="14"/>
        <color theme="1"/>
        <rFont val="Arial"/>
        <family val="2"/>
      </rPr>
      <t xml:space="preserve"> </t>
    </r>
  </si>
  <si>
    <t>SW-4-01</t>
  </si>
  <si>
    <t>沙轮机</t>
  </si>
  <si>
    <t>200×20×32</t>
  </si>
  <si>
    <t>台式钻床</t>
  </si>
  <si>
    <t>Z4112A</t>
  </si>
  <si>
    <r>
      <t xml:space="preserve"> </t>
    </r>
    <r>
      <rPr>
        <sz val="14"/>
        <color theme="1"/>
        <rFont val="宋体"/>
        <family val="3"/>
        <charset val="134"/>
      </rPr>
      <t>杭州双龙机械厂</t>
    </r>
    <r>
      <rPr>
        <sz val="14"/>
        <color theme="1"/>
        <rFont val="Arial"/>
        <family val="2"/>
      </rPr>
      <t xml:space="preserve"> </t>
    </r>
  </si>
  <si>
    <t>Z4116</t>
  </si>
  <si>
    <t>台钳</t>
  </si>
  <si>
    <t>AK-6429</t>
  </si>
  <si>
    <t>电动油泵</t>
  </si>
  <si>
    <t>ZBZX2/49(500)</t>
  </si>
  <si>
    <t>发泡茶炉</t>
  </si>
  <si>
    <t>山东兴都商用厨具厂</t>
  </si>
  <si>
    <t>DZK285</t>
  </si>
  <si>
    <t>焊烟净化器</t>
  </si>
  <si>
    <t>锚杆拉拨仪</t>
  </si>
  <si>
    <t>北京海创高科</t>
  </si>
  <si>
    <r>
      <t>传感器</t>
    </r>
    <r>
      <rPr>
        <sz val="14"/>
        <color theme="1"/>
        <rFont val="Arial"/>
        <family val="2"/>
      </rPr>
      <t xml:space="preserve"> </t>
    </r>
  </si>
  <si>
    <t>深圳佳土科技</t>
  </si>
  <si>
    <t>NB315F</t>
  </si>
  <si>
    <t>多功能电焊机</t>
  </si>
  <si>
    <t>北京电焊机厂</t>
  </si>
  <si>
    <t>WSE315</t>
  </si>
  <si>
    <t>卧式搅拌机</t>
  </si>
  <si>
    <r>
      <t>1.5</t>
    </r>
    <r>
      <rPr>
        <vertAlign val="superscript"/>
        <sz val="14"/>
        <color theme="1"/>
        <rFont val="Arial"/>
        <family val="2"/>
      </rPr>
      <t>m</t>
    </r>
  </si>
  <si>
    <t>热水电炉</t>
  </si>
  <si>
    <t>JK-12K</t>
  </si>
  <si>
    <t>混凝土切割机</t>
  </si>
  <si>
    <t>河南长葛市震阳机械</t>
  </si>
  <si>
    <t>HLQ12-27</t>
  </si>
  <si>
    <t>型材切割棚</t>
  </si>
  <si>
    <t>北京多宾城建筑机械厂</t>
  </si>
  <si>
    <t>400A</t>
  </si>
  <si>
    <t>调直机</t>
  </si>
  <si>
    <t>电焊机</t>
  </si>
  <si>
    <r>
      <t>T</t>
    </r>
    <r>
      <rPr>
        <sz val="14"/>
        <color theme="1"/>
        <rFont val="宋体"/>
        <family val="3"/>
        <charset val="134"/>
      </rPr>
      <t>北京电焊机厂</t>
    </r>
  </si>
  <si>
    <t>LQ60E</t>
  </si>
  <si>
    <t>磨板除锈机</t>
  </si>
  <si>
    <t>河南黄河旅风机械厂</t>
  </si>
  <si>
    <t>5.5-Y132-S-2</t>
  </si>
  <si>
    <t>沙轮锯</t>
  </si>
  <si>
    <t>组合变电站</t>
  </si>
  <si>
    <r>
      <t>国电久胜</t>
    </r>
    <r>
      <rPr>
        <sz val="14"/>
        <color theme="1"/>
        <rFont val="Arial"/>
        <family val="2"/>
      </rPr>
      <t>(</t>
    </r>
    <r>
      <rPr>
        <sz val="14"/>
        <color theme="1"/>
        <rFont val="宋体"/>
        <family val="3"/>
        <charset val="134"/>
      </rPr>
      <t>北京</t>
    </r>
    <r>
      <rPr>
        <sz val="14"/>
        <color theme="1"/>
        <rFont val="Arial"/>
        <family val="2"/>
      </rPr>
      <t>)</t>
    </r>
    <r>
      <rPr>
        <sz val="14"/>
        <color theme="1"/>
        <rFont val="宋体"/>
        <family val="3"/>
        <charset val="134"/>
      </rPr>
      <t>电气设备厂</t>
    </r>
  </si>
  <si>
    <r>
      <t>2×B</t>
    </r>
    <r>
      <rPr>
        <sz val="14"/>
        <color theme="1"/>
        <rFont val="宋体"/>
        <family val="3"/>
        <charset val="134"/>
      </rPr>
      <t>Ⅱ</t>
    </r>
  </si>
  <si>
    <r>
      <t>3</t>
    </r>
    <r>
      <rPr>
        <sz val="14"/>
        <color theme="1"/>
        <rFont val="宋体"/>
        <family val="3"/>
        <charset val="134"/>
      </rPr>
      <t>吨</t>
    </r>
    <r>
      <rPr>
        <sz val="14"/>
        <color theme="1"/>
        <rFont val="Arial"/>
        <family val="2"/>
      </rPr>
      <t>(7</t>
    </r>
    <r>
      <rPr>
        <sz val="14"/>
        <color theme="1"/>
        <rFont val="宋体"/>
        <family val="3"/>
        <charset val="134"/>
      </rPr>
      <t>米</t>
    </r>
    <r>
      <rPr>
        <sz val="14"/>
        <color theme="1"/>
        <rFont val="Arial"/>
        <family val="2"/>
      </rPr>
      <t>)</t>
    </r>
  </si>
  <si>
    <r>
      <t>1</t>
    </r>
    <r>
      <rPr>
        <sz val="14"/>
        <color theme="1"/>
        <rFont val="宋体"/>
        <family val="3"/>
        <charset val="134"/>
      </rPr>
      <t>吨</t>
    </r>
    <r>
      <rPr>
        <sz val="14"/>
        <color theme="1"/>
        <rFont val="Arial"/>
        <family val="2"/>
      </rPr>
      <t>(5</t>
    </r>
    <r>
      <rPr>
        <sz val="14"/>
        <color theme="1"/>
        <rFont val="宋体"/>
        <family val="3"/>
        <charset val="134"/>
      </rPr>
      <t>米</t>
    </r>
    <r>
      <rPr>
        <sz val="14"/>
        <color theme="1"/>
        <rFont val="Arial"/>
        <family val="2"/>
      </rPr>
      <t>)</t>
    </r>
  </si>
  <si>
    <t>超声波加湿器</t>
  </si>
  <si>
    <t>水泥胶沙流动度测试仪</t>
  </si>
  <si>
    <t>NLD-3</t>
  </si>
  <si>
    <t>水泥稠度凝结测定仪</t>
  </si>
  <si>
    <t>上海路达实验仪器厂</t>
  </si>
  <si>
    <t>自动比表表面积测定仪</t>
  </si>
  <si>
    <t>上海越平科学仪器厂</t>
  </si>
  <si>
    <r>
      <t>FBF9</t>
    </r>
    <r>
      <rPr>
        <sz val="14"/>
        <color theme="1"/>
        <rFont val="宋体"/>
        <family val="3"/>
        <charset val="134"/>
      </rPr>
      <t>型</t>
    </r>
  </si>
  <si>
    <t>低温恒温箱</t>
  </si>
  <si>
    <t>常熟双杰科学仪器厂</t>
  </si>
  <si>
    <t>电子天平</t>
  </si>
  <si>
    <r>
      <t>JJ1000</t>
    </r>
    <r>
      <rPr>
        <sz val="14"/>
        <color theme="1"/>
        <rFont val="宋体"/>
        <family val="3"/>
        <charset val="134"/>
      </rPr>
      <t>型</t>
    </r>
  </si>
  <si>
    <t>沈阳龙腾电子公司</t>
  </si>
  <si>
    <t>LD210-2</t>
  </si>
  <si>
    <t>压缩机</t>
  </si>
  <si>
    <t>泉州华达</t>
  </si>
  <si>
    <t>JB0.14-8</t>
  </si>
  <si>
    <t>电热鼓风干燥箱</t>
  </si>
  <si>
    <t>上海树立仪器厂</t>
  </si>
  <si>
    <t>FX101-1</t>
  </si>
  <si>
    <t>高温炉</t>
  </si>
  <si>
    <t>北京中兴伟业</t>
  </si>
  <si>
    <t>300×200×120SX-4-10</t>
  </si>
  <si>
    <t>上海良平</t>
  </si>
  <si>
    <t>JY1001</t>
  </si>
  <si>
    <r>
      <t>JJ100</t>
    </r>
    <r>
      <rPr>
        <sz val="14"/>
        <color theme="1"/>
        <rFont val="宋体"/>
        <family val="3"/>
        <charset val="134"/>
      </rPr>
      <t>型</t>
    </r>
  </si>
  <si>
    <t>DSJ-5</t>
  </si>
  <si>
    <t>G@G</t>
  </si>
  <si>
    <t>TC10K-H</t>
  </si>
  <si>
    <t>数显恒温鼓风干燥箱</t>
  </si>
  <si>
    <t>北京路达恒信建筑仪器厂</t>
  </si>
  <si>
    <r>
      <t>101-3</t>
    </r>
    <r>
      <rPr>
        <sz val="14"/>
        <color theme="1"/>
        <rFont val="宋体"/>
        <family val="3"/>
        <charset val="134"/>
      </rPr>
      <t>型</t>
    </r>
  </si>
  <si>
    <t>混凝土搅拌合物含量测定仪</t>
  </si>
  <si>
    <t>无锡建筑仪器设备</t>
  </si>
  <si>
    <t>HC-7S</t>
  </si>
  <si>
    <t>震击式标准振筛机</t>
  </si>
  <si>
    <t>浙江上虞</t>
  </si>
  <si>
    <r>
      <t>ZBSX-92A</t>
    </r>
    <r>
      <rPr>
        <sz val="14"/>
        <color theme="1"/>
        <rFont val="宋体"/>
        <family val="3"/>
        <charset val="134"/>
      </rPr>
      <t>型</t>
    </r>
  </si>
  <si>
    <t>未包含项</t>
    <phoneticPr fontId="228" type="noConversion"/>
  </si>
  <si>
    <t>轨枕</t>
    <phoneticPr fontId="228" type="noConversion"/>
  </si>
  <si>
    <t>地下管线</t>
    <phoneticPr fontId="228" type="noConversion"/>
  </si>
  <si>
    <t>热力</t>
    <phoneticPr fontId="228" type="noConversion"/>
  </si>
  <si>
    <t>消防</t>
    <phoneticPr fontId="228" type="noConversion"/>
  </si>
  <si>
    <r>
      <t>630KVA</t>
    </r>
    <r>
      <rPr>
        <sz val="8"/>
        <color rgb="FFFF0000"/>
        <rFont val="宋体"/>
        <family val="3"/>
        <charset val="134"/>
      </rPr>
      <t>箱变工程</t>
    </r>
    <phoneticPr fontId="228" type="noConversion"/>
  </si>
  <si>
    <t>放张机</t>
    <phoneticPr fontId="228" type="noConversion"/>
  </si>
  <si>
    <t>废水处理</t>
    <phoneticPr fontId="228" type="noConversion"/>
  </si>
  <si>
    <t>钢筋制切记</t>
    <phoneticPr fontId="228" type="noConversion"/>
  </si>
  <si>
    <t>总计</t>
    <phoneticPr fontId="228" type="noConversion"/>
  </si>
  <si>
    <t>评估价格（万元）</t>
  </si>
  <si>
    <t>土地使用权价格</t>
  </si>
  <si>
    <t>采用成本逼近法和剩余（增值收益扣减）法评估测算</t>
  </si>
  <si>
    <t>建筑物价格</t>
  </si>
  <si>
    <t>采用重置成本法测算</t>
  </si>
  <si>
    <t>无法恢复使用的设施设备补偿价</t>
  </si>
  <si>
    <t>土地收购补偿价格</t>
  </si>
  <si>
    <r>
      <t>北京</t>
    </r>
    <r>
      <rPr>
        <sz val="8"/>
        <color theme="1"/>
        <rFont val="Arial"/>
        <family val="2"/>
      </rPr>
      <t xml:space="preserve"> </t>
    </r>
    <r>
      <rPr>
        <sz val="8"/>
        <color theme="1"/>
        <rFont val="宋体"/>
        <family val="3"/>
        <charset val="134"/>
      </rPr>
      <t>第三机床厂</t>
    </r>
  </si>
  <si>
    <r>
      <t>CNC1260</t>
    </r>
    <r>
      <rPr>
        <sz val="8"/>
        <color theme="1"/>
        <rFont val="宋体"/>
        <family val="3"/>
        <charset val="134"/>
      </rPr>
      <t>电脑弹簧机</t>
    </r>
  </si>
  <si>
    <r>
      <t>76</t>
    </r>
    <r>
      <rPr>
        <sz val="8"/>
        <color theme="1"/>
        <rFont val="宋体"/>
        <family val="3"/>
        <charset val="134"/>
      </rPr>
      <t>型</t>
    </r>
  </si>
  <si>
    <r>
      <t xml:space="preserve"> </t>
    </r>
    <r>
      <rPr>
        <sz val="8"/>
        <color theme="1"/>
        <rFont val="宋体"/>
        <family val="3"/>
        <charset val="134"/>
      </rPr>
      <t>北京小型压缩机厂</t>
    </r>
    <r>
      <rPr>
        <sz val="8"/>
        <color theme="1"/>
        <rFont val="Arial"/>
        <family val="2"/>
      </rPr>
      <t xml:space="preserve"> </t>
    </r>
  </si>
  <si>
    <r>
      <t>弯曲机</t>
    </r>
    <r>
      <rPr>
        <sz val="8"/>
        <color theme="1"/>
        <rFont val="Arial"/>
        <family val="2"/>
      </rPr>
      <t>GW40</t>
    </r>
  </si>
  <si>
    <r>
      <t xml:space="preserve"> </t>
    </r>
    <r>
      <rPr>
        <sz val="8"/>
        <color theme="1"/>
        <rFont val="宋体"/>
        <family val="3"/>
        <charset val="134"/>
      </rPr>
      <t>北京京昌源茂机械公司</t>
    </r>
    <r>
      <rPr>
        <sz val="8"/>
        <color theme="1"/>
        <rFont val="Arial"/>
        <family val="2"/>
      </rPr>
      <t xml:space="preserve"> </t>
    </r>
  </si>
  <si>
    <r>
      <t xml:space="preserve"> </t>
    </r>
    <r>
      <rPr>
        <sz val="8"/>
        <color theme="1"/>
        <rFont val="宋体"/>
        <family val="3"/>
        <charset val="134"/>
      </rPr>
      <t>液压轨枕放张机</t>
    </r>
  </si>
  <si>
    <r>
      <t>柴油发电机</t>
    </r>
    <r>
      <rPr>
        <sz val="8"/>
        <color theme="1"/>
        <rFont val="Arial"/>
        <family val="2"/>
      </rPr>
      <t xml:space="preserve"> </t>
    </r>
  </si>
  <si>
    <r>
      <t>河南</t>
    </r>
    <r>
      <rPr>
        <sz val="8"/>
        <color theme="1"/>
        <rFont val="Arial"/>
        <family val="2"/>
      </rPr>
      <t xml:space="preserve"> </t>
    </r>
    <r>
      <rPr>
        <sz val="8"/>
        <color theme="1"/>
        <rFont val="宋体"/>
        <family val="3"/>
        <charset val="134"/>
      </rPr>
      <t>宏远</t>
    </r>
  </si>
  <si>
    <r>
      <t>纵向轨道（</t>
    </r>
    <r>
      <rPr>
        <sz val="8"/>
        <color theme="1"/>
        <rFont val="Arial"/>
        <family val="2"/>
      </rPr>
      <t>9</t>
    </r>
    <r>
      <rPr>
        <sz val="8"/>
        <color theme="1"/>
        <rFont val="宋体"/>
        <family val="3"/>
        <charset val="134"/>
      </rPr>
      <t>号</t>
    </r>
  </si>
  <si>
    <r>
      <t>纵向轨道（</t>
    </r>
    <r>
      <rPr>
        <sz val="8"/>
        <color theme="1"/>
        <rFont val="Arial"/>
        <family val="2"/>
      </rPr>
      <t>10</t>
    </r>
    <r>
      <rPr>
        <sz val="8"/>
        <color theme="1"/>
        <rFont val="宋体"/>
        <family val="3"/>
        <charset val="134"/>
      </rPr>
      <t>号）</t>
    </r>
  </si>
  <si>
    <r>
      <t>纵向轨道（</t>
    </r>
    <r>
      <rPr>
        <sz val="8"/>
        <color theme="1"/>
        <rFont val="Arial"/>
        <family val="2"/>
      </rPr>
      <t>11</t>
    </r>
    <r>
      <rPr>
        <sz val="8"/>
        <color theme="1"/>
        <rFont val="宋体"/>
        <family val="3"/>
        <charset val="134"/>
      </rPr>
      <t>号设备</t>
    </r>
    <r>
      <rPr>
        <sz val="8"/>
        <color theme="1"/>
        <rFont val="Arial"/>
        <family val="2"/>
      </rPr>
      <t xml:space="preserve"> 2</t>
    </r>
    <r>
      <rPr>
        <sz val="8"/>
        <color theme="1"/>
        <rFont val="宋体"/>
        <family val="3"/>
        <charset val="134"/>
      </rPr>
      <t>组）</t>
    </r>
  </si>
  <si>
    <r>
      <t>纵向轨道（</t>
    </r>
    <r>
      <rPr>
        <sz val="8"/>
        <color theme="1"/>
        <rFont val="Arial"/>
        <family val="2"/>
      </rPr>
      <t>3</t>
    </r>
    <r>
      <rPr>
        <sz val="8"/>
        <color theme="1"/>
        <rFont val="宋体"/>
        <family val="3"/>
        <charset val="134"/>
      </rPr>
      <t>号）</t>
    </r>
  </si>
  <si>
    <r>
      <t>纵向轨道（</t>
    </r>
    <r>
      <rPr>
        <sz val="8"/>
        <color theme="1"/>
        <rFont val="Arial"/>
        <family val="2"/>
      </rPr>
      <t>2</t>
    </r>
    <r>
      <rPr>
        <sz val="8"/>
        <color theme="1"/>
        <rFont val="宋体"/>
        <family val="3"/>
        <charset val="134"/>
      </rPr>
      <t>号设备</t>
    </r>
    <r>
      <rPr>
        <sz val="8"/>
        <color theme="1"/>
        <rFont val="Arial"/>
        <family val="2"/>
      </rPr>
      <t>1</t>
    </r>
    <r>
      <rPr>
        <sz val="8"/>
        <color theme="1"/>
        <rFont val="宋体"/>
        <family val="3"/>
        <charset val="134"/>
      </rPr>
      <t>组）</t>
    </r>
  </si>
  <si>
    <r>
      <t>纵向轨道（</t>
    </r>
    <r>
      <rPr>
        <sz val="8"/>
        <color theme="1"/>
        <rFont val="Arial"/>
        <family val="2"/>
      </rPr>
      <t>4</t>
    </r>
    <r>
      <rPr>
        <sz val="8"/>
        <color theme="1"/>
        <rFont val="宋体"/>
        <family val="3"/>
        <charset val="134"/>
      </rPr>
      <t>号设备）</t>
    </r>
  </si>
  <si>
    <r>
      <t>纵向辊道（</t>
    </r>
    <r>
      <rPr>
        <sz val="8"/>
        <color theme="1"/>
        <rFont val="Arial"/>
        <family val="2"/>
      </rPr>
      <t>5</t>
    </r>
    <r>
      <rPr>
        <sz val="8"/>
        <color theme="1"/>
        <rFont val="宋体"/>
        <family val="3"/>
        <charset val="134"/>
      </rPr>
      <t>号）</t>
    </r>
  </si>
  <si>
    <r>
      <t>纵向辊道（</t>
    </r>
    <r>
      <rPr>
        <sz val="8"/>
        <color theme="1"/>
        <rFont val="Arial"/>
        <family val="2"/>
      </rPr>
      <t>6</t>
    </r>
    <r>
      <rPr>
        <sz val="8"/>
        <color theme="1"/>
        <rFont val="宋体"/>
        <family val="3"/>
        <charset val="134"/>
      </rPr>
      <t>号）</t>
    </r>
    <r>
      <rPr>
        <sz val="8"/>
        <color theme="1"/>
        <rFont val="Arial"/>
        <family val="2"/>
      </rPr>
      <t>1</t>
    </r>
    <r>
      <rPr>
        <sz val="8"/>
        <color theme="1"/>
        <rFont val="宋体"/>
        <family val="3"/>
        <charset val="134"/>
      </rPr>
      <t>组</t>
    </r>
  </si>
  <si>
    <r>
      <t>纵向辊道（</t>
    </r>
    <r>
      <rPr>
        <sz val="8"/>
        <color theme="1"/>
        <rFont val="Arial"/>
        <family val="2"/>
      </rPr>
      <t>7</t>
    </r>
    <r>
      <rPr>
        <sz val="8"/>
        <color theme="1"/>
        <rFont val="宋体"/>
        <family val="3"/>
        <charset val="134"/>
      </rPr>
      <t>号）</t>
    </r>
    <r>
      <rPr>
        <sz val="8"/>
        <color theme="1"/>
        <rFont val="Arial"/>
        <family val="2"/>
      </rPr>
      <t>2</t>
    </r>
    <r>
      <rPr>
        <sz val="8"/>
        <color theme="1"/>
        <rFont val="宋体"/>
        <family val="3"/>
        <charset val="134"/>
      </rPr>
      <t>组</t>
    </r>
  </si>
  <si>
    <r>
      <t>0.17</t>
    </r>
    <r>
      <rPr>
        <sz val="8"/>
        <color theme="1"/>
        <rFont val="宋体"/>
        <family val="3"/>
        <charset val="134"/>
      </rPr>
      <t>升</t>
    </r>
  </si>
  <si>
    <r>
      <t>恒温水槽</t>
    </r>
    <r>
      <rPr>
        <sz val="8"/>
        <color theme="1"/>
        <rFont val="Arial"/>
        <family val="2"/>
      </rPr>
      <t>250×200×150mm</t>
    </r>
  </si>
  <si>
    <r>
      <t>无线电测量仪器</t>
    </r>
    <r>
      <rPr>
        <sz val="8"/>
        <color theme="1"/>
        <rFont val="Arial"/>
        <family val="2"/>
      </rPr>
      <t>-</t>
    </r>
    <r>
      <rPr>
        <sz val="8"/>
        <color theme="1"/>
        <rFont val="宋体"/>
        <family val="3"/>
        <charset val="134"/>
      </rPr>
      <t>侧力传感器</t>
    </r>
  </si>
  <si>
    <r>
      <t>电子分析天平</t>
    </r>
    <r>
      <rPr>
        <sz val="8"/>
        <color theme="1"/>
        <rFont val="Arial"/>
        <family val="2"/>
      </rPr>
      <t xml:space="preserve"> </t>
    </r>
    <r>
      <rPr>
        <sz val="8"/>
        <color theme="1"/>
        <rFont val="宋体"/>
        <family val="3"/>
        <charset val="134"/>
      </rPr>
      <t>精度</t>
    </r>
    <r>
      <rPr>
        <sz val="8"/>
        <color theme="1"/>
        <rFont val="Arial"/>
        <family val="2"/>
      </rPr>
      <t>0.1m</t>
    </r>
  </si>
  <si>
    <r>
      <t>称量</t>
    </r>
    <r>
      <rPr>
        <sz val="8"/>
        <color theme="1"/>
        <rFont val="Arial"/>
        <family val="2"/>
      </rPr>
      <t>200</t>
    </r>
  </si>
  <si>
    <r>
      <t>200kg</t>
    </r>
    <r>
      <rPr>
        <sz val="8"/>
        <color theme="1"/>
        <rFont val="宋体"/>
        <family val="3"/>
        <charset val="134"/>
      </rPr>
      <t>感量</t>
    </r>
    <r>
      <rPr>
        <sz val="8"/>
        <color theme="1"/>
        <rFont val="Arial"/>
        <family val="2"/>
      </rPr>
      <t>0.1m</t>
    </r>
  </si>
  <si>
    <r>
      <t>静载实验机</t>
    </r>
    <r>
      <rPr>
        <sz val="8"/>
        <color theme="1"/>
        <rFont val="Arial"/>
        <family val="2"/>
      </rPr>
      <t>-</t>
    </r>
    <r>
      <rPr>
        <sz val="8"/>
        <color theme="1"/>
        <rFont val="宋体"/>
        <family val="3"/>
        <charset val="134"/>
      </rPr>
      <t>增冷却机</t>
    </r>
  </si>
  <si>
    <r>
      <t>无锡建筑材料仪器</t>
    </r>
    <r>
      <rPr>
        <sz val="8"/>
        <color theme="1"/>
        <rFont val="Arial"/>
        <family val="2"/>
      </rPr>
      <t xml:space="preserve"> </t>
    </r>
    <r>
      <rPr>
        <sz val="8"/>
        <color theme="1"/>
        <rFont val="宋体"/>
        <family val="3"/>
        <charset val="134"/>
      </rPr>
      <t>机械厂</t>
    </r>
  </si>
  <si>
    <r>
      <t>JZT-85A</t>
    </r>
    <r>
      <rPr>
        <sz val="8"/>
        <color theme="1"/>
        <rFont val="宋体"/>
        <family val="3"/>
        <charset val="134"/>
      </rPr>
      <t>型</t>
    </r>
  </si>
  <si>
    <r>
      <t>车间粉尘治理除尘器</t>
    </r>
    <r>
      <rPr>
        <sz val="8"/>
        <color theme="1"/>
        <rFont val="Arial"/>
        <family val="2"/>
      </rPr>
      <t>2</t>
    </r>
    <r>
      <rPr>
        <sz val="8"/>
        <color theme="1"/>
        <rFont val="宋体"/>
        <family val="3"/>
        <charset val="134"/>
      </rPr>
      <t>套</t>
    </r>
  </si>
  <si>
    <r>
      <t>环保治理设备</t>
    </r>
    <r>
      <rPr>
        <sz val="8"/>
        <color theme="1"/>
        <rFont val="Arial"/>
        <family val="2"/>
      </rPr>
      <t>-</t>
    </r>
    <r>
      <rPr>
        <sz val="8"/>
        <color theme="1"/>
        <rFont val="宋体"/>
        <family val="3"/>
        <charset val="134"/>
      </rPr>
      <t>焊接除尘器</t>
    </r>
    <r>
      <rPr>
        <sz val="8"/>
        <color theme="1"/>
        <rFont val="Arial"/>
        <family val="2"/>
      </rPr>
      <t>1</t>
    </r>
    <r>
      <rPr>
        <sz val="8"/>
        <color theme="1"/>
        <rFont val="宋体"/>
        <family val="3"/>
        <charset val="134"/>
      </rPr>
      <t>套</t>
    </r>
  </si>
  <si>
    <r>
      <t>下灰车</t>
    </r>
    <r>
      <rPr>
        <sz val="8"/>
        <color theme="1"/>
        <rFont val="Arial"/>
        <family val="2"/>
      </rPr>
      <t>(</t>
    </r>
    <r>
      <rPr>
        <sz val="8"/>
        <color theme="1"/>
        <rFont val="宋体"/>
        <family val="3"/>
        <charset val="134"/>
      </rPr>
      <t>下料机</t>
    </r>
    <r>
      <rPr>
        <sz val="8"/>
        <color theme="1"/>
        <rFont val="Arial"/>
        <family val="2"/>
      </rPr>
      <t>)</t>
    </r>
  </si>
  <si>
    <r>
      <t xml:space="preserve"> </t>
    </r>
    <r>
      <rPr>
        <sz val="8"/>
        <color theme="1"/>
        <rFont val="宋体"/>
        <family val="3"/>
        <charset val="134"/>
      </rPr>
      <t>上海钱福电器</t>
    </r>
    <r>
      <rPr>
        <sz val="8"/>
        <color theme="1"/>
        <rFont val="Arial"/>
        <family val="2"/>
      </rPr>
      <t xml:space="preserve"> </t>
    </r>
  </si>
  <si>
    <r>
      <t xml:space="preserve"> </t>
    </r>
    <r>
      <rPr>
        <sz val="8"/>
        <color theme="1"/>
        <rFont val="宋体"/>
        <family val="3"/>
        <charset val="134"/>
      </rPr>
      <t>宜兴宙斯泵业</t>
    </r>
    <r>
      <rPr>
        <sz val="8"/>
        <color theme="1"/>
        <rFont val="Arial"/>
        <family val="2"/>
      </rPr>
      <t xml:space="preserve"> </t>
    </r>
  </si>
  <si>
    <r>
      <t>13</t>
    </r>
    <r>
      <rPr>
        <sz val="8"/>
        <color theme="1"/>
        <rFont val="宋体"/>
        <family val="3"/>
        <charset val="134"/>
      </rPr>
      <t>米</t>
    </r>
  </si>
  <si>
    <r>
      <t>450</t>
    </r>
    <r>
      <rPr>
        <sz val="8"/>
        <color theme="1"/>
        <rFont val="宋体"/>
        <family val="3"/>
        <charset val="134"/>
      </rPr>
      <t>千克</t>
    </r>
  </si>
  <si>
    <r>
      <t xml:space="preserve"> </t>
    </r>
    <r>
      <rPr>
        <sz val="8"/>
        <color theme="1"/>
        <rFont val="宋体"/>
        <family val="3"/>
        <charset val="134"/>
      </rPr>
      <t>胶莱焊机厂</t>
    </r>
    <r>
      <rPr>
        <sz val="8"/>
        <color theme="1"/>
        <rFont val="Arial"/>
        <family val="2"/>
      </rPr>
      <t xml:space="preserve"> </t>
    </r>
  </si>
  <si>
    <r>
      <t xml:space="preserve"> </t>
    </r>
    <r>
      <rPr>
        <sz val="8"/>
        <color theme="1"/>
        <rFont val="宋体"/>
        <family val="3"/>
        <charset val="134"/>
      </rPr>
      <t>杭州双龙机械厂</t>
    </r>
    <r>
      <rPr>
        <sz val="8"/>
        <color theme="1"/>
        <rFont val="Arial"/>
        <family val="2"/>
      </rPr>
      <t xml:space="preserve"> </t>
    </r>
  </si>
  <si>
    <r>
      <t>传感器</t>
    </r>
    <r>
      <rPr>
        <sz val="8"/>
        <color theme="1"/>
        <rFont val="Arial"/>
        <family val="2"/>
      </rPr>
      <t xml:space="preserve"> </t>
    </r>
  </si>
  <si>
    <t>1.5m</t>
  </si>
  <si>
    <r>
      <t>T</t>
    </r>
    <r>
      <rPr>
        <sz val="8"/>
        <color theme="1"/>
        <rFont val="宋体"/>
        <family val="3"/>
        <charset val="134"/>
      </rPr>
      <t>北京电焊机厂</t>
    </r>
  </si>
  <si>
    <r>
      <t>国电久胜</t>
    </r>
    <r>
      <rPr>
        <sz val="8"/>
        <color theme="1"/>
        <rFont val="Arial"/>
        <family val="2"/>
      </rPr>
      <t>(</t>
    </r>
    <r>
      <rPr>
        <sz val="8"/>
        <color theme="1"/>
        <rFont val="宋体"/>
        <family val="3"/>
        <charset val="134"/>
      </rPr>
      <t>北京</t>
    </r>
    <r>
      <rPr>
        <sz val="8"/>
        <color theme="1"/>
        <rFont val="Arial"/>
        <family val="2"/>
      </rPr>
      <t>)</t>
    </r>
    <r>
      <rPr>
        <sz val="8"/>
        <color theme="1"/>
        <rFont val="宋体"/>
        <family val="3"/>
        <charset val="134"/>
      </rPr>
      <t>电气设备厂</t>
    </r>
  </si>
  <si>
    <r>
      <t>2×B</t>
    </r>
    <r>
      <rPr>
        <sz val="8"/>
        <color theme="1"/>
        <rFont val="宋体"/>
        <family val="3"/>
        <charset val="134"/>
      </rPr>
      <t>Ⅱ</t>
    </r>
  </si>
  <si>
    <r>
      <t>3</t>
    </r>
    <r>
      <rPr>
        <sz val="8"/>
        <color theme="1"/>
        <rFont val="宋体"/>
        <family val="3"/>
        <charset val="134"/>
      </rPr>
      <t>吨</t>
    </r>
    <r>
      <rPr>
        <sz val="8"/>
        <color theme="1"/>
        <rFont val="Arial"/>
        <family val="2"/>
      </rPr>
      <t>(7</t>
    </r>
    <r>
      <rPr>
        <sz val="8"/>
        <color theme="1"/>
        <rFont val="宋体"/>
        <family val="3"/>
        <charset val="134"/>
      </rPr>
      <t>米</t>
    </r>
    <r>
      <rPr>
        <sz val="8"/>
        <color theme="1"/>
        <rFont val="Arial"/>
        <family val="2"/>
      </rPr>
      <t>)</t>
    </r>
  </si>
  <si>
    <r>
      <t>1</t>
    </r>
    <r>
      <rPr>
        <sz val="8"/>
        <color theme="1"/>
        <rFont val="宋体"/>
        <family val="3"/>
        <charset val="134"/>
      </rPr>
      <t>吨</t>
    </r>
    <r>
      <rPr>
        <sz val="8"/>
        <color theme="1"/>
        <rFont val="Arial"/>
        <family val="2"/>
      </rPr>
      <t>(5</t>
    </r>
    <r>
      <rPr>
        <sz val="8"/>
        <color theme="1"/>
        <rFont val="宋体"/>
        <family val="3"/>
        <charset val="134"/>
      </rPr>
      <t>米</t>
    </r>
    <r>
      <rPr>
        <sz val="8"/>
        <color theme="1"/>
        <rFont val="Arial"/>
        <family val="2"/>
      </rPr>
      <t>)</t>
    </r>
  </si>
  <si>
    <r>
      <t>FBF9</t>
    </r>
    <r>
      <rPr>
        <sz val="8"/>
        <color theme="1"/>
        <rFont val="宋体"/>
        <family val="3"/>
        <charset val="134"/>
      </rPr>
      <t>型</t>
    </r>
  </si>
  <si>
    <r>
      <t>JJ1000</t>
    </r>
    <r>
      <rPr>
        <sz val="8"/>
        <color theme="1"/>
        <rFont val="宋体"/>
        <family val="3"/>
        <charset val="134"/>
      </rPr>
      <t>型</t>
    </r>
  </si>
  <si>
    <r>
      <t>JJ100</t>
    </r>
    <r>
      <rPr>
        <sz val="8"/>
        <color theme="1"/>
        <rFont val="宋体"/>
        <family val="3"/>
        <charset val="134"/>
      </rPr>
      <t>型</t>
    </r>
  </si>
  <si>
    <r>
      <t>电子</t>
    </r>
    <r>
      <rPr>
        <b/>
        <sz val="8"/>
        <color theme="1"/>
        <rFont val="宋体"/>
        <family val="3"/>
        <charset val="134"/>
      </rPr>
      <t>天</t>
    </r>
    <r>
      <rPr>
        <sz val="8"/>
        <color theme="1"/>
        <rFont val="宋体"/>
        <family val="3"/>
        <charset val="134"/>
      </rPr>
      <t>平</t>
    </r>
  </si>
  <si>
    <r>
      <t>101-3</t>
    </r>
    <r>
      <rPr>
        <sz val="8"/>
        <color theme="1"/>
        <rFont val="宋体"/>
        <family val="3"/>
        <charset val="134"/>
      </rPr>
      <t>型</t>
    </r>
  </si>
  <si>
    <r>
      <t>ZBSX-92A</t>
    </r>
    <r>
      <rPr>
        <sz val="8"/>
        <color theme="1"/>
        <rFont val="宋体"/>
        <family val="3"/>
        <charset val="134"/>
      </rPr>
      <t>型</t>
    </r>
  </si>
  <si>
    <t>张拉放张机</t>
  </si>
  <si>
    <t>KXZ-G</t>
  </si>
  <si>
    <t>钢筋调直机</t>
  </si>
  <si>
    <t>轨枕</t>
  </si>
  <si>
    <r>
      <t>630KVA</t>
    </r>
    <r>
      <rPr>
        <sz val="8"/>
        <color theme="1"/>
        <rFont val="宋体"/>
        <family val="3"/>
        <charset val="134"/>
      </rPr>
      <t>箱变工程</t>
    </r>
  </si>
  <si>
    <t>地下管线</t>
  </si>
  <si>
    <t>污水处理工程款</t>
  </si>
  <si>
    <t>热力</t>
  </si>
  <si>
    <t>消防</t>
  </si>
  <si>
    <t>7785.17</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</si>
</sst>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
    <numFmt numFmtId="196" formatCode="#,##0.00_ "/>
    <numFmt numFmtId="197" formatCode="0.00_);\(0.00\)"/>
    <numFmt numFmtId="198" formatCode="0.00&quot;&quot;&quot;㎡&quot;"/>
    <numFmt numFmtId="199" formatCode="General&quot;元&quot;"/>
    <numFmt numFmtId="200" formatCode="0.00&quot;㎡&quot;"/>
    <numFmt numFmtId="201" formatCode="&quot;¥&quot;0"/>
    <numFmt numFmtId="202" formatCode="[DBNum2][$-804]General"/>
    <numFmt numFmtId="203" formatCode="[DBNum2][$-804]General&quot;元&quot;&quot;整&quot;"/>
    <numFmt numFmtId="204" formatCode="0.0"/>
    <numFmt numFmtId="205" formatCode="0.000000_);[Red]\(0.000000\)"/>
    <numFmt numFmtId="206" formatCode="#,##0.000_ "/>
  </numFmts>
  <fonts count="34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5"/>
      <name val="宋体"/>
      <family val="3"/>
      <charset val="134"/>
    </font>
    <font>
      <b/>
      <sz val="12"/>
      <name val="华文宋体"/>
      <family val="3"/>
      <charset val="134"/>
    </font>
    <font>
      <b/>
      <sz val="9"/>
      <name val="宋体"/>
      <family val="3"/>
      <charset val="134"/>
      <scheme val="major"/>
    </font>
    <font>
      <b/>
      <sz val="9"/>
      <name val="宋体"/>
      <family val="3"/>
      <charset val="134"/>
      <scheme val="minor"/>
    </font>
    <font>
      <sz val="10"/>
      <name val="宋体"/>
      <family val="3"/>
      <charset val="134"/>
      <scheme val="minor"/>
    </font>
    <font>
      <sz val="10"/>
      <color indexed="8"/>
      <name val="宋体"/>
      <family val="3"/>
      <charset val="134"/>
      <scheme val="minor"/>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sz val="10.5"/>
      <name val="宋体"/>
      <family val="3"/>
      <charset val="134"/>
    </font>
    <font>
      <sz val="10.5"/>
      <name val="Times New Roman"/>
      <family val="1"/>
    </font>
    <font>
      <b/>
      <sz val="10.5"/>
      <color rgb="FFFF0000"/>
      <name val="宋体"/>
      <family val="3"/>
      <charset val="134"/>
    </font>
    <font>
      <b/>
      <sz val="10.5"/>
      <name val="Times New Roman"/>
      <family val="1"/>
    </font>
    <font>
      <sz val="10.5"/>
      <color rgb="FFFF0000"/>
      <name val="宋体"/>
      <family val="3"/>
      <charset val="134"/>
    </font>
    <font>
      <sz val="9"/>
      <name val="Times New Roman"/>
      <family val="1"/>
    </font>
    <font>
      <b/>
      <sz val="9"/>
      <name val="宋体"/>
      <family val="3"/>
      <charset val="134"/>
    </font>
    <font>
      <vertAlign val="superscript"/>
      <sz val="9"/>
      <name val="宋体"/>
      <family val="3"/>
      <charset val="134"/>
    </font>
    <font>
      <b/>
      <sz val="10"/>
      <name val="MS Sans Serif"/>
      <family val="2"/>
    </font>
    <font>
      <sz val="11"/>
      <color indexed="20"/>
      <name val="宋体"/>
      <family val="3"/>
      <charset val="134"/>
    </font>
    <font>
      <sz val="11"/>
      <color indexed="17"/>
      <name val="宋体"/>
      <family val="3"/>
      <charset val="134"/>
    </font>
    <font>
      <b/>
      <sz val="12"/>
      <color indexed="8"/>
      <name val="宋体"/>
      <family val="3"/>
      <charset val="134"/>
    </font>
    <font>
      <b/>
      <sz val="12"/>
      <color indexed="8"/>
      <name val="Times New Roman"/>
      <family val="1"/>
    </font>
    <font>
      <sz val="12"/>
      <color indexed="8"/>
      <name val="宋体"/>
      <family val="3"/>
      <charset val="134"/>
    </font>
    <font>
      <sz val="12"/>
      <color indexed="8"/>
      <name val="Times New Roman"/>
      <family val="1"/>
    </font>
    <font>
      <b/>
      <sz val="14"/>
      <color indexed="8"/>
      <name val="宋体"/>
      <family val="3"/>
      <charset val="134"/>
    </font>
    <font>
      <b/>
      <sz val="14"/>
      <color indexed="8"/>
      <name val="Times New Roman"/>
      <family val="1"/>
    </font>
    <font>
      <sz val="14"/>
      <color indexed="8"/>
      <name val="宋体"/>
      <family val="3"/>
      <charset val="134"/>
    </font>
    <font>
      <sz val="14"/>
      <color indexed="8"/>
      <name val="Times New Roman"/>
      <family val="1"/>
    </font>
    <font>
      <b/>
      <sz val="12"/>
      <name val="Times New Roman"/>
      <family val="1"/>
    </font>
    <font>
      <b/>
      <sz val="9"/>
      <color indexed="8"/>
      <name val="宋体"/>
      <family val="3"/>
      <charset val="134"/>
    </font>
    <font>
      <b/>
      <sz val="9"/>
      <color indexed="8"/>
      <name val="Times New Roman"/>
      <family val="1"/>
    </font>
    <font>
      <b/>
      <sz val="9"/>
      <name val="Times New Roman"/>
      <family val="1"/>
    </font>
    <font>
      <sz val="9"/>
      <color indexed="8"/>
      <name val="Times New Roman"/>
      <family val="1"/>
    </font>
    <font>
      <sz val="9"/>
      <color indexed="10"/>
      <name val="宋体"/>
      <family val="3"/>
      <charset val="134"/>
    </font>
    <font>
      <b/>
      <sz val="9"/>
      <color indexed="10"/>
      <name val="宋体"/>
      <family val="3"/>
      <charset val="134"/>
    </font>
    <font>
      <sz val="9"/>
      <color indexed="12"/>
      <name val="宋体"/>
      <family val="3"/>
      <charset val="134"/>
    </font>
    <font>
      <sz val="10"/>
      <color indexed="10"/>
      <name val="宋体"/>
      <family val="3"/>
      <charset val="134"/>
    </font>
    <font>
      <vertAlign val="superscript"/>
      <sz val="10"/>
      <name val="宋体"/>
      <family val="3"/>
      <charset val="134"/>
    </font>
    <font>
      <b/>
      <sz val="10"/>
      <color rgb="FFFF0000"/>
      <name val="宋体"/>
      <family val="3"/>
      <charset val="134"/>
      <scheme val="minor"/>
    </font>
    <font>
      <sz val="8"/>
      <color theme="1"/>
      <name val="Arial"/>
      <family val="2"/>
    </font>
    <font>
      <sz val="8"/>
      <color theme="1"/>
      <name val="宋体"/>
      <family val="3"/>
      <charset val="134"/>
    </font>
    <font>
      <sz val="10"/>
      <color rgb="FF080000"/>
      <name val="宋体"/>
      <family val="3"/>
      <charset val="134"/>
    </font>
    <font>
      <sz val="22"/>
      <color rgb="FF080000"/>
      <name val="黑体"/>
      <family val="3"/>
      <charset val="134"/>
    </font>
    <font>
      <sz val="9"/>
      <name val="宋体"/>
      <family val="2"/>
      <charset val="134"/>
      <scheme val="minor"/>
    </font>
    <font>
      <sz val="12"/>
      <color theme="1"/>
      <name val="宋体"/>
      <family val="3"/>
      <charset val="134"/>
    </font>
    <font>
      <sz val="12"/>
      <color rgb="FFFF0000"/>
      <name val="Arial"/>
      <family val="2"/>
    </font>
    <font>
      <sz val="9"/>
      <color theme="1"/>
      <name val="宋体"/>
      <family val="3"/>
      <charset val="134"/>
    </font>
    <font>
      <sz val="10.5"/>
      <color theme="1"/>
      <name val="宋体"/>
      <family val="3"/>
      <charset val="134"/>
    </font>
    <font>
      <sz val="10.5"/>
      <color theme="1"/>
      <name val="Arial"/>
      <family val="2"/>
    </font>
    <font>
      <sz val="14"/>
      <color theme="1"/>
      <name val="宋体"/>
      <family val="3"/>
      <charset val="134"/>
    </font>
    <font>
      <u/>
      <sz val="11"/>
      <color theme="10"/>
      <name val="宋体"/>
      <family val="3"/>
      <charset val="134"/>
      <scheme val="minor"/>
    </font>
    <font>
      <sz val="9"/>
      <name val="Arial"/>
      <family val="2"/>
    </font>
    <font>
      <sz val="8"/>
      <color rgb="FFFF0000"/>
      <name val="Arial"/>
      <family val="2"/>
    </font>
    <font>
      <sz val="8"/>
      <color rgb="FFFF0000"/>
      <name val="宋体"/>
      <family val="3"/>
      <charset val="134"/>
    </font>
    <font>
      <b/>
      <sz val="9"/>
      <color rgb="FFFF0000"/>
      <name val="宋体"/>
      <family val="3"/>
      <charset val="134"/>
    </font>
    <font>
      <b/>
      <sz val="9"/>
      <color theme="1"/>
      <name val="宋体"/>
      <family val="3"/>
      <charset val="134"/>
      <scheme val="minor"/>
    </font>
    <font>
      <b/>
      <sz val="9"/>
      <color rgb="FFFF0000"/>
      <name val="Arial"/>
      <family val="2"/>
    </font>
    <font>
      <b/>
      <sz val="8"/>
      <color theme="1"/>
      <name val="宋体"/>
      <family val="3"/>
      <charset val="134"/>
    </font>
    <font>
      <b/>
      <sz val="8"/>
      <name val="Arial"/>
      <family val="2"/>
    </font>
  </fonts>
  <fills count="4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15"/>
        <bgColor indexed="64"/>
      </patternFill>
    </fill>
    <fill>
      <patternFill patternType="solid">
        <fgColor theme="5" tint="0.59999389629810485"/>
        <bgColor indexed="64"/>
      </patternFill>
    </fill>
    <fill>
      <patternFill patternType="solid">
        <fgColor indexed="50"/>
        <bgColor indexed="64"/>
      </patternFill>
    </fill>
    <fill>
      <patternFill patternType="solid">
        <fgColor indexed="42"/>
        <bgColor indexed="64"/>
      </patternFill>
    </fill>
    <fill>
      <patternFill patternType="solid">
        <fgColor indexed="49"/>
        <bgColor indexed="64"/>
      </patternFill>
    </fill>
    <fill>
      <patternFill patternType="solid">
        <fgColor theme="4" tint="0.59999389629810485"/>
        <bgColor indexed="64"/>
      </patternFill>
    </fill>
    <fill>
      <patternFill patternType="solid">
        <fgColor indexed="41"/>
        <bgColor indexed="64"/>
      </patternFill>
    </fill>
    <fill>
      <patternFill patternType="solid">
        <fgColor theme="7" tint="0.39997558519241921"/>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indexed="34"/>
        <bgColor indexed="64"/>
      </patternFill>
    </fill>
    <fill>
      <patternFill patternType="solid">
        <fgColor indexed="40"/>
        <bgColor indexed="64"/>
      </patternFill>
    </fill>
    <fill>
      <patternFill patternType="solid">
        <fgColor indexed="8"/>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indexed="2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theme="9" tint="0.59999389629810485"/>
        <bgColor indexed="64"/>
      </patternFill>
    </fill>
  </fills>
  <borders count="20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style="medium">
        <color indexed="64"/>
      </top>
      <bottom style="medium">
        <color indexed="14"/>
      </bottom>
      <diagonal/>
    </border>
    <border>
      <left style="thin">
        <color indexed="64"/>
      </left>
      <right style="thin">
        <color indexed="64"/>
      </right>
      <top style="medium">
        <color indexed="64"/>
      </top>
      <bottom style="medium">
        <color indexed="14"/>
      </bottom>
      <diagonal/>
    </border>
    <border>
      <left style="thin">
        <color indexed="64"/>
      </left>
      <right style="thin">
        <color indexed="64"/>
      </right>
      <top/>
      <bottom style="medium">
        <color indexed="14"/>
      </bottom>
      <diagonal/>
    </border>
    <border>
      <left style="thin">
        <color indexed="12"/>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left style="medium">
        <color indexed="64"/>
      </left>
      <right style="medium">
        <color indexed="64"/>
      </right>
      <top style="medium">
        <color indexed="64"/>
      </top>
      <bottom style="double">
        <color indexed="64"/>
      </bottom>
      <diagonal/>
    </border>
    <border>
      <left style="thin">
        <color auto="1"/>
      </left>
      <right style="thin">
        <color auto="1"/>
      </right>
      <top style="thick">
        <color auto="1"/>
      </top>
      <bottom style="thin">
        <color auto="1"/>
      </bottom>
      <diagonal/>
    </border>
    <border>
      <left style="thin">
        <color auto="1"/>
      </left>
      <right/>
      <top style="thick">
        <color auto="1"/>
      </top>
      <bottom style="thin">
        <color auto="1"/>
      </bottom>
      <diagonal/>
    </border>
    <border>
      <left style="thin">
        <color auto="1"/>
      </left>
      <right/>
      <top style="thick">
        <color auto="1"/>
      </top>
      <bottom/>
      <diagonal/>
    </border>
    <border>
      <left/>
      <right/>
      <top style="thick">
        <color auto="1"/>
      </top>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1" fillId="0" borderId="0">
      <alignment vertical="center"/>
    </xf>
    <xf numFmtId="0" fontId="81" fillId="0" borderId="0">
      <alignment vertical="center"/>
    </xf>
    <xf numFmtId="0" fontId="145" fillId="0" borderId="0">
      <alignment vertical="center"/>
    </xf>
    <xf numFmtId="0" fontId="32" fillId="0" borderId="0">
      <alignment vertical="center"/>
    </xf>
    <xf numFmtId="0" fontId="299" fillId="0" borderId="0" applyNumberFormat="0" applyFill="0" applyBorder="0" applyAlignment="0" applyProtection="0"/>
    <xf numFmtId="0" fontId="229" fillId="0" borderId="0" applyNumberFormat="0" applyFill="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0" fillId="37"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01" fillId="31" borderId="0" applyNumberFormat="0" applyBorder="0" applyAlignment="0" applyProtection="0">
      <alignment vertical="center"/>
    </xf>
    <xf numFmtId="0" fontId="332" fillId="0" borderId="0" applyNumberFormat="0" applyFill="0" applyBorder="0" applyAlignment="0" applyProtection="0">
      <alignment vertical="center"/>
    </xf>
  </cellStyleXfs>
  <cellXfs count="4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0" fillId="0" borderId="2" xfId="0" applyBorder="1" applyAlignment="1">
      <alignment horizontal="center" vertical="center"/>
    </xf>
    <xf numFmtId="0" fontId="32" fillId="0" borderId="2" xfId="6" applyBorder="1" applyAlignment="1">
      <alignment horizontal="center" vertical="center" wrapText="1"/>
    </xf>
    <xf numFmtId="0" fontId="32" fillId="8" borderId="2" xfId="6" applyFill="1" applyBorder="1" applyAlignment="1">
      <alignment horizontal="center" vertical="center" wrapText="1"/>
    </xf>
    <xf numFmtId="0" fontId="32" fillId="8" borderId="2" xfId="6" applyFont="1" applyFill="1" applyBorder="1" applyAlignment="1">
      <alignment horizontal="center" vertical="center" wrapText="1"/>
    </xf>
    <xf numFmtId="0" fontId="0" fillId="0" borderId="0" xfId="0" applyFill="1" applyBorder="1" applyAlignment="1">
      <alignment vertical="center"/>
    </xf>
    <xf numFmtId="0" fontId="280" fillId="0" borderId="0" xfId="0" applyFont="1" applyFill="1" applyBorder="1" applyAlignment="1">
      <alignment horizontal="center"/>
    </xf>
    <xf numFmtId="49" fontId="106" fillId="8" borderId="0" xfId="0" applyNumberFormat="1" applyFont="1" applyFill="1" applyBorder="1" applyAlignment="1" applyProtection="1">
      <alignment vertical="center"/>
      <protection locked="0"/>
    </xf>
    <xf numFmtId="10" fontId="106" fillId="8" borderId="0" xfId="0" applyNumberFormat="1" applyFont="1" applyFill="1" applyBorder="1" applyAlignment="1" applyProtection="1">
      <alignment vertical="center"/>
      <protection locked="0"/>
    </xf>
    <xf numFmtId="0" fontId="32" fillId="8" borderId="0" xfId="0" applyFont="1" applyFill="1" applyBorder="1" applyAlignment="1" applyProtection="1">
      <alignment vertical="center"/>
      <protection locked="0"/>
    </xf>
    <xf numFmtId="14" fontId="95" fillId="8" borderId="0" xfId="0" applyNumberFormat="1" applyFont="1" applyFill="1" applyBorder="1" applyAlignment="1" applyProtection="1">
      <alignment vertical="center"/>
      <protection locked="0"/>
    </xf>
    <xf numFmtId="0" fontId="95" fillId="8" borderId="0" xfId="0" applyFont="1" applyFill="1" applyBorder="1" applyAlignment="1" applyProtection="1">
      <alignment vertical="center"/>
      <protection locked="0"/>
    </xf>
    <xf numFmtId="195" fontId="95" fillId="8" borderId="0" xfId="0" applyNumberFormat="1" applyFont="1" applyFill="1" applyBorder="1" applyAlignment="1" applyProtection="1">
      <alignment vertical="center"/>
      <protection locked="0"/>
    </xf>
    <xf numFmtId="184" fontId="86" fillId="0" borderId="2" xfId="4" applyNumberFormat="1" applyFont="1" applyFill="1" applyBorder="1" applyAlignment="1">
      <alignment horizontal="center" vertical="center" wrapText="1"/>
    </xf>
    <xf numFmtId="0" fontId="86" fillId="0" borderId="2" xfId="4" applyFont="1" applyFill="1" applyBorder="1" applyAlignment="1">
      <alignment horizontal="center" vertical="center"/>
    </xf>
    <xf numFmtId="49" fontId="86" fillId="0" borderId="2" xfId="4" applyNumberFormat="1" applyFont="1" applyFill="1" applyBorder="1" applyAlignment="1">
      <alignment horizontal="center" vertical="center" wrapText="1"/>
    </xf>
    <xf numFmtId="49" fontId="95" fillId="8" borderId="0" xfId="0" applyNumberFormat="1" applyFont="1" applyFill="1" applyBorder="1" applyAlignment="1" applyProtection="1">
      <alignment vertical="center"/>
      <protection locked="0"/>
    </xf>
    <xf numFmtId="0" fontId="40" fillId="0" borderId="2" xfId="4" applyFont="1" applyFill="1" applyBorder="1" applyAlignment="1">
      <alignment horizontal="center" vertical="center" wrapText="1"/>
    </xf>
    <xf numFmtId="0" fontId="86" fillId="0" borderId="2" xfId="4" applyFont="1" applyFill="1" applyBorder="1" applyAlignment="1">
      <alignment horizontal="center" vertical="center" wrapText="1"/>
    </xf>
    <xf numFmtId="0" fontId="40" fillId="0" borderId="2" xfId="4" applyFont="1" applyFill="1" applyBorder="1" applyAlignment="1">
      <alignment vertical="center" wrapText="1"/>
    </xf>
    <xf numFmtId="10" fontId="95" fillId="8" borderId="0" xfId="0" applyNumberFormat="1" applyFont="1" applyFill="1" applyBorder="1" applyAlignment="1" applyProtection="1">
      <alignment vertical="center"/>
      <protection locked="0"/>
    </xf>
    <xf numFmtId="0" fontId="40" fillId="0" borderId="9" xfId="4" applyFont="1" applyFill="1" applyBorder="1" applyAlignment="1">
      <alignment vertical="center" wrapText="1"/>
    </xf>
    <xf numFmtId="182" fontId="40" fillId="0" borderId="2" xfId="4" applyNumberFormat="1" applyFont="1" applyFill="1" applyBorder="1" applyAlignment="1">
      <alignment horizontal="center" vertical="center" wrapText="1"/>
    </xf>
    <xf numFmtId="0" fontId="86" fillId="9" borderId="2" xfId="4" applyFont="1" applyFill="1" applyBorder="1" applyAlignment="1">
      <alignment horizontal="center" vertical="center" wrapText="1"/>
    </xf>
    <xf numFmtId="0" fontId="228" fillId="0" borderId="0" xfId="18" applyFont="1" applyFill="1" applyBorder="1">
      <alignment vertical="center"/>
    </xf>
    <xf numFmtId="0" fontId="283" fillId="0" borderId="2" xfId="18" applyFont="1" applyFill="1" applyBorder="1" applyAlignment="1">
      <alignment horizontal="center" vertical="center"/>
    </xf>
    <xf numFmtId="0" fontId="228" fillId="0" borderId="0" xfId="18" applyFont="1" applyFill="1" applyBorder="1" applyAlignment="1">
      <alignment vertical="center"/>
    </xf>
    <xf numFmtId="0" fontId="164" fillId="0" borderId="2" xfId="18" applyFont="1" applyFill="1" applyBorder="1" applyAlignment="1">
      <alignment horizontal="center" vertical="center"/>
    </xf>
    <xf numFmtId="0" fontId="284" fillId="0" borderId="2" xfId="18" applyNumberFormat="1" applyFont="1" applyFill="1" applyBorder="1" applyAlignment="1">
      <alignment horizontal="center" vertical="center" wrapText="1"/>
    </xf>
    <xf numFmtId="177"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left" vertical="center" wrapText="1"/>
    </xf>
    <xf numFmtId="177" fontId="284" fillId="0" borderId="2" xfId="18" applyNumberFormat="1" applyFont="1" applyFill="1" applyBorder="1" applyAlignment="1">
      <alignment horizontal="center" vertical="center" wrapText="1"/>
    </xf>
    <xf numFmtId="0" fontId="164" fillId="0" borderId="0" xfId="18" applyFont="1" applyFill="1" applyBorder="1">
      <alignment vertical="center"/>
    </xf>
    <xf numFmtId="0" fontId="284" fillId="0" borderId="2" xfId="18" applyFont="1" applyFill="1" applyBorder="1" applyAlignment="1">
      <alignment horizontal="center" vertical="center"/>
    </xf>
    <xf numFmtId="0" fontId="164" fillId="22" borderId="0" xfId="18" applyFont="1" applyFill="1" applyBorder="1">
      <alignment vertical="center"/>
    </xf>
    <xf numFmtId="185" fontId="285" fillId="0" borderId="2" xfId="18" applyNumberFormat="1" applyFont="1" applyFill="1" applyBorder="1" applyAlignment="1">
      <alignment horizontal="center" vertical="center" wrapText="1"/>
    </xf>
    <xf numFmtId="177" fontId="82" fillId="0" borderId="2" xfId="18" applyNumberFormat="1" applyFont="1" applyFill="1" applyBorder="1" applyAlignment="1">
      <alignment horizontal="center" vertical="center" wrapText="1"/>
    </xf>
    <xf numFmtId="0" fontId="127" fillId="0" borderId="2" xfId="18" applyFont="1" applyFill="1" applyBorder="1" applyAlignment="1">
      <alignment horizontal="center" vertical="center" wrapText="1"/>
    </xf>
    <xf numFmtId="0" fontId="200" fillId="0" borderId="2" xfId="18" applyFont="1" applyFill="1" applyBorder="1" applyAlignment="1">
      <alignment horizontal="center" vertical="center"/>
    </xf>
    <xf numFmtId="197" fontId="82" fillId="0" borderId="2" xfId="17" applyNumberFormat="1" applyFont="1" applyFill="1" applyBorder="1" applyAlignment="1">
      <alignment horizontal="center" vertical="center" wrapText="1"/>
    </xf>
    <xf numFmtId="0" fontId="82" fillId="0" borderId="2" xfId="17" applyFont="1" applyFill="1" applyBorder="1" applyAlignment="1">
      <alignment horizontal="center" vertical="center" wrapText="1"/>
    </xf>
    <xf numFmtId="0" fontId="228" fillId="0" borderId="0" xfId="18" applyFont="1" applyFill="1" applyBorder="1" applyAlignment="1">
      <alignment horizontal="center" vertical="center"/>
    </xf>
    <xf numFmtId="0" fontId="228" fillId="0" borderId="0" xfId="18" applyFont="1" applyFill="1" applyBorder="1" applyAlignment="1">
      <alignment horizontal="left" vertical="center"/>
    </xf>
    <xf numFmtId="196" fontId="0" fillId="6" borderId="0" xfId="0" applyNumberFormat="1" applyFill="1" applyBorder="1" applyAlignment="1">
      <alignment vertical="center"/>
    </xf>
    <xf numFmtId="0" fontId="286" fillId="0" borderId="39"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66" xfId="0" applyFont="1" applyFill="1" applyBorder="1" applyAlignment="1">
      <alignment horizontal="center" vertical="center" wrapText="1"/>
    </xf>
    <xf numFmtId="0" fontId="0" fillId="0" borderId="66" xfId="0" applyFill="1" applyBorder="1" applyAlignment="1">
      <alignment vertical="center"/>
    </xf>
    <xf numFmtId="0" fontId="288" fillId="0" borderId="80" xfId="0" applyFont="1" applyFill="1" applyBorder="1" applyAlignment="1">
      <alignment horizontal="center" vertical="center" wrapText="1"/>
    </xf>
    <xf numFmtId="0" fontId="288" fillId="0" borderId="66" xfId="0" applyFont="1" applyFill="1" applyBorder="1" applyAlignment="1">
      <alignment horizontal="center" vertical="center" wrapText="1"/>
    </xf>
    <xf numFmtId="31" fontId="288" fillId="0" borderId="66" xfId="0" applyNumberFormat="1" applyFont="1" applyFill="1" applyBorder="1" applyAlignment="1">
      <alignment horizontal="center" vertical="center" wrapText="1"/>
    </xf>
    <xf numFmtId="10" fontId="288" fillId="0" borderId="66" xfId="0" applyNumberFormat="1" applyFont="1" applyFill="1" applyBorder="1" applyAlignment="1">
      <alignment horizontal="center" vertical="center" wrapText="1"/>
    </xf>
    <xf numFmtId="0" fontId="0" fillId="6" borderId="0" xfId="0" applyFill="1" applyBorder="1" applyAlignment="1">
      <alignment vertical="center"/>
    </xf>
    <xf numFmtId="0" fontId="289" fillId="0" borderId="80" xfId="0" applyFont="1" applyFill="1" applyBorder="1" applyAlignment="1">
      <alignment horizontal="center" vertical="center" wrapText="1"/>
    </xf>
    <xf numFmtId="0" fontId="289" fillId="0" borderId="66" xfId="0" applyFont="1" applyFill="1" applyBorder="1" applyAlignment="1">
      <alignment horizontal="center" vertical="center" wrapText="1"/>
    </xf>
    <xf numFmtId="31" fontId="289" fillId="0" borderId="66" xfId="0" applyNumberFormat="1" applyFont="1" applyFill="1" applyBorder="1" applyAlignment="1">
      <alignment horizontal="center" vertical="center" wrapText="1"/>
    </xf>
    <xf numFmtId="10" fontId="289" fillId="0" borderId="66" xfId="0" applyNumberFormat="1" applyFont="1" applyFill="1" applyBorder="1" applyAlignment="1">
      <alignment horizontal="center" vertical="center" wrapText="1"/>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180" fontId="86" fillId="0" borderId="2" xfId="2" applyNumberFormat="1" applyFont="1" applyFill="1" applyBorder="1" applyAlignment="1" applyProtection="1">
      <alignment horizontal="center" vertical="center"/>
      <protection locked="0"/>
    </xf>
    <xf numFmtId="0" fontId="145" fillId="0" borderId="2" xfId="0" applyFont="1" applyFill="1" applyBorder="1" applyAlignment="1">
      <alignment vertical="center"/>
    </xf>
    <xf numFmtId="49" fontId="145" fillId="24" borderId="2" xfId="0" applyNumberFormat="1" applyFont="1" applyFill="1" applyBorder="1" applyAlignment="1">
      <alignment vertical="center"/>
    </xf>
    <xf numFmtId="10" fontId="0" fillId="24" borderId="2" xfId="0" applyNumberFormat="1" applyFill="1" applyBorder="1" applyAlignment="1">
      <alignment vertical="center"/>
    </xf>
    <xf numFmtId="0" fontId="0" fillId="24" borderId="2" xfId="0" applyFill="1" applyBorder="1" applyAlignment="1">
      <alignment vertical="center"/>
    </xf>
    <xf numFmtId="49" fontId="0" fillId="0" borderId="2" xfId="0" applyNumberFormat="1" applyFill="1" applyBorder="1" applyAlignment="1">
      <alignment vertical="center"/>
    </xf>
    <xf numFmtId="10" fontId="0" fillId="0" borderId="2" xfId="0" applyNumberFormat="1" applyFill="1" applyBorder="1" applyAlignment="1">
      <alignment vertical="center"/>
    </xf>
    <xf numFmtId="49" fontId="145" fillId="0" borderId="2" xfId="0" applyNumberFormat="1" applyFont="1" applyFill="1" applyBorder="1" applyAlignment="1">
      <alignment vertical="center"/>
    </xf>
    <xf numFmtId="9" fontId="0" fillId="24" borderId="0" xfId="0" applyNumberFormat="1" applyFill="1" applyBorder="1" applyAlignment="1">
      <alignment vertical="center"/>
    </xf>
    <xf numFmtId="0" fontId="0" fillId="23" borderId="2" xfId="0" applyFill="1" applyBorder="1">
      <alignment vertical="center"/>
    </xf>
    <xf numFmtId="0" fontId="280" fillId="0" borderId="53" xfId="19" applyFont="1" applyFill="1" applyBorder="1" applyAlignment="1" applyProtection="1">
      <alignment horizontal="left" vertical="center"/>
      <protection locked="0" hidden="1"/>
    </xf>
    <xf numFmtId="0" fontId="280" fillId="4" borderId="26" xfId="19" applyFont="1" applyFill="1" applyBorder="1" applyAlignment="1" applyProtection="1">
      <alignment horizontal="center" vertical="center"/>
      <protection locked="0" hidden="1"/>
    </xf>
    <xf numFmtId="181" fontId="291" fillId="4" borderId="40" xfId="19" applyNumberFormat="1" applyFont="1" applyFill="1" applyBorder="1" applyAlignment="1" applyProtection="1">
      <alignment horizontal="center" vertical="center"/>
      <protection locked="0" hidden="1"/>
    </xf>
    <xf numFmtId="178" fontId="280" fillId="4" borderId="39" xfId="19" applyNumberFormat="1" applyFont="1" applyFill="1" applyBorder="1" applyAlignment="1" applyProtection="1">
      <alignment horizontal="center" vertical="center"/>
      <protection locked="0"/>
    </xf>
    <xf numFmtId="0" fontId="291" fillId="0" borderId="0" xfId="19" applyFont="1">
      <alignment vertical="center"/>
    </xf>
    <xf numFmtId="0" fontId="32" fillId="0" borderId="0" xfId="19" applyFont="1">
      <alignment vertical="center"/>
    </xf>
    <xf numFmtId="0" fontId="253" fillId="0" borderId="0" xfId="19" applyFont="1">
      <alignment vertical="center"/>
    </xf>
    <xf numFmtId="0" fontId="280" fillId="0" borderId="36" xfId="19" applyFont="1" applyFill="1" applyBorder="1" applyAlignment="1" applyProtection="1">
      <alignment horizontal="left" vertical="center"/>
      <protection locked="0"/>
    </xf>
    <xf numFmtId="0" fontId="144" fillId="7" borderId="0" xfId="19" applyFont="1" applyFill="1">
      <alignment vertical="center"/>
    </xf>
    <xf numFmtId="0" fontId="127" fillId="7" borderId="0" xfId="19" applyFont="1" applyFill="1">
      <alignment vertical="center"/>
    </xf>
    <xf numFmtId="0" fontId="127" fillId="0" borderId="0" xfId="19" applyFont="1">
      <alignment vertical="center"/>
    </xf>
    <xf numFmtId="0" fontId="32" fillId="25" borderId="0" xfId="19" applyFont="1" applyFill="1">
      <alignment vertical="center"/>
    </xf>
    <xf numFmtId="0" fontId="280" fillId="0" borderId="157" xfId="19" applyFont="1" applyFill="1" applyBorder="1" applyAlignment="1" applyProtection="1">
      <alignment horizontal="left" vertical="center"/>
      <protection locked="0"/>
    </xf>
    <xf numFmtId="49" fontId="280" fillId="0" borderId="158" xfId="19" applyNumberFormat="1" applyFont="1" applyFill="1" applyBorder="1" applyAlignment="1" applyProtection="1">
      <alignment horizontal="right" vertical="center"/>
      <protection locked="0"/>
    </xf>
    <xf numFmtId="49" fontId="280" fillId="0" borderId="159" xfId="19" applyNumberFormat="1" applyFont="1" applyFill="1" applyBorder="1" applyAlignment="1" applyProtection="1">
      <alignment horizontal="right" vertical="center"/>
      <protection locked="0"/>
    </xf>
    <xf numFmtId="49" fontId="280" fillId="21" borderId="158" xfId="19" applyNumberFormat="1" applyFont="1" applyFill="1" applyBorder="1" applyAlignment="1" applyProtection="1">
      <alignment horizontal="right" vertical="center"/>
      <protection locked="0"/>
    </xf>
    <xf numFmtId="49" fontId="280" fillId="26" borderId="159" xfId="19" applyNumberFormat="1" applyFont="1" applyFill="1" applyBorder="1" applyAlignment="1" applyProtection="1">
      <alignment horizontal="right" vertical="center"/>
      <protection locked="0"/>
    </xf>
    <xf numFmtId="49" fontId="280" fillId="27" borderId="158" xfId="19" applyNumberFormat="1" applyFont="1" applyFill="1" applyBorder="1" applyAlignment="1" applyProtection="1">
      <alignment horizontal="right" vertical="center"/>
      <protection locked="0"/>
    </xf>
    <xf numFmtId="49" fontId="280" fillId="27" borderId="159" xfId="19" applyNumberFormat="1" applyFont="1" applyFill="1" applyBorder="1" applyAlignment="1" applyProtection="1">
      <alignment horizontal="right" vertical="center"/>
      <protection locked="0"/>
    </xf>
    <xf numFmtId="49" fontId="280" fillId="7" borderId="159" xfId="19" applyNumberFormat="1" applyFont="1" applyFill="1" applyBorder="1" applyAlignment="1" applyProtection="1">
      <alignment horizontal="right" vertical="center"/>
      <protection locked="0"/>
    </xf>
    <xf numFmtId="49" fontId="293" fillId="6" borderId="159" xfId="19" applyNumberFormat="1" applyFont="1" applyFill="1" applyBorder="1" applyAlignment="1" applyProtection="1">
      <alignment horizontal="right" vertical="center"/>
      <protection locked="0"/>
    </xf>
    <xf numFmtId="49" fontId="293" fillId="26" borderId="159" xfId="19" applyNumberFormat="1" applyFont="1" applyFill="1" applyBorder="1" applyAlignment="1" applyProtection="1">
      <alignment horizontal="right" vertical="center"/>
      <protection locked="0"/>
    </xf>
    <xf numFmtId="49" fontId="294" fillId="6" borderId="3" xfId="19" applyNumberFormat="1" applyFont="1" applyFill="1" applyBorder="1" applyAlignment="1" applyProtection="1">
      <alignment horizontal="right" vertical="center"/>
      <protection locked="0"/>
    </xf>
    <xf numFmtId="49" fontId="294" fillId="0" borderId="3" xfId="19" applyNumberFormat="1" applyFont="1" applyFill="1" applyBorder="1" applyAlignment="1" applyProtection="1">
      <alignment horizontal="right" vertical="center"/>
      <protection locked="0"/>
    </xf>
    <xf numFmtId="49" fontId="294" fillId="8" borderId="3" xfId="19" applyNumberFormat="1" applyFont="1" applyFill="1" applyBorder="1" applyAlignment="1" applyProtection="1">
      <alignment horizontal="right" vertical="center"/>
      <protection locked="0"/>
    </xf>
    <xf numFmtId="49" fontId="294" fillId="26" borderId="3" xfId="19" applyNumberFormat="1" applyFont="1" applyFill="1" applyBorder="1" applyAlignment="1" applyProtection="1">
      <alignment horizontal="right" vertical="center"/>
      <protection locked="0"/>
    </xf>
    <xf numFmtId="0" fontId="291" fillId="0" borderId="0" xfId="19" applyFont="1" applyFill="1" applyAlignment="1" applyProtection="1">
      <alignment horizontal="left" vertical="center"/>
      <protection locked="0"/>
    </xf>
    <xf numFmtId="0" fontId="280" fillId="0" borderId="0" xfId="19" applyFont="1" applyFill="1" applyBorder="1" applyAlignment="1" applyProtection="1">
      <alignment horizontal="center" vertical="center"/>
      <protection locked="0"/>
    </xf>
    <xf numFmtId="0" fontId="291" fillId="0" borderId="0" xfId="19" applyFont="1" applyProtection="1">
      <alignment vertical="center"/>
      <protection locked="0"/>
    </xf>
    <xf numFmtId="0" fontId="295" fillId="0" borderId="0" xfId="19" applyFont="1" applyProtection="1">
      <alignment vertical="center"/>
      <protection locked="0"/>
    </xf>
    <xf numFmtId="0" fontId="144" fillId="0" borderId="0" xfId="19" applyFont="1" applyProtection="1">
      <alignment vertical="center"/>
      <protection locked="0"/>
    </xf>
    <xf numFmtId="0" fontId="292" fillId="0" borderId="0" xfId="19" applyFont="1">
      <alignment vertical="center"/>
    </xf>
    <xf numFmtId="0" fontId="280" fillId="28" borderId="0" xfId="19" applyFont="1" applyFill="1" applyAlignment="1" applyProtection="1">
      <alignment horizontal="left" vertical="center"/>
      <protection locked="0"/>
    </xf>
    <xf numFmtId="0" fontId="291" fillId="0" borderId="0" xfId="19" applyFont="1" applyFill="1" applyBorder="1" applyProtection="1">
      <alignment vertical="center"/>
      <protection locked="0"/>
    </xf>
    <xf numFmtId="0" fontId="144" fillId="0" borderId="0" xfId="19" applyFont="1" applyFill="1" applyBorder="1" applyProtection="1">
      <alignment vertical="center"/>
      <protection locked="0"/>
    </xf>
    <xf numFmtId="0" fontId="144" fillId="29" borderId="0" xfId="19" applyFont="1" applyFill="1" applyBorder="1" applyProtection="1">
      <alignment vertical="center"/>
      <protection locked="0"/>
    </xf>
    <xf numFmtId="0" fontId="291" fillId="29" borderId="0" xfId="19" applyFont="1" applyFill="1" applyBorder="1">
      <alignment vertical="center"/>
    </xf>
    <xf numFmtId="0" fontId="291" fillId="0" borderId="0" xfId="19" applyFont="1" applyFill="1" applyBorder="1">
      <alignment vertical="center"/>
    </xf>
    <xf numFmtId="0" fontId="295" fillId="0" borderId="0" xfId="19" applyFont="1" applyFill="1" applyBorder="1">
      <alignment vertical="center"/>
    </xf>
    <xf numFmtId="0" fontId="32" fillId="29" borderId="0" xfId="19" applyFont="1" applyFill="1">
      <alignment vertical="center"/>
    </xf>
    <xf numFmtId="0" fontId="280" fillId="0" borderId="0" xfId="19" applyFont="1" applyFill="1" applyAlignment="1" applyProtection="1">
      <alignment horizontal="left" vertical="center"/>
      <protection locked="0"/>
    </xf>
    <xf numFmtId="180" fontId="280" fillId="30" borderId="2" xfId="19" applyNumberFormat="1" applyFont="1" applyFill="1" applyBorder="1" applyAlignment="1" applyProtection="1">
      <alignment horizontal="center" vertical="center"/>
      <protection locked="0"/>
    </xf>
    <xf numFmtId="0" fontId="280" fillId="30" borderId="2" xfId="19" applyFont="1" applyFill="1" applyBorder="1" applyProtection="1">
      <alignment vertical="center"/>
      <protection locked="0"/>
    </xf>
    <xf numFmtId="180" fontId="247" fillId="30" borderId="2" xfId="19" applyNumberFormat="1" applyFont="1" applyFill="1" applyBorder="1" applyProtection="1">
      <alignment vertical="center"/>
      <protection locked="0"/>
    </xf>
    <xf numFmtId="0" fontId="293" fillId="30" borderId="2" xfId="19" applyFont="1" applyFill="1" applyBorder="1" applyProtection="1">
      <alignment vertical="center"/>
      <protection locked="0"/>
    </xf>
    <xf numFmtId="0" fontId="280" fillId="30" borderId="2" xfId="19" applyFont="1" applyFill="1" applyBorder="1" applyAlignment="1" applyProtection="1">
      <alignment horizontal="center" vertical="center"/>
      <protection locked="0"/>
    </xf>
    <xf numFmtId="0" fontId="291" fillId="0" borderId="160" xfId="19" applyFont="1" applyBorder="1" applyAlignment="1" applyProtection="1">
      <alignment horizontal="left" vertical="center"/>
      <protection locked="0"/>
    </xf>
    <xf numFmtId="0" fontId="3" fillId="30" borderId="2" xfId="19" applyFont="1" applyFill="1" applyBorder="1" applyAlignment="1" applyProtection="1">
      <alignment horizontal="center" vertical="center"/>
      <protection locked="0"/>
    </xf>
    <xf numFmtId="0" fontId="291" fillId="30" borderId="2" xfId="19" applyFont="1" applyFill="1" applyBorder="1" applyProtection="1">
      <alignment vertical="center"/>
      <protection locked="0"/>
    </xf>
    <xf numFmtId="0" fontId="295" fillId="30" borderId="2" xfId="19" applyFont="1" applyFill="1" applyBorder="1" applyProtection="1">
      <alignment vertical="center"/>
      <protection locked="0"/>
    </xf>
    <xf numFmtId="0" fontId="280" fillId="31" borderId="2" xfId="19" applyFont="1" applyFill="1" applyBorder="1" applyAlignment="1" applyProtection="1">
      <alignment horizontal="left" vertical="center" wrapText="1"/>
      <protection locked="0"/>
    </xf>
    <xf numFmtId="0" fontId="280" fillId="0" borderId="52" xfId="19" applyFont="1" applyFill="1" applyBorder="1" applyAlignment="1" applyProtection="1">
      <alignment horizontal="center" vertical="center" shrinkToFit="1"/>
      <protection locked="0"/>
    </xf>
    <xf numFmtId="0" fontId="3" fillId="0" borderId="21" xfId="19" applyFont="1" applyFill="1" applyBorder="1" applyAlignment="1" applyProtection="1">
      <alignment horizontal="left" vertical="center"/>
      <protection locked="0"/>
    </xf>
    <xf numFmtId="0" fontId="211" fillId="0" borderId="21" xfId="19" applyFont="1" applyFill="1" applyBorder="1" applyAlignment="1" applyProtection="1">
      <alignment horizontal="left" vertical="center"/>
      <protection locked="0"/>
    </xf>
    <xf numFmtId="0" fontId="280" fillId="0" borderId="0" xfId="19" applyFont="1" applyFill="1" applyBorder="1" applyAlignment="1" applyProtection="1">
      <alignment horizontal="left" vertical="center"/>
      <protection locked="0"/>
    </xf>
    <xf numFmtId="0" fontId="291" fillId="0" borderId="0" xfId="19" applyFont="1" applyFill="1" applyBorder="1" applyAlignment="1" applyProtection="1">
      <alignment horizontal="center" vertical="center"/>
      <protection locked="0"/>
    </xf>
    <xf numFmtId="2" fontId="291" fillId="0" borderId="0" xfId="19" applyNumberFormat="1" applyFont="1" applyProtection="1">
      <alignment vertical="center"/>
      <protection locked="0"/>
    </xf>
    <xf numFmtId="2" fontId="295" fillId="29" borderId="0" xfId="19" applyNumberFormat="1" applyFont="1" applyFill="1" applyProtection="1">
      <alignment vertical="center"/>
      <protection locked="0"/>
    </xf>
    <xf numFmtId="2" fontId="291" fillId="29" borderId="0" xfId="19" applyNumberFormat="1" applyFont="1" applyFill="1" applyProtection="1">
      <alignment vertical="center"/>
      <protection locked="0"/>
    </xf>
    <xf numFmtId="0" fontId="291" fillId="29" borderId="0" xfId="19" applyFont="1" applyFill="1" applyProtection="1">
      <alignment vertical="center"/>
      <protection locked="0"/>
    </xf>
    <xf numFmtId="0" fontId="291" fillId="8" borderId="0" xfId="19" applyFont="1" applyFill="1" applyProtection="1">
      <alignment vertical="center"/>
      <protection locked="0"/>
    </xf>
    <xf numFmtId="0" fontId="32" fillId="8" borderId="0" xfId="19" applyFont="1" applyFill="1">
      <alignment vertical="center"/>
    </xf>
    <xf numFmtId="0" fontId="295" fillId="29" borderId="0" xfId="19" applyFont="1" applyFill="1" applyProtection="1">
      <alignment vertical="center"/>
      <protection locked="0"/>
    </xf>
    <xf numFmtId="2" fontId="291" fillId="0" borderId="0" xfId="19" applyNumberFormat="1" applyFont="1" applyFill="1" applyProtection="1">
      <alignment vertical="center"/>
      <protection locked="0"/>
    </xf>
    <xf numFmtId="0" fontId="32" fillId="8" borderId="0" xfId="19" applyFont="1" applyFill="1" applyBorder="1">
      <alignment vertical="center"/>
    </xf>
    <xf numFmtId="0" fontId="32" fillId="0" borderId="0" xfId="19" applyFont="1" applyFill="1" applyBorder="1">
      <alignment vertical="center"/>
    </xf>
    <xf numFmtId="0" fontId="291" fillId="30" borderId="0" xfId="19" applyFont="1" applyFill="1" applyBorder="1" applyAlignment="1" applyProtection="1">
      <alignment horizontal="center" vertical="center"/>
      <protection locked="0"/>
    </xf>
    <xf numFmtId="0" fontId="291" fillId="30" borderId="83" xfId="19" applyFont="1" applyFill="1" applyBorder="1" applyProtection="1">
      <alignment vertical="center"/>
      <protection locked="0"/>
    </xf>
    <xf numFmtId="0" fontId="295" fillId="30" borderId="83" xfId="19" applyFont="1" applyFill="1" applyBorder="1" applyProtection="1">
      <alignment vertical="center"/>
      <protection locked="0"/>
    </xf>
    <xf numFmtId="0" fontId="291" fillId="26" borderId="160" xfId="19" applyFont="1" applyFill="1" applyBorder="1" applyAlignment="1" applyProtection="1">
      <alignment horizontal="left" vertical="center"/>
      <protection locked="0"/>
    </xf>
    <xf numFmtId="0" fontId="3" fillId="26" borderId="0" xfId="19" applyFont="1" applyFill="1" applyAlignment="1" applyProtection="1">
      <alignment horizontal="center" vertical="center"/>
      <protection locked="0"/>
    </xf>
    <xf numFmtId="0" fontId="291" fillId="26" borderId="0" xfId="19" applyFont="1" applyFill="1" applyProtection="1">
      <alignment vertical="center"/>
      <protection locked="0"/>
    </xf>
    <xf numFmtId="0" fontId="295" fillId="26" borderId="0" xfId="19" applyFont="1" applyFill="1" applyProtection="1">
      <alignment vertical="center"/>
      <protection locked="0"/>
    </xf>
    <xf numFmtId="0" fontId="32" fillId="26" borderId="0" xfId="19" applyFont="1" applyFill="1">
      <alignment vertical="center"/>
    </xf>
    <xf numFmtId="0" fontId="291" fillId="32" borderId="2" xfId="19" applyFont="1" applyFill="1" applyBorder="1" applyAlignment="1" applyProtection="1">
      <alignment horizontal="left" vertical="center"/>
      <protection locked="0"/>
    </xf>
    <xf numFmtId="0" fontId="3" fillId="30" borderId="0" xfId="19" applyFont="1" applyFill="1" applyAlignment="1" applyProtection="1">
      <alignment horizontal="center" vertical="center"/>
      <protection locked="0"/>
    </xf>
    <xf numFmtId="0" fontId="280" fillId="0" borderId="160" xfId="19" applyFont="1" applyBorder="1" applyAlignment="1" applyProtection="1">
      <alignment horizontal="left" vertical="center"/>
      <protection locked="0"/>
    </xf>
    <xf numFmtId="0" fontId="3" fillId="0" borderId="0" xfId="19" applyFont="1" applyFill="1" applyAlignment="1" applyProtection="1">
      <alignment horizontal="center" vertical="center"/>
      <protection locked="0"/>
    </xf>
    <xf numFmtId="0" fontId="291" fillId="8" borderId="0" xfId="19" applyFont="1" applyFill="1" applyBorder="1" applyProtection="1">
      <alignment vertical="center"/>
      <protection locked="0"/>
    </xf>
    <xf numFmtId="0" fontId="291" fillId="29" borderId="0" xfId="19" applyFont="1" applyFill="1" applyBorder="1" applyProtection="1">
      <alignment vertical="center"/>
      <protection locked="0"/>
    </xf>
    <xf numFmtId="0" fontId="295" fillId="0" borderId="0" xfId="19" applyFont="1" applyFill="1" applyBorder="1" applyProtection="1">
      <alignment vertical="center"/>
      <protection locked="0"/>
    </xf>
    <xf numFmtId="0" fontId="291" fillId="30" borderId="2" xfId="19" applyFont="1" applyFill="1" applyBorder="1" applyAlignment="1" applyProtection="1">
      <alignment horizontal="center" vertical="center"/>
      <protection locked="0"/>
    </xf>
    <xf numFmtId="0" fontId="294" fillId="31" borderId="23" xfId="19" applyFont="1" applyFill="1" applyBorder="1" applyAlignment="1" applyProtection="1">
      <alignment horizontal="center" vertical="center"/>
      <protection locked="0"/>
    </xf>
    <xf numFmtId="0" fontId="291" fillId="31" borderId="55" xfId="19" applyFont="1" applyFill="1" applyBorder="1" applyProtection="1">
      <alignment vertical="center"/>
      <protection locked="0"/>
    </xf>
    <xf numFmtId="0" fontId="295" fillId="31" borderId="55" xfId="19" applyFont="1" applyFill="1" applyBorder="1" applyProtection="1">
      <alignment vertical="center"/>
      <protection locked="0"/>
    </xf>
    <xf numFmtId="0" fontId="291" fillId="7" borderId="3" xfId="19" applyFont="1" applyFill="1" applyBorder="1" applyProtection="1">
      <alignment vertical="center"/>
      <protection locked="0"/>
    </xf>
    <xf numFmtId="0" fontId="280" fillId="33" borderId="0" xfId="19" applyFont="1" applyFill="1" applyBorder="1" applyAlignment="1" applyProtection="1">
      <alignment horizontal="left" vertical="center"/>
      <protection locked="0"/>
    </xf>
    <xf numFmtId="0" fontId="291" fillId="33" borderId="55" xfId="19" applyFont="1" applyFill="1" applyBorder="1" applyProtection="1">
      <alignment vertical="center"/>
      <protection locked="0"/>
    </xf>
    <xf numFmtId="0" fontId="295" fillId="33" borderId="55" xfId="19" applyFont="1" applyFill="1" applyBorder="1" applyProtection="1">
      <alignment vertical="center"/>
      <protection locked="0"/>
    </xf>
    <xf numFmtId="0" fontId="32" fillId="33" borderId="0" xfId="19" applyFont="1" applyFill="1">
      <alignment vertical="center"/>
    </xf>
    <xf numFmtId="0" fontId="280" fillId="0" borderId="61" xfId="19" applyFont="1" applyFill="1" applyBorder="1" applyAlignment="1" applyProtection="1">
      <alignment horizontal="left" vertical="center"/>
      <protection locked="0"/>
    </xf>
    <xf numFmtId="0" fontId="294" fillId="34" borderId="54" xfId="19" applyFont="1" applyFill="1" applyBorder="1" applyAlignment="1" applyProtection="1">
      <alignment horizontal="center" vertical="center"/>
      <protection locked="0"/>
    </xf>
    <xf numFmtId="0" fontId="291" fillId="34" borderId="55" xfId="19" applyFont="1" applyFill="1" applyBorder="1" applyProtection="1">
      <alignment vertical="center"/>
      <protection locked="0"/>
    </xf>
    <xf numFmtId="0" fontId="295" fillId="34" borderId="55" xfId="19" applyFont="1" applyFill="1" applyBorder="1" applyProtection="1">
      <alignment vertical="center"/>
      <protection locked="0"/>
    </xf>
    <xf numFmtId="0" fontId="280" fillId="0" borderId="26" xfId="19" applyFont="1" applyFill="1" applyBorder="1" applyAlignment="1" applyProtection="1">
      <alignment horizontal="left" vertical="center"/>
      <protection locked="0"/>
    </xf>
    <xf numFmtId="0" fontId="291" fillId="26" borderId="35" xfId="19" applyFont="1" applyFill="1" applyBorder="1" applyAlignment="1" applyProtection="1">
      <alignment horizontal="right" vertical="center"/>
      <protection locked="0"/>
    </xf>
    <xf numFmtId="0" fontId="291" fillId="0" borderId="79" xfId="19" applyFont="1" applyFill="1" applyBorder="1" applyAlignment="1" applyProtection="1">
      <alignment horizontal="left" vertical="center"/>
      <protection locked="0"/>
    </xf>
    <xf numFmtId="0" fontId="291" fillId="0" borderId="79" xfId="19" applyFont="1" applyFill="1" applyBorder="1" applyAlignment="1" applyProtection="1">
      <alignment horizontal="right" vertical="center"/>
    </xf>
    <xf numFmtId="0" fontId="3" fillId="0" borderId="0" xfId="19" applyFont="1" applyBorder="1" applyAlignment="1">
      <alignment horizontal="left" vertical="center" wrapText="1"/>
    </xf>
    <xf numFmtId="0" fontId="112" fillId="0" borderId="66" xfId="19" applyFont="1" applyBorder="1" applyAlignment="1">
      <alignment horizontal="center" vertical="center" wrapText="1"/>
    </xf>
    <xf numFmtId="0" fontId="280" fillId="0" borderId="79" xfId="19" applyFont="1" applyFill="1" applyBorder="1" applyAlignment="1" applyProtection="1">
      <alignment horizontal="left" vertical="center"/>
      <protection locked="0"/>
    </xf>
    <xf numFmtId="0" fontId="291" fillId="0" borderId="80" xfId="19" applyFont="1" applyFill="1" applyBorder="1" applyAlignment="1" applyProtection="1">
      <alignment horizontal="right" vertical="center"/>
      <protection locked="0"/>
    </xf>
    <xf numFmtId="0" fontId="280" fillId="0" borderId="35" xfId="19" applyFont="1" applyFill="1" applyBorder="1" applyAlignment="1" applyProtection="1">
      <alignment horizontal="left" vertical="center"/>
      <protection locked="0"/>
    </xf>
    <xf numFmtId="0" fontId="291" fillId="35" borderId="79" xfId="19" applyFont="1" applyFill="1" applyBorder="1" applyAlignment="1" applyProtection="1">
      <alignment horizontal="right" vertical="center"/>
    </xf>
    <xf numFmtId="0" fontId="3" fillId="0" borderId="0" xfId="19" applyFont="1" applyBorder="1" applyAlignment="1">
      <alignment vertical="center" wrapText="1"/>
    </xf>
    <xf numFmtId="0" fontId="295" fillId="26" borderId="35" xfId="19" applyFont="1" applyFill="1" applyBorder="1" applyAlignment="1" applyProtection="1">
      <alignment horizontal="right" vertical="center"/>
      <protection locked="0"/>
    </xf>
    <xf numFmtId="0" fontId="291" fillId="7" borderId="35" xfId="19" applyFont="1" applyFill="1" applyBorder="1" applyAlignment="1" applyProtection="1">
      <alignment horizontal="right" vertical="center"/>
      <protection locked="0"/>
    </xf>
    <xf numFmtId="0" fontId="291" fillId="26" borderId="79" xfId="19" applyFont="1" applyFill="1" applyBorder="1" applyAlignment="1" applyProtection="1">
      <alignment horizontal="right" vertical="center"/>
    </xf>
    <xf numFmtId="0" fontId="291" fillId="25" borderId="35" xfId="19" applyFont="1" applyFill="1" applyBorder="1" applyAlignment="1" applyProtection="1">
      <alignment horizontal="right" vertical="center"/>
      <protection locked="0"/>
    </xf>
    <xf numFmtId="0" fontId="295" fillId="26" borderId="79" xfId="19" applyFont="1" applyFill="1" applyBorder="1" applyAlignment="1" applyProtection="1">
      <alignment horizontal="right" vertical="center"/>
    </xf>
    <xf numFmtId="0" fontId="291" fillId="6" borderId="0" xfId="19" applyFont="1" applyFill="1">
      <alignment vertical="center"/>
    </xf>
    <xf numFmtId="0" fontId="291" fillId="25" borderId="0" xfId="19" applyFont="1" applyFill="1">
      <alignment vertical="center"/>
    </xf>
    <xf numFmtId="0" fontId="291" fillId="0" borderId="35" xfId="19" applyFont="1" applyFill="1" applyBorder="1" applyAlignment="1" applyProtection="1">
      <alignment horizontal="right" vertical="center"/>
      <protection locked="0"/>
    </xf>
    <xf numFmtId="0" fontId="280" fillId="0" borderId="31" xfId="19" applyFont="1" applyFill="1" applyBorder="1" applyAlignment="1" applyProtection="1">
      <alignment horizontal="left" vertical="center"/>
      <protection locked="0"/>
    </xf>
    <xf numFmtId="0" fontId="291" fillId="0" borderId="34" xfId="19" applyFont="1" applyFill="1" applyBorder="1" applyAlignment="1" applyProtection="1">
      <alignment horizontal="center" vertical="center"/>
      <protection locked="0" hidden="1"/>
    </xf>
    <xf numFmtId="0" fontId="280" fillId="0" borderId="36" xfId="19" applyFont="1" applyFill="1" applyBorder="1" applyAlignment="1" applyProtection="1">
      <alignment horizontal="center" vertical="center"/>
      <protection locked="0" hidden="1"/>
    </xf>
    <xf numFmtId="0" fontId="291" fillId="0" borderId="49" xfId="19" applyFont="1" applyFill="1" applyBorder="1" applyAlignment="1" applyProtection="1">
      <alignment horizontal="center" vertical="center"/>
      <protection locked="0" hidden="1"/>
    </xf>
    <xf numFmtId="0" fontId="291" fillId="0" borderId="36" xfId="19" applyFont="1" applyFill="1" applyBorder="1" applyAlignment="1" applyProtection="1">
      <alignment horizontal="center" vertical="center"/>
      <protection locked="0" hidden="1"/>
    </xf>
    <xf numFmtId="0" fontId="291" fillId="0" borderId="37" xfId="19" applyFont="1" applyFill="1" applyBorder="1" applyAlignment="1" applyProtection="1">
      <alignment horizontal="center" vertical="center"/>
      <protection locked="0" hidden="1"/>
    </xf>
    <xf numFmtId="0" fontId="291" fillId="0" borderId="38" xfId="19" applyFont="1" applyFill="1" applyBorder="1" applyAlignment="1" applyProtection="1">
      <alignment horizontal="center" vertical="center"/>
      <protection locked="0" hidden="1"/>
    </xf>
    <xf numFmtId="0" fontId="280" fillId="36" borderId="0" xfId="19" applyFont="1" applyFill="1" applyBorder="1" applyAlignment="1" applyProtection="1">
      <alignment horizontal="left" vertical="center"/>
      <protection locked="0"/>
    </xf>
    <xf numFmtId="0" fontId="291" fillId="36" borderId="0" xfId="19" applyFont="1" applyFill="1" applyBorder="1" applyAlignment="1" applyProtection="1">
      <alignment horizontal="center" vertical="center"/>
      <protection locked="0" hidden="1"/>
    </xf>
    <xf numFmtId="0" fontId="291" fillId="36" borderId="0" xfId="19" applyFont="1" applyFill="1" applyBorder="1" applyAlignment="1" applyProtection="1">
      <alignment horizontal="right" vertical="center"/>
      <protection locked="0" hidden="1"/>
    </xf>
    <xf numFmtId="0" fontId="280" fillId="36" borderId="0" xfId="19" applyFont="1" applyFill="1" applyBorder="1" applyAlignment="1" applyProtection="1">
      <alignment horizontal="center" vertical="center"/>
      <protection locked="0" hidden="1"/>
    </xf>
    <xf numFmtId="0" fontId="247" fillId="0" borderId="2" xfId="19" applyFont="1" applyFill="1" applyBorder="1" applyAlignment="1" applyProtection="1">
      <alignment horizontal="center" vertical="center" wrapText="1"/>
      <protection locked="0" hidden="1"/>
    </xf>
    <xf numFmtId="0" fontId="247" fillId="0" borderId="10" xfId="19" applyFont="1" applyFill="1" applyBorder="1" applyAlignment="1" applyProtection="1">
      <alignment horizontal="center" vertical="center"/>
      <protection locked="0" hidden="1"/>
    </xf>
    <xf numFmtId="0" fontId="247" fillId="0" borderId="10" xfId="19" applyFont="1" applyFill="1" applyBorder="1" applyAlignment="1" applyProtection="1">
      <alignment horizontal="center" vertical="center" wrapText="1"/>
      <protection locked="0" hidden="1"/>
    </xf>
    <xf numFmtId="198" fontId="127"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4" xfId="19" applyFont="1" applyFill="1" applyBorder="1" applyAlignment="1" applyProtection="1">
      <alignment horizontal="center" vertical="center"/>
      <protection locked="0" hidden="1"/>
    </xf>
    <xf numFmtId="0" fontId="247" fillId="0" borderId="167" xfId="19" applyFont="1" applyFill="1" applyBorder="1" applyAlignment="1" applyProtection="1">
      <alignment horizontal="center" vertical="center" wrapText="1"/>
      <protection locked="0" hidden="1"/>
    </xf>
    <xf numFmtId="0" fontId="291" fillId="0" borderId="168"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0" fontId="291" fillId="0" borderId="169" xfId="19" applyNumberFormat="1" applyFont="1" applyFill="1" applyBorder="1" applyAlignment="1" applyProtection="1">
      <alignment horizontal="center" vertical="center" wrapText="1"/>
      <protection locked="0" hidden="1"/>
    </xf>
    <xf numFmtId="49" fontId="291" fillId="0" borderId="168" xfId="19" applyNumberFormat="1" applyFont="1" applyFill="1" applyBorder="1" applyAlignment="1" applyProtection="1">
      <alignment horizontal="center" vertical="center" wrapText="1"/>
      <protection locked="0" hidden="1"/>
    </xf>
    <xf numFmtId="0" fontId="291" fillId="0" borderId="171" xfId="19" applyNumberFormat="1" applyFont="1" applyFill="1" applyBorder="1" applyAlignment="1" applyProtection="1">
      <alignment horizontal="center" vertical="center"/>
      <protection locked="0" hidden="1"/>
    </xf>
    <xf numFmtId="49" fontId="291" fillId="0" borderId="168" xfId="19" applyNumberFormat="1" applyFont="1" applyFill="1" applyBorder="1" applyAlignment="1" applyProtection="1">
      <alignment horizontal="center" vertical="center"/>
      <protection locked="0" hidden="1"/>
    </xf>
    <xf numFmtId="0" fontId="291" fillId="0" borderId="169" xfId="19" applyNumberFormat="1" applyFont="1" applyFill="1" applyBorder="1" applyAlignment="1" applyProtection="1">
      <alignment horizontal="center" vertical="center"/>
      <protection locked="0" hidden="1"/>
    </xf>
    <xf numFmtId="0" fontId="291" fillId="0" borderId="168" xfId="19" applyNumberFormat="1" applyFont="1" applyFill="1" applyBorder="1" applyAlignment="1" applyProtection="1">
      <alignment horizontal="center" vertical="center"/>
      <protection locked="0" hidden="1"/>
    </xf>
    <xf numFmtId="0" fontId="291" fillId="0" borderId="168" xfId="19" applyFont="1" applyFill="1" applyBorder="1" applyAlignment="1" applyProtection="1">
      <alignment horizontal="center" vertical="center"/>
      <protection locked="0" hidden="1"/>
    </xf>
    <xf numFmtId="0" fontId="291" fillId="0" borderId="169"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200" fontId="247" fillId="2" borderId="2" xfId="19" applyNumberFormat="1" applyFont="1" applyFill="1" applyBorder="1" applyAlignment="1" applyProtection="1">
      <alignment horizontal="center" vertical="center"/>
      <protection locked="0" hidden="1"/>
    </xf>
    <xf numFmtId="0" fontId="247" fillId="0" borderId="174" xfId="19" applyFont="1" applyFill="1" applyBorder="1" applyAlignment="1" applyProtection="1">
      <alignment horizontal="center" vertical="center"/>
      <protection locked="0" hidden="1"/>
    </xf>
    <xf numFmtId="178" fontId="291" fillId="0" borderId="168" xfId="19" applyNumberFormat="1" applyFont="1" applyFill="1" applyBorder="1" applyAlignment="1" applyProtection="1">
      <alignment horizontal="center" vertical="center"/>
    </xf>
    <xf numFmtId="178" fontId="291" fillId="0" borderId="175" xfId="19" applyNumberFormat="1" applyFont="1" applyFill="1" applyBorder="1" applyAlignment="1" applyProtection="1">
      <alignment horizontal="center" vertical="center"/>
    </xf>
    <xf numFmtId="178" fontId="291" fillId="0" borderId="171" xfId="19" applyNumberFormat="1" applyFont="1" applyFill="1" applyBorder="1" applyAlignment="1" applyProtection="1">
      <alignment horizontal="center" vertical="center"/>
    </xf>
    <xf numFmtId="178" fontId="291" fillId="0" borderId="168" xfId="19" applyNumberFormat="1" applyFont="1" applyFill="1" applyBorder="1" applyAlignment="1" applyProtection="1">
      <alignment horizontal="center" vertical="center"/>
      <protection locked="0" hidden="1"/>
    </xf>
    <xf numFmtId="178" fontId="291" fillId="0" borderId="175"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xf>
    <xf numFmtId="178" fontId="291" fillId="0" borderId="176" xfId="19" applyNumberFormat="1" applyFont="1" applyFill="1" applyBorder="1" applyAlignment="1" applyProtection="1">
      <alignment horizontal="center" vertical="center"/>
      <protection locked="0" hidden="1"/>
    </xf>
    <xf numFmtId="178" fontId="291" fillId="0" borderId="177" xfId="19" applyNumberFormat="1" applyFont="1" applyFill="1" applyBorder="1" applyAlignment="1" applyProtection="1">
      <alignment horizontal="center" vertical="center"/>
      <protection locked="0" hidden="1"/>
    </xf>
    <xf numFmtId="178" fontId="291" fillId="0" borderId="178" xfId="19" applyNumberFormat="1" applyFont="1" applyFill="1" applyBorder="1" applyAlignment="1" applyProtection="1">
      <alignment horizontal="center" vertical="center"/>
      <protection locked="0" hidden="1"/>
    </xf>
    <xf numFmtId="178" fontId="291" fillId="0" borderId="179" xfId="19" applyNumberFormat="1" applyFont="1" applyFill="1" applyBorder="1" applyAlignment="1" applyProtection="1">
      <alignment horizontal="center" vertical="center"/>
    </xf>
    <xf numFmtId="178" fontId="291" fillId="0" borderId="180" xfId="19" applyNumberFormat="1" applyFont="1" applyFill="1" applyBorder="1" applyAlignment="1" applyProtection="1">
      <alignment horizontal="center" vertical="center"/>
    </xf>
    <xf numFmtId="178" fontId="291" fillId="0" borderId="181" xfId="19" applyNumberFormat="1" applyFont="1" applyFill="1" applyBorder="1" applyAlignment="1" applyProtection="1">
      <alignment horizontal="center" vertical="center"/>
    </xf>
    <xf numFmtId="178" fontId="291" fillId="0" borderId="178" xfId="19" applyNumberFormat="1" applyFont="1" applyFill="1" applyBorder="1" applyAlignment="1" applyProtection="1">
      <alignment horizontal="center" vertical="center"/>
    </xf>
    <xf numFmtId="202" fontId="247" fillId="2" borderId="10" xfId="19" applyNumberFormat="1" applyFont="1" applyFill="1" applyBorder="1" applyAlignment="1" applyProtection="1">
      <alignment horizontal="left" vertical="center"/>
    </xf>
    <xf numFmtId="0" fontId="221" fillId="0" borderId="74" xfId="19" applyFont="1" applyBorder="1" applyAlignment="1">
      <alignment horizontal="center" vertical="center" wrapText="1"/>
    </xf>
    <xf numFmtId="0" fontId="221" fillId="0" borderId="74" xfId="19" applyFont="1" applyBorder="1" applyAlignment="1">
      <alignment horizontal="center" vertical="center"/>
    </xf>
    <xf numFmtId="0" fontId="247" fillId="0" borderId="2" xfId="19" applyFont="1" applyFill="1" applyBorder="1" applyAlignment="1" applyProtection="1">
      <alignment horizontal="center" vertical="center"/>
      <protection locked="0" hidden="1"/>
    </xf>
    <xf numFmtId="200" fontId="127" fillId="0" borderId="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0" fontId="247" fillId="0" borderId="183" xfId="19" applyFont="1" applyFill="1" applyBorder="1" applyAlignment="1" applyProtection="1">
      <alignment horizontal="center" vertical="center"/>
      <protection locked="0" hidden="1"/>
    </xf>
    <xf numFmtId="0" fontId="247" fillId="0" borderId="184" xfId="19" applyFont="1" applyFill="1" applyBorder="1" applyAlignment="1" applyProtection="1">
      <alignment horizontal="center" vertical="center"/>
      <protection locked="0" hidden="1"/>
    </xf>
    <xf numFmtId="0" fontId="247" fillId="0" borderId="185" xfId="19" applyFont="1" applyFill="1" applyBorder="1" applyAlignment="1" applyProtection="1">
      <alignment horizontal="center" vertical="center" wrapText="1"/>
      <protection locked="0" hidden="1"/>
    </xf>
    <xf numFmtId="178" fontId="291" fillId="0" borderId="164" xfId="19" applyNumberFormat="1" applyFont="1" applyFill="1" applyBorder="1" applyAlignment="1" applyProtection="1">
      <alignment horizontal="center" vertical="center"/>
    </xf>
    <xf numFmtId="178" fontId="291" fillId="0" borderId="174" xfId="19" applyNumberFormat="1" applyFont="1" applyFill="1" applyBorder="1" applyAlignment="1" applyProtection="1">
      <alignment horizontal="center" vertical="center"/>
    </xf>
    <xf numFmtId="178" fontId="291" fillId="0" borderId="167" xfId="19" applyNumberFormat="1" applyFont="1" applyFill="1" applyBorder="1" applyAlignment="1" applyProtection="1">
      <alignment horizontal="center" vertical="center"/>
    </xf>
    <xf numFmtId="178" fontId="291" fillId="0" borderId="166" xfId="19" applyNumberFormat="1" applyFont="1" applyFill="1" applyBorder="1" applyAlignment="1" applyProtection="1">
      <alignment horizontal="center" vertical="center"/>
      <protection locked="0" hidden="1"/>
    </xf>
    <xf numFmtId="178" fontId="291" fillId="0" borderId="174" xfId="19" applyNumberFormat="1" applyFont="1" applyFill="1" applyBorder="1" applyAlignment="1" applyProtection="1">
      <alignment horizontal="center" vertical="center"/>
      <protection locked="0" hidden="1"/>
    </xf>
    <xf numFmtId="178" fontId="291" fillId="0" borderId="167" xfId="19" applyNumberFormat="1" applyFont="1" applyFill="1" applyBorder="1" applyAlignment="1" applyProtection="1">
      <alignment horizontal="center" vertical="center"/>
      <protection locked="0" hidden="1"/>
    </xf>
    <xf numFmtId="178" fontId="291" fillId="0" borderId="170" xfId="19" applyNumberFormat="1" applyFont="1" applyFill="1" applyBorder="1" applyAlignment="1" applyProtection="1">
      <alignment horizontal="center" vertical="center"/>
      <protection locked="0" hidden="1"/>
    </xf>
    <xf numFmtId="178" fontId="291" fillId="0" borderId="171" xfId="19" applyNumberFormat="1" applyFont="1" applyFill="1" applyBorder="1" applyAlignment="1" applyProtection="1">
      <alignment horizontal="center" vertical="center"/>
      <protection locked="0" hidden="1"/>
    </xf>
    <xf numFmtId="178" fontId="291" fillId="0" borderId="186" xfId="19" applyNumberFormat="1" applyFont="1" applyFill="1" applyBorder="1" applyAlignment="1" applyProtection="1">
      <alignment horizontal="center" vertical="center"/>
    </xf>
    <xf numFmtId="178" fontId="291" fillId="0" borderId="187" xfId="19" applyNumberFormat="1" applyFont="1" applyFill="1" applyBorder="1" applyAlignment="1" applyProtection="1">
      <alignment horizontal="center" vertical="center"/>
    </xf>
    <xf numFmtId="178" fontId="291" fillId="0" borderId="188" xfId="19" applyNumberFormat="1" applyFont="1" applyFill="1" applyBorder="1" applyAlignment="1" applyProtection="1">
      <alignment horizontal="center" vertical="center"/>
    </xf>
    <xf numFmtId="178" fontId="291" fillId="0" borderId="173" xfId="19" applyNumberFormat="1" applyFont="1" applyFill="1" applyBorder="1" applyAlignment="1" applyProtection="1">
      <alignment horizontal="center" vertical="center"/>
      <protection locked="0" hidden="1"/>
    </xf>
    <xf numFmtId="178" fontId="291" fillId="0" borderId="187" xfId="19" applyNumberFormat="1" applyFont="1" applyFill="1" applyBorder="1" applyAlignment="1" applyProtection="1">
      <alignment horizontal="center" vertical="center"/>
      <protection locked="0" hidden="1"/>
    </xf>
    <xf numFmtId="178" fontId="291" fillId="0" borderId="188" xfId="19" applyNumberFormat="1" applyFont="1" applyFill="1" applyBorder="1" applyAlignment="1" applyProtection="1">
      <alignment horizontal="center" vertical="center"/>
      <protection locked="0" hidden="1"/>
    </xf>
    <xf numFmtId="178" fontId="291" fillId="0" borderId="189" xfId="19" applyNumberFormat="1" applyFont="1" applyFill="1" applyBorder="1" applyAlignment="1" applyProtection="1">
      <alignment horizontal="center" vertical="center"/>
    </xf>
    <xf numFmtId="178" fontId="291" fillId="0" borderId="190" xfId="19" applyNumberFormat="1" applyFont="1" applyFill="1" applyBorder="1" applyAlignment="1" applyProtection="1">
      <alignment horizontal="center" vertical="center"/>
    </xf>
    <xf numFmtId="178" fontId="291" fillId="0" borderId="191" xfId="19" applyNumberFormat="1" applyFont="1" applyFill="1" applyBorder="1" applyAlignment="1" applyProtection="1">
      <alignment horizontal="center" vertical="center"/>
    </xf>
    <xf numFmtId="178" fontId="291" fillId="0" borderId="13" xfId="19" applyNumberFormat="1" applyFont="1" applyFill="1" applyBorder="1" applyAlignment="1" applyProtection="1">
      <alignment horizontal="center" vertical="center"/>
      <protection locked="0" hidden="1"/>
    </xf>
    <xf numFmtId="178" fontId="291" fillId="0" borderId="192" xfId="19" applyNumberFormat="1" applyFont="1" applyFill="1" applyBorder="1" applyAlignment="1" applyProtection="1">
      <alignment horizontal="center" vertical="center"/>
      <protection locked="0" hidden="1"/>
    </xf>
    <xf numFmtId="178" fontId="291" fillId="0" borderId="193" xfId="19" applyNumberFormat="1" applyFont="1" applyFill="1" applyBorder="1" applyAlignment="1" applyProtection="1">
      <alignment horizontal="center" vertical="center"/>
    </xf>
    <xf numFmtId="178" fontId="291" fillId="0" borderId="194" xfId="19" applyNumberFormat="1" applyFont="1" applyFill="1" applyBorder="1" applyAlignment="1" applyProtection="1">
      <alignment horizontal="center" vertical="center"/>
    </xf>
    <xf numFmtId="0" fontId="221" fillId="0" borderId="21" xfId="19" applyFont="1" applyBorder="1" applyAlignment="1">
      <alignment horizontal="center" vertical="center" wrapText="1"/>
    </xf>
    <xf numFmtId="0" fontId="221" fillId="0" borderId="21" xfId="19" applyFont="1" applyBorder="1" applyAlignment="1">
      <alignment horizontal="center" vertical="center"/>
    </xf>
    <xf numFmtId="0" fontId="291" fillId="0" borderId="176" xfId="19" applyNumberFormat="1" applyFont="1" applyFill="1" applyBorder="1" applyAlignment="1" applyProtection="1">
      <alignment horizontal="center" vertical="center" wrapText="1"/>
      <protection locked="0" hidden="1"/>
    </xf>
    <xf numFmtId="0" fontId="291" fillId="0" borderId="176" xfId="19" applyNumberFormat="1" applyFont="1" applyFill="1" applyBorder="1" applyAlignment="1" applyProtection="1">
      <alignment horizontal="center" vertical="center"/>
      <protection locked="0" hidden="1"/>
    </xf>
    <xf numFmtId="0" fontId="247" fillId="0" borderId="195" xfId="19" applyFont="1" applyFill="1" applyBorder="1" applyAlignment="1" applyProtection="1">
      <alignment horizontal="center" vertical="center"/>
      <protection locked="0" hidden="1"/>
    </xf>
    <xf numFmtId="49" fontId="247" fillId="0" borderId="196" xfId="19" applyNumberFormat="1" applyFont="1" applyFill="1" applyBorder="1" applyAlignment="1" applyProtection="1">
      <alignment horizontal="center" vertical="center"/>
      <protection locked="0" hidden="1"/>
    </xf>
    <xf numFmtId="201" fontId="247" fillId="0" borderId="196" xfId="19" applyNumberFormat="1" applyFont="1" applyFill="1" applyBorder="1" applyAlignment="1" applyProtection="1">
      <alignment horizontal="center" vertical="center"/>
      <protection locked="0" hidden="1"/>
    </xf>
    <xf numFmtId="0" fontId="144" fillId="0" borderId="198" xfId="19" applyNumberFormat="1" applyFont="1" applyFill="1" applyBorder="1" applyAlignment="1" applyProtection="1">
      <alignment horizontal="center" vertical="center"/>
      <protection locked="0" hidden="1"/>
    </xf>
    <xf numFmtId="201" fontId="280" fillId="0" borderId="196" xfId="19" applyNumberFormat="1" applyFont="1" applyFill="1" applyBorder="1" applyAlignment="1" applyProtection="1">
      <alignment horizontal="right" vertical="center"/>
    </xf>
    <xf numFmtId="178" fontId="280" fillId="0" borderId="9" xfId="19" applyNumberFormat="1" applyFont="1" applyFill="1" applyBorder="1" applyAlignment="1" applyProtection="1">
      <alignment horizontal="left" vertical="center"/>
    </xf>
    <xf numFmtId="0" fontId="291" fillId="0" borderId="17" xfId="19" applyFont="1" applyFill="1" applyBorder="1" applyAlignment="1" applyProtection="1">
      <alignment vertical="center"/>
      <protection locked="0" hidden="1"/>
    </xf>
    <xf numFmtId="0" fontId="291" fillId="0" borderId="19" xfId="19" applyFont="1" applyFill="1" applyBorder="1" applyAlignment="1" applyProtection="1">
      <alignment vertical="center"/>
      <protection locked="0" hidden="1"/>
    </xf>
    <xf numFmtId="0" fontId="291" fillId="0" borderId="20" xfId="19" applyFont="1" applyFill="1" applyBorder="1" applyAlignment="1" applyProtection="1">
      <alignment vertical="center"/>
      <protection locked="0" hidden="1"/>
    </xf>
    <xf numFmtId="202" fontId="144" fillId="0" borderId="2" xfId="19" applyNumberFormat="1" applyFont="1" applyFill="1" applyBorder="1" applyAlignment="1" applyProtection="1">
      <alignment horizontal="left" vertical="center"/>
    </xf>
    <xf numFmtId="0" fontId="32" fillId="0" borderId="0" xfId="19" applyFill="1">
      <alignment vertical="center"/>
    </xf>
    <xf numFmtId="0" fontId="32" fillId="0" borderId="79" xfId="19" applyFill="1" applyBorder="1">
      <alignment vertical="center"/>
    </xf>
    <xf numFmtId="0" fontId="32" fillId="0" borderId="65" xfId="19" applyFill="1" applyBorder="1">
      <alignment vertical="center"/>
    </xf>
    <xf numFmtId="0" fontId="311" fillId="0" borderId="35"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36" xfId="19" applyFont="1" applyFill="1" applyBorder="1" applyAlignment="1">
      <alignment horizontal="center" vertical="center"/>
    </xf>
    <xf numFmtId="0" fontId="311" fillId="0" borderId="35" xfId="19" applyFont="1" applyFill="1" applyBorder="1" applyAlignment="1">
      <alignment horizontal="center" vertical="center"/>
    </xf>
    <xf numFmtId="0" fontId="311" fillId="0" borderId="39" xfId="19" applyFont="1" applyFill="1" applyBorder="1" applyAlignment="1">
      <alignment horizontal="center" vertical="center"/>
    </xf>
    <xf numFmtId="0" fontId="311" fillId="0" borderId="82" xfId="19" applyFont="1" applyFill="1" applyBorder="1" applyAlignment="1">
      <alignment horizontal="center" vertical="center" wrapText="1"/>
    </xf>
    <xf numFmtId="0" fontId="311" fillId="0" borderId="37" xfId="19" applyFont="1" applyFill="1" applyBorder="1" applyAlignment="1">
      <alignment horizontal="center" vertical="center"/>
    </xf>
    <xf numFmtId="0" fontId="311" fillId="0" borderId="82" xfId="19" applyFont="1" applyFill="1" applyBorder="1" applyAlignment="1">
      <alignment horizontal="center" vertical="center"/>
    </xf>
    <xf numFmtId="0" fontId="311" fillId="0" borderId="38" xfId="19" applyFont="1" applyFill="1" applyBorder="1" applyAlignment="1">
      <alignment horizontal="center" vertical="center"/>
    </xf>
    <xf numFmtId="0" fontId="311" fillId="0" borderId="26" xfId="19" applyFont="1" applyFill="1" applyBorder="1" applyAlignment="1">
      <alignment horizontal="center" vertical="center" wrapText="1"/>
    </xf>
    <xf numFmtId="0" fontId="311" fillId="0" borderId="36" xfId="19" applyFont="1" applyFill="1" applyBorder="1" applyAlignment="1">
      <alignment horizontal="center" vertical="center" wrapText="1"/>
    </xf>
    <xf numFmtId="0" fontId="311" fillId="0" borderId="38" xfId="19" applyFont="1" applyFill="1" applyBorder="1" applyAlignment="1">
      <alignment horizontal="center" vertical="center" wrapText="1"/>
    </xf>
    <xf numFmtId="0" fontId="311" fillId="0" borderId="53" xfId="19" applyFont="1" applyFill="1" applyBorder="1" applyAlignment="1">
      <alignment horizontal="center" vertical="center"/>
    </xf>
    <xf numFmtId="0" fontId="311" fillId="0" borderId="26" xfId="19" applyFont="1" applyFill="1" applyBorder="1" applyAlignment="1">
      <alignment horizontal="center" vertical="center"/>
    </xf>
    <xf numFmtId="0" fontId="297" fillId="0" borderId="26" xfId="19" applyFont="1" applyFill="1" applyBorder="1" applyAlignment="1">
      <alignment horizontal="center" vertical="center" wrapText="1"/>
    </xf>
    <xf numFmtId="0" fontId="297" fillId="0" borderId="35" xfId="19" applyFont="1" applyFill="1" applyBorder="1" applyAlignment="1">
      <alignment horizontal="center" vertical="center" wrapText="1"/>
    </xf>
    <xf numFmtId="0" fontId="297" fillId="0" borderId="39" xfId="19" applyFont="1" applyFill="1" applyBorder="1" applyAlignment="1">
      <alignment horizontal="center" vertical="center" wrapText="1"/>
    </xf>
    <xf numFmtId="0" fontId="209" fillId="0" borderId="82" xfId="19" applyFont="1" applyFill="1" applyBorder="1" applyAlignment="1" applyProtection="1">
      <alignment horizontal="center" wrapText="1"/>
    </xf>
    <xf numFmtId="0" fontId="209" fillId="0" borderId="38" xfId="19" applyFont="1" applyFill="1" applyBorder="1" applyAlignment="1" applyProtection="1">
      <alignment horizontal="center" wrapText="1"/>
    </xf>
    <xf numFmtId="0" fontId="209" fillId="0" borderId="36" xfId="19" applyFont="1" applyFill="1" applyBorder="1" applyAlignment="1" applyProtection="1">
      <alignment horizontal="center" wrapText="1"/>
    </xf>
    <xf numFmtId="0" fontId="209" fillId="0" borderId="30" xfId="19" applyFont="1" applyFill="1" applyBorder="1" applyAlignment="1" applyProtection="1">
      <alignment horizontal="center" vertical="center"/>
      <protection locked="0"/>
    </xf>
    <xf numFmtId="0" fontId="209" fillId="0" borderId="115" xfId="19" applyFont="1" applyFill="1" applyBorder="1" applyAlignment="1" applyProtection="1">
      <alignment horizontal="center" vertical="center"/>
      <protection locked="0"/>
    </xf>
    <xf numFmtId="0" fontId="209" fillId="0" borderId="57" xfId="19" applyFont="1" applyFill="1" applyBorder="1" applyAlignment="1" applyProtection="1">
      <alignment horizontal="center" vertical="center"/>
      <protection locked="0"/>
    </xf>
    <xf numFmtId="0" fontId="209" fillId="0" borderId="26" xfId="19" applyFont="1" applyFill="1" applyBorder="1" applyAlignment="1">
      <alignment horizontal="center" vertical="center"/>
    </xf>
    <xf numFmtId="0" fontId="209" fillId="0" borderId="115" xfId="19" applyFont="1" applyFill="1" applyBorder="1" applyAlignment="1">
      <alignment horizontal="center" vertical="center"/>
    </xf>
    <xf numFmtId="0" fontId="314" fillId="0" borderId="26" xfId="19" applyFont="1" applyFill="1" applyBorder="1" applyAlignment="1">
      <alignment horizontal="left" vertical="center"/>
    </xf>
    <xf numFmtId="2" fontId="209" fillId="0" borderId="115" xfId="19" applyNumberFormat="1" applyFont="1" applyFill="1" applyBorder="1" applyAlignment="1">
      <alignment horizontal="center" vertical="center"/>
    </xf>
    <xf numFmtId="0" fontId="209" fillId="0" borderId="87" xfId="19" applyFont="1" applyFill="1" applyBorder="1" applyAlignment="1">
      <alignment horizontal="center" vertical="center"/>
    </xf>
    <xf numFmtId="0" fontId="209" fillId="0" borderId="77" xfId="19" applyFont="1" applyFill="1" applyBorder="1" applyAlignment="1">
      <alignment vertical="center" wrapText="1"/>
    </xf>
    <xf numFmtId="0" fontId="209" fillId="0" borderId="19" xfId="19" applyFont="1" applyFill="1" applyBorder="1" applyAlignment="1">
      <alignment horizontal="center" vertical="center"/>
    </xf>
    <xf numFmtId="0" fontId="209" fillId="0" borderId="77" xfId="19" applyFont="1" applyFill="1" applyBorder="1" applyAlignment="1">
      <alignment horizontal="center" vertical="center"/>
    </xf>
    <xf numFmtId="2" fontId="209" fillId="0" borderId="63" xfId="19" applyNumberFormat="1" applyFont="1" applyFill="1" applyBorder="1" applyAlignment="1">
      <alignment horizontal="center" vertical="center"/>
    </xf>
    <xf numFmtId="0" fontId="209" fillId="0" borderId="1" xfId="19" applyFont="1" applyFill="1" applyBorder="1" applyAlignment="1">
      <alignment horizontal="center" vertical="center" wrapText="1"/>
    </xf>
    <xf numFmtId="0" fontId="209" fillId="0" borderId="26" xfId="19" applyFont="1" applyFill="1" applyBorder="1" applyAlignment="1">
      <alignment horizontal="left" vertical="center" wrapText="1"/>
    </xf>
    <xf numFmtId="0" fontId="209" fillId="0" borderId="31"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209" fillId="0" borderId="65" xfId="19" applyFont="1" applyFill="1" applyBorder="1" applyAlignment="1">
      <alignment horizontal="center" vertical="center" wrapText="1"/>
    </xf>
    <xf numFmtId="0" fontId="209" fillId="0" borderId="53" xfId="19" applyFont="1" applyFill="1" applyBorder="1" applyAlignment="1">
      <alignment horizontal="center" vertical="center"/>
    </xf>
    <xf numFmtId="0" fontId="209" fillId="0" borderId="26" xfId="19" applyFont="1" applyFill="1" applyBorder="1" applyAlignment="1">
      <alignment vertical="center" wrapText="1"/>
    </xf>
    <xf numFmtId="0" fontId="209" fillId="0" borderId="89" xfId="19" applyFont="1" applyFill="1" applyBorder="1" applyAlignment="1">
      <alignment horizontal="center" vertical="center"/>
    </xf>
    <xf numFmtId="0" fontId="209" fillId="0" borderId="39" xfId="19" applyFont="1" applyFill="1" applyBorder="1" applyAlignment="1">
      <alignment horizontal="center" vertical="center"/>
    </xf>
    <xf numFmtId="0" fontId="3" fillId="0" borderId="2" xfId="19" applyFont="1" applyBorder="1" applyAlignment="1">
      <alignment horizontal="left" vertical="center" wrapText="1"/>
    </xf>
    <xf numFmtId="0" fontId="297" fillId="0" borderId="2" xfId="19" applyFont="1" applyBorder="1" applyAlignment="1">
      <alignment horizontal="center" vertical="center" wrapText="1"/>
    </xf>
    <xf numFmtId="0" fontId="296" fillId="0" borderId="2" xfId="19" applyFont="1" applyBorder="1" applyAlignment="1">
      <alignment horizontal="center" vertical="center" wrapText="1"/>
    </xf>
    <xf numFmtId="2" fontId="3" fillId="0" borderId="12" xfId="19" applyNumberFormat="1" applyFont="1" applyBorder="1" applyAlignment="1">
      <alignment horizontal="center" vertical="center" wrapText="1"/>
    </xf>
    <xf numFmtId="0" fontId="209" fillId="0" borderId="77" xfId="19" applyFont="1" applyFill="1" applyBorder="1" applyAlignment="1" applyProtection="1">
      <alignment horizontal="center" wrapText="1"/>
    </xf>
    <xf numFmtId="10" fontId="209" fillId="0" borderId="63" xfId="19" applyNumberFormat="1" applyFont="1" applyFill="1" applyBorder="1" applyAlignment="1" applyProtection="1">
      <alignment horizontal="center" wrapText="1"/>
    </xf>
    <xf numFmtId="0" fontId="209" fillId="0" borderId="87" xfId="19" applyFont="1" applyFill="1" applyBorder="1" applyAlignment="1" applyProtection="1">
      <alignment horizontal="center" wrapText="1"/>
    </xf>
    <xf numFmtId="10" fontId="209" fillId="0" borderId="77" xfId="19" applyNumberFormat="1" applyFont="1" applyFill="1" applyBorder="1" applyAlignment="1" applyProtection="1">
      <alignment horizontal="center" wrapText="1"/>
    </xf>
    <xf numFmtId="0" fontId="209" fillId="0" borderId="8" xfId="19" applyFont="1" applyFill="1" applyBorder="1" applyAlignment="1" applyProtection="1">
      <alignment horizontal="center" vertical="center"/>
      <protection locked="0"/>
    </xf>
    <xf numFmtId="0" fontId="209" fillId="0" borderId="89" xfId="19" applyFont="1" applyFill="1" applyBorder="1" applyAlignment="1" applyProtection="1">
      <alignment horizontal="center" vertical="center"/>
      <protection locked="0"/>
    </xf>
    <xf numFmtId="0" fontId="209" fillId="0" borderId="16" xfId="19" applyFont="1" applyFill="1" applyBorder="1" applyAlignment="1" applyProtection="1">
      <alignment horizontal="center" vertical="center"/>
      <protection locked="0"/>
    </xf>
    <xf numFmtId="0" fontId="209" fillId="0" borderId="31" xfId="19" applyFont="1" applyFill="1" applyBorder="1" applyAlignment="1">
      <alignment horizontal="center" vertical="center"/>
    </xf>
    <xf numFmtId="0" fontId="209" fillId="0" borderId="64" xfId="19" applyFont="1" applyFill="1" applyBorder="1" applyAlignment="1">
      <alignment horizontal="center" vertical="center"/>
    </xf>
    <xf numFmtId="0" fontId="314" fillId="0" borderId="11" xfId="19" applyFont="1" applyFill="1" applyBorder="1" applyAlignment="1">
      <alignment horizontal="left" vertical="center"/>
    </xf>
    <xf numFmtId="0" fontId="209" fillId="0" borderId="89" xfId="19" applyFont="1" applyFill="1" applyBorder="1" applyAlignment="1">
      <alignment vertical="center" wrapText="1"/>
    </xf>
    <xf numFmtId="0" fontId="209" fillId="0" borderId="8" xfId="19" applyFont="1" applyFill="1" applyBorder="1" applyAlignment="1">
      <alignment horizontal="center" vertical="center"/>
    </xf>
    <xf numFmtId="2" fontId="209" fillId="0" borderId="16" xfId="19" applyNumberFormat="1" applyFont="1" applyFill="1" applyBorder="1" applyAlignment="1">
      <alignment horizontal="center" vertical="center"/>
    </xf>
    <xf numFmtId="0" fontId="209" fillId="0" borderId="11" xfId="19" applyFont="1" applyFill="1" applyBorder="1" applyAlignment="1">
      <alignment horizontal="center" vertical="center" wrapText="1"/>
    </xf>
    <xf numFmtId="0" fontId="209" fillId="0" borderId="64" xfId="19" applyFont="1" applyFill="1" applyBorder="1" applyAlignment="1">
      <alignment horizontal="left" vertical="center" wrapText="1"/>
    </xf>
    <xf numFmtId="0" fontId="209" fillId="0" borderId="89" xfId="19" applyFont="1" applyFill="1" applyBorder="1" applyAlignment="1">
      <alignment horizontal="center" vertical="center" wrapText="1"/>
    </xf>
    <xf numFmtId="0" fontId="209" fillId="0" borderId="16" xfId="19" applyFont="1" applyFill="1" applyBorder="1" applyAlignment="1">
      <alignment horizontal="center" vertical="center" wrapText="1"/>
    </xf>
    <xf numFmtId="0" fontId="209" fillId="0" borderId="1" xfId="19" applyFont="1" applyFill="1" applyBorder="1" applyAlignment="1">
      <alignment horizontal="center" vertical="center"/>
    </xf>
    <xf numFmtId="0" fontId="209" fillId="0" borderId="59" xfId="19" applyFont="1" applyFill="1" applyBorder="1" applyAlignment="1">
      <alignment horizontal="left" vertical="center"/>
    </xf>
    <xf numFmtId="2" fontId="209" fillId="0" borderId="57" xfId="19" applyNumberFormat="1" applyFont="1" applyFill="1" applyBorder="1" applyAlignment="1">
      <alignment horizontal="center" vertical="center"/>
    </xf>
    <xf numFmtId="0" fontId="209" fillId="0" borderId="89" xfId="19" applyFont="1" applyFill="1" applyBorder="1" applyAlignment="1" applyProtection="1">
      <alignment horizontal="center" wrapText="1"/>
    </xf>
    <xf numFmtId="10" fontId="209" fillId="0" borderId="16" xfId="19" applyNumberFormat="1" applyFont="1" applyFill="1" applyBorder="1" applyAlignment="1" applyProtection="1">
      <alignment horizontal="center" wrapText="1"/>
    </xf>
    <xf numFmtId="0" fontId="311" fillId="0" borderId="64" xfId="19" applyNumberFormat="1" applyFont="1" applyFill="1" applyBorder="1" applyAlignment="1" applyProtection="1">
      <alignment horizontal="center" wrapText="1"/>
    </xf>
    <xf numFmtId="10" fontId="209" fillId="0" borderId="89" xfId="19" applyNumberFormat="1" applyFont="1" applyFill="1" applyBorder="1" applyAlignment="1" applyProtection="1">
      <alignment horizontal="center"/>
      <protection locked="0"/>
    </xf>
    <xf numFmtId="10" fontId="209" fillId="0" borderId="16" xfId="19" applyNumberFormat="1" applyFont="1" applyFill="1" applyBorder="1" applyAlignment="1" applyProtection="1">
      <alignment horizontal="center"/>
      <protection locked="0"/>
    </xf>
    <xf numFmtId="0" fontId="209" fillId="0" borderId="11" xfId="19" applyFont="1" applyFill="1" applyBorder="1" applyAlignment="1">
      <alignment horizontal="left" vertical="center"/>
    </xf>
    <xf numFmtId="0" fontId="209" fillId="0" borderId="11" xfId="19" applyFont="1" applyFill="1" applyBorder="1" applyAlignment="1">
      <alignment horizontal="center" vertical="center"/>
    </xf>
    <xf numFmtId="0" fontId="209" fillId="0" borderId="64" xfId="19" applyFont="1" applyFill="1" applyBorder="1" applyAlignment="1">
      <alignment horizontal="left" vertical="center"/>
    </xf>
    <xf numFmtId="0" fontId="209" fillId="0" borderId="64" xfId="19" applyNumberFormat="1" applyFont="1" applyFill="1" applyBorder="1" applyAlignment="1" applyProtection="1">
      <alignment horizontal="center" wrapText="1"/>
    </xf>
    <xf numFmtId="10" fontId="209" fillId="0" borderId="79" xfId="19" applyNumberFormat="1" applyFont="1" applyFill="1" applyBorder="1" applyAlignment="1" applyProtection="1">
      <alignment horizontal="center"/>
    </xf>
    <xf numFmtId="10" fontId="209" fillId="0" borderId="65" xfId="19" applyNumberFormat="1" applyFont="1" applyFill="1" applyBorder="1" applyAlignment="1" applyProtection="1">
      <alignment horizontal="center"/>
    </xf>
    <xf numFmtId="10" fontId="209" fillId="0" borderId="79" xfId="11" applyNumberFormat="1" applyFont="1" applyFill="1" applyBorder="1" applyAlignment="1" applyProtection="1">
      <alignment horizontal="center"/>
    </xf>
    <xf numFmtId="10" fontId="209" fillId="0" borderId="65" xfId="11" applyNumberFormat="1" applyFont="1" applyFill="1" applyBorder="1" applyAlignment="1" applyProtection="1">
      <alignment horizontal="center"/>
    </xf>
    <xf numFmtId="0" fontId="209" fillId="0" borderId="14" xfId="19" applyFont="1" applyFill="1" applyBorder="1" applyAlignment="1">
      <alignment horizontal="center" vertical="center" wrapText="1"/>
    </xf>
    <xf numFmtId="0" fontId="209" fillId="0" borderId="2" xfId="19" applyFont="1" applyFill="1" applyBorder="1" applyAlignment="1">
      <alignment horizontal="center" vertical="center" wrapText="1"/>
    </xf>
    <xf numFmtId="0" fontId="209" fillId="0" borderId="35" xfId="19" applyFont="1" applyFill="1" applyBorder="1" applyAlignment="1" applyProtection="1">
      <alignment horizontal="center" vertical="center"/>
      <protection locked="0"/>
    </xf>
    <xf numFmtId="0" fontId="209" fillId="0" borderId="76" xfId="19" applyFont="1" applyFill="1" applyBorder="1" applyAlignment="1">
      <alignment horizontal="left" vertical="center" wrapText="1"/>
    </xf>
    <xf numFmtId="0" fontId="209" fillId="0" borderId="15" xfId="19" applyFont="1" applyFill="1" applyBorder="1" applyAlignment="1">
      <alignment horizontal="center" vertical="center" wrapText="1"/>
    </xf>
    <xf numFmtId="0" fontId="209" fillId="0" borderId="76" xfId="19" applyFont="1" applyFill="1" applyBorder="1" applyAlignment="1">
      <alignment horizontal="center" vertical="center" wrapText="1"/>
    </xf>
    <xf numFmtId="0" fontId="209" fillId="0" borderId="79" xfId="19" applyFont="1" applyFill="1" applyBorder="1" applyAlignment="1" applyProtection="1">
      <alignment horizontal="center" vertical="center"/>
      <protection locked="0"/>
    </xf>
    <xf numFmtId="0" fontId="209" fillId="0" borderId="89" xfId="19" applyFont="1" applyFill="1" applyBorder="1" applyAlignment="1">
      <alignment horizontal="left" vertical="center" wrapText="1"/>
    </xf>
    <xf numFmtId="0" fontId="209" fillId="0" borderId="80" xfId="19" applyFont="1" applyFill="1" applyBorder="1" applyAlignment="1" applyProtection="1">
      <alignment horizontal="center" vertical="center"/>
      <protection locked="0"/>
    </xf>
    <xf numFmtId="0" fontId="209" fillId="0" borderId="14" xfId="19" applyFont="1" applyFill="1" applyBorder="1" applyAlignment="1" applyProtection="1">
      <alignment horizontal="center" vertical="center"/>
      <protection locked="0"/>
    </xf>
    <xf numFmtId="0" fontId="209" fillId="0" borderId="15" xfId="19" applyFont="1" applyFill="1" applyBorder="1" applyAlignment="1" applyProtection="1">
      <alignment horizontal="center" vertical="center"/>
      <protection locked="0"/>
    </xf>
    <xf numFmtId="0" fontId="209" fillId="0" borderId="116" xfId="19" applyFont="1" applyFill="1" applyBorder="1" applyAlignment="1">
      <alignment horizontal="center" vertical="center" wrapText="1"/>
    </xf>
    <xf numFmtId="0" fontId="209" fillId="0" borderId="116" xfId="19" applyFont="1" applyFill="1" applyBorder="1" applyAlignment="1">
      <alignment horizontal="left" vertical="center" wrapText="1"/>
    </xf>
    <xf numFmtId="0" fontId="209" fillId="0" borderId="48" xfId="19" applyFont="1" applyFill="1" applyBorder="1" applyAlignment="1">
      <alignment horizontal="center" vertical="center" wrapText="1"/>
    </xf>
    <xf numFmtId="0" fontId="3" fillId="0" borderId="2" xfId="19" applyFont="1" applyBorder="1" applyAlignment="1">
      <alignment vertical="center" wrapText="1"/>
    </xf>
    <xf numFmtId="0" fontId="3" fillId="0" borderId="12" xfId="19" applyFont="1" applyBorder="1" applyAlignment="1">
      <alignment horizontal="center" vertical="center" wrapText="1"/>
    </xf>
    <xf numFmtId="0" fontId="32" fillId="0" borderId="31" xfId="19" applyFill="1" applyBorder="1">
      <alignment vertical="center"/>
    </xf>
    <xf numFmtId="0" fontId="209" fillId="0" borderId="0" xfId="19" applyFont="1" applyFill="1" applyBorder="1" applyAlignment="1">
      <alignment horizontal="center" vertical="center" wrapText="1"/>
    </xf>
    <xf numFmtId="0" fontId="209" fillId="0" borderId="0" xfId="19" applyFont="1" applyFill="1" applyBorder="1" applyAlignment="1">
      <alignment horizontal="left" vertical="center" wrapText="1"/>
    </xf>
    <xf numFmtId="0" fontId="3" fillId="0" borderId="44" xfId="19" applyFont="1" applyBorder="1" applyAlignment="1">
      <alignment vertical="center" wrapText="1"/>
    </xf>
    <xf numFmtId="0" fontId="297" fillId="0" borderId="44" xfId="19" applyFont="1" applyBorder="1" applyAlignment="1">
      <alignment horizontal="center" vertical="center" wrapText="1"/>
    </xf>
    <xf numFmtId="0" fontId="296" fillId="0" borderId="44" xfId="19" applyFont="1" applyBorder="1" applyAlignment="1">
      <alignment horizontal="center" vertical="center" wrapText="1"/>
    </xf>
    <xf numFmtId="0" fontId="3" fillId="0" borderId="46" xfId="19" applyFont="1" applyBorder="1" applyAlignment="1">
      <alignment horizontal="center" vertical="center" wrapText="1"/>
    </xf>
    <xf numFmtId="0" fontId="32" fillId="0" borderId="0" xfId="19" applyFill="1" applyBorder="1">
      <alignment vertical="center"/>
    </xf>
    <xf numFmtId="0" fontId="3" fillId="0" borderId="116" xfId="19" applyFont="1" applyFill="1" applyBorder="1" applyAlignment="1">
      <alignment horizontal="center" vertical="center" wrapText="1"/>
    </xf>
    <xf numFmtId="0" fontId="3" fillId="0" borderId="48" xfId="19" applyFont="1" applyFill="1" applyBorder="1" applyAlignment="1">
      <alignment horizontal="left" vertical="center" wrapText="1"/>
    </xf>
    <xf numFmtId="0" fontId="297" fillId="0" borderId="48" xfId="19" applyFont="1" applyFill="1" applyBorder="1" applyAlignment="1">
      <alignment horizontal="center" vertical="center" wrapText="1"/>
    </xf>
    <xf numFmtId="0" fontId="296" fillId="0" borderId="116" xfId="19" applyFont="1" applyFill="1" applyBorder="1" applyAlignment="1">
      <alignment horizontal="center" vertical="center" wrapText="1"/>
    </xf>
    <xf numFmtId="2" fontId="3" fillId="0" borderId="116" xfId="19" applyNumberFormat="1" applyFont="1" applyFill="1" applyBorder="1" applyAlignment="1">
      <alignment horizontal="center" vertical="center" wrapText="1"/>
    </xf>
    <xf numFmtId="9" fontId="209" fillId="0" borderId="16" xfId="19" applyNumberFormat="1" applyFont="1" applyFill="1" applyBorder="1" applyAlignment="1" applyProtection="1">
      <alignment horizontal="center" wrapText="1"/>
    </xf>
    <xf numFmtId="0" fontId="209" fillId="21" borderId="30" xfId="19" applyFont="1" applyFill="1" applyBorder="1" applyAlignment="1" applyProtection="1">
      <alignment horizontal="center" vertical="center"/>
      <protection locked="0"/>
    </xf>
    <xf numFmtId="0" fontId="209" fillId="0" borderId="54" xfId="19" applyFont="1" applyFill="1" applyBorder="1" applyAlignment="1">
      <alignment horizontal="center" vertical="center"/>
    </xf>
    <xf numFmtId="0" fontId="209" fillId="0" borderId="60" xfId="19" applyFont="1" applyFill="1" applyBorder="1" applyAlignment="1">
      <alignment horizontal="center" vertical="center"/>
    </xf>
    <xf numFmtId="0" fontId="209" fillId="0" borderId="116" xfId="19" applyFont="1" applyFill="1" applyBorder="1" applyAlignment="1">
      <alignment vertical="center" wrapText="1"/>
    </xf>
    <xf numFmtId="0" fontId="209" fillId="0" borderId="56" xfId="19" applyFont="1" applyFill="1" applyBorder="1" applyAlignment="1">
      <alignment horizontal="center" vertical="center"/>
    </xf>
    <xf numFmtId="0" fontId="209" fillId="0" borderId="116" xfId="19" applyFont="1" applyFill="1" applyBorder="1" applyAlignment="1">
      <alignment horizontal="center" vertical="center"/>
    </xf>
    <xf numFmtId="2" fontId="209" fillId="0" borderId="48" xfId="19" applyNumberFormat="1" applyFont="1" applyFill="1" applyBorder="1" applyAlignment="1">
      <alignment horizontal="center" vertical="center"/>
    </xf>
    <xf numFmtId="0" fontId="209" fillId="0" borderId="35" xfId="19" applyFont="1" applyFill="1" applyBorder="1" applyAlignment="1">
      <alignment horizontal="center" vertical="center"/>
    </xf>
    <xf numFmtId="0" fontId="311" fillId="0" borderId="33" xfId="19" applyFont="1" applyFill="1" applyBorder="1" applyAlignment="1">
      <alignment horizontal="center" vertical="center"/>
    </xf>
    <xf numFmtId="0" fontId="209" fillId="0" borderId="79" xfId="19" applyFont="1" applyFill="1" applyBorder="1" applyAlignment="1">
      <alignment horizontal="center" vertical="center"/>
    </xf>
    <xf numFmtId="0" fontId="314" fillId="0" borderId="50" xfId="19" applyFont="1" applyFill="1" applyBorder="1" applyAlignment="1">
      <alignment horizontal="left" vertical="center"/>
    </xf>
    <xf numFmtId="2" fontId="209" fillId="0" borderId="77" xfId="19" applyNumberFormat="1" applyFont="1" applyFill="1" applyBorder="1" applyAlignment="1">
      <alignment horizontal="center" vertical="center"/>
    </xf>
    <xf numFmtId="0" fontId="209" fillId="0" borderId="50" xfId="19" applyFont="1" applyFill="1" applyBorder="1" applyAlignment="1">
      <alignment horizontal="center" vertical="center"/>
    </xf>
    <xf numFmtId="0" fontId="209" fillId="0" borderId="1" xfId="19" applyFont="1" applyFill="1" applyBorder="1" applyAlignment="1">
      <alignment horizontal="left" vertical="center"/>
    </xf>
    <xf numFmtId="0" fontId="209" fillId="0" borderId="80" xfId="19" applyFont="1" applyFill="1" applyBorder="1" applyAlignment="1">
      <alignment horizontal="center" vertical="center"/>
    </xf>
    <xf numFmtId="2" fontId="209" fillId="0" borderId="89" xfId="19" applyNumberFormat="1" applyFont="1" applyFill="1" applyBorder="1" applyAlignment="1">
      <alignment horizontal="center" vertical="center"/>
    </xf>
    <xf numFmtId="0" fontId="209" fillId="0" borderId="26" xfId="19" applyFont="1" applyFill="1" applyBorder="1" applyAlignment="1" applyProtection="1">
      <alignment horizontal="center" vertical="center"/>
      <protection locked="0"/>
    </xf>
    <xf numFmtId="0" fontId="209" fillId="0" borderId="59" xfId="19" applyFont="1" applyFill="1" applyBorder="1" applyAlignment="1" applyProtection="1">
      <alignment horizontal="center" vertical="center"/>
      <protection locked="0"/>
    </xf>
    <xf numFmtId="0" fontId="32" fillId="0" borderId="35" xfId="19" applyFill="1" applyBorder="1">
      <alignment vertical="center"/>
    </xf>
    <xf numFmtId="49" fontId="209" fillId="0" borderId="8" xfId="19" applyNumberFormat="1" applyFont="1" applyFill="1" applyBorder="1" applyAlignment="1">
      <alignment horizontal="center" vertical="center"/>
    </xf>
    <xf numFmtId="0" fontId="209" fillId="0" borderId="16" xfId="19" applyFont="1" applyFill="1" applyBorder="1" applyAlignment="1">
      <alignment horizontal="center" vertical="center"/>
    </xf>
    <xf numFmtId="204" fontId="209" fillId="0" borderId="82" xfId="19" applyNumberFormat="1" applyFont="1" applyFill="1" applyBorder="1" applyAlignment="1" applyProtection="1">
      <alignment horizontal="center" wrapText="1"/>
    </xf>
    <xf numFmtId="0" fontId="302" fillId="0" borderId="0" xfId="19" applyFont="1" applyFill="1" applyBorder="1" applyAlignment="1" applyProtection="1">
      <alignment horizontal="center"/>
    </xf>
    <xf numFmtId="0" fontId="304" fillId="0" borderId="0" xfId="19" applyFont="1" applyFill="1" applyAlignment="1" applyProtection="1">
      <alignment horizontal="center"/>
      <protection locked="0"/>
    </xf>
    <xf numFmtId="0" fontId="209" fillId="0" borderId="31" xfId="19" applyFont="1" applyFill="1" applyBorder="1" applyAlignment="1" applyProtection="1">
      <alignment horizontal="center" vertical="center"/>
      <protection locked="0"/>
    </xf>
    <xf numFmtId="0" fontId="209" fillId="0" borderId="64" xfId="19" applyFont="1" applyFill="1" applyBorder="1" applyAlignment="1" applyProtection="1">
      <alignment horizontal="center" vertical="center"/>
      <protection locked="0"/>
    </xf>
    <xf numFmtId="204" fontId="209" fillId="0" borderId="77" xfId="19" applyNumberFormat="1" applyFont="1" applyFill="1" applyBorder="1" applyAlignment="1" applyProtection="1">
      <alignment horizontal="center" wrapText="1"/>
    </xf>
    <xf numFmtId="0" fontId="209" fillId="0" borderId="63" xfId="19" applyNumberFormat="1" applyFont="1" applyFill="1" applyBorder="1" applyAlignment="1" applyProtection="1">
      <alignment horizontal="center" wrapText="1"/>
    </xf>
    <xf numFmtId="9" fontId="209" fillId="0" borderId="89" xfId="19" applyNumberFormat="1" applyFont="1" applyFill="1" applyBorder="1" applyAlignment="1" applyProtection="1">
      <alignment horizontal="center"/>
      <protection locked="0"/>
    </xf>
    <xf numFmtId="0" fontId="209" fillId="0" borderId="76" xfId="19" applyFont="1" applyFill="1" applyBorder="1" applyAlignment="1" applyProtection="1">
      <alignment horizontal="center" vertical="center"/>
      <protection locked="0"/>
    </xf>
    <xf numFmtId="0" fontId="314" fillId="0" borderId="24" xfId="19" applyFont="1" applyFill="1" applyBorder="1" applyAlignment="1">
      <alignment horizontal="left" vertical="center"/>
    </xf>
    <xf numFmtId="204" fontId="209" fillId="0" borderId="89" xfId="19" applyNumberFormat="1" applyFont="1" applyFill="1" applyBorder="1" applyAlignment="1" applyProtection="1">
      <alignment horizontal="center" wrapText="1"/>
    </xf>
    <xf numFmtId="0" fontId="209" fillId="0" borderId="16" xfId="11" applyNumberFormat="1" applyFont="1" applyFill="1" applyBorder="1" applyAlignment="1" applyProtection="1">
      <alignment horizontal="center" wrapText="1"/>
    </xf>
    <xf numFmtId="0" fontId="312" fillId="0" borderId="199" xfId="19" applyFont="1" applyFill="1" applyBorder="1" applyAlignment="1" applyProtection="1">
      <alignment horizontal="center" vertical="center"/>
    </xf>
    <xf numFmtId="0" fontId="314" fillId="0" borderId="10" xfId="19" applyFont="1" applyFill="1" applyBorder="1" applyAlignment="1" applyProtection="1">
      <alignment horizontal="center" vertical="center" wrapText="1"/>
    </xf>
    <xf numFmtId="0" fontId="209" fillId="0" borderId="77" xfId="19" applyFont="1" applyFill="1" applyBorder="1" applyAlignment="1" applyProtection="1">
      <alignment horizontal="center"/>
    </xf>
    <xf numFmtId="0" fontId="209" fillId="0" borderId="63" xfId="19" applyNumberFormat="1" applyFont="1" applyFill="1" applyBorder="1" applyAlignment="1" applyProtection="1">
      <alignment horizontal="center"/>
    </xf>
    <xf numFmtId="0" fontId="315" fillId="0" borderId="63" xfId="19" applyFont="1" applyFill="1" applyBorder="1" applyAlignment="1" applyProtection="1">
      <alignment horizontal="center"/>
    </xf>
    <xf numFmtId="0" fontId="209" fillId="0" borderId="2" xfId="19" applyFont="1" applyFill="1" applyBorder="1" applyAlignment="1" applyProtection="1">
      <alignment horizontal="center" wrapText="1"/>
    </xf>
    <xf numFmtId="0" fontId="209" fillId="0" borderId="9" xfId="19" applyNumberFormat="1" applyFont="1" applyFill="1" applyBorder="1" applyAlignment="1" applyProtection="1">
      <alignment horizontal="center" wrapText="1"/>
    </xf>
    <xf numFmtId="0" fontId="209" fillId="0" borderId="2" xfId="19" applyNumberFormat="1" applyFont="1" applyFill="1" applyBorder="1" applyAlignment="1" applyProtection="1">
      <alignment horizontal="center" wrapText="1"/>
    </xf>
    <xf numFmtId="0" fontId="209" fillId="0" borderId="77" xfId="19" applyFont="1" applyFill="1" applyBorder="1" applyAlignment="1" applyProtection="1">
      <alignment horizontal="center" vertical="center"/>
      <protection locked="0"/>
    </xf>
    <xf numFmtId="49" fontId="209" fillId="0" borderId="89" xfId="19" applyNumberFormat="1" applyFont="1" applyFill="1" applyBorder="1" applyAlignment="1">
      <alignment horizontal="center" vertical="center"/>
    </xf>
    <xf numFmtId="0" fontId="314" fillId="0" borderId="16" xfId="19" applyFont="1" applyFill="1" applyBorder="1" applyAlignment="1">
      <alignment horizontal="left" vertical="center"/>
    </xf>
    <xf numFmtId="0" fontId="209" fillId="0" borderId="89" xfId="19" applyFont="1" applyFill="1" applyBorder="1" applyAlignment="1" applyProtection="1">
      <alignment horizontal="center"/>
    </xf>
    <xf numFmtId="0" fontId="209" fillId="0" borderId="16" xfId="19" applyNumberFormat="1" applyFont="1" applyFill="1" applyBorder="1" applyAlignment="1" applyProtection="1">
      <alignment horizontal="center"/>
    </xf>
    <xf numFmtId="0" fontId="315" fillId="0" borderId="16" xfId="19" applyFont="1" applyFill="1" applyBorder="1" applyAlignment="1" applyProtection="1">
      <alignment horizontal="center"/>
    </xf>
    <xf numFmtId="49" fontId="209" fillId="0" borderId="116" xfId="19" applyNumberFormat="1" applyFont="1" applyFill="1" applyBorder="1" applyAlignment="1">
      <alignment horizontal="center" vertical="center"/>
    </xf>
    <xf numFmtId="0" fontId="314" fillId="0" borderId="48" xfId="19" applyFont="1" applyFill="1" applyBorder="1" applyAlignment="1">
      <alignment horizontal="left" vertical="center"/>
    </xf>
    <xf numFmtId="0" fontId="209" fillId="0" borderId="16" xfId="11" applyNumberFormat="1" applyFont="1" applyFill="1" applyBorder="1" applyAlignment="1" applyProtection="1">
      <alignment horizontal="center"/>
    </xf>
    <xf numFmtId="0" fontId="209" fillId="0" borderId="16" xfId="19" applyFont="1" applyFill="1" applyBorder="1" applyAlignment="1" applyProtection="1">
      <alignment horizontal="center"/>
    </xf>
    <xf numFmtId="0" fontId="311" fillId="0" borderId="64" xfId="19" applyFont="1" applyFill="1" applyBorder="1" applyAlignment="1" applyProtection="1">
      <alignment horizontal="center" wrapText="1"/>
    </xf>
    <xf numFmtId="10" fontId="209" fillId="0" borderId="89" xfId="19" applyNumberFormat="1" applyFont="1" applyFill="1" applyBorder="1" applyAlignment="1" applyProtection="1">
      <alignment horizontal="center" wrapText="1"/>
    </xf>
    <xf numFmtId="0" fontId="209" fillId="21" borderId="64" xfId="19" applyFont="1" applyFill="1" applyBorder="1" applyAlignment="1" applyProtection="1">
      <alignment horizontal="center" vertical="center"/>
      <protection locked="0"/>
    </xf>
    <xf numFmtId="2" fontId="209" fillId="0" borderId="16" xfId="19" applyNumberFormat="1" applyFont="1" applyFill="1" applyBorder="1" applyAlignment="1" applyProtection="1">
      <alignment horizontal="center" vertical="center"/>
      <protection locked="0"/>
    </xf>
    <xf numFmtId="0" fontId="209" fillId="0" borderId="76" xfId="19" applyFont="1" applyFill="1" applyBorder="1" applyAlignment="1">
      <alignment horizontal="center" vertical="center"/>
    </xf>
    <xf numFmtId="0" fontId="209" fillId="0" borderId="15" xfId="19" applyFont="1" applyFill="1" applyBorder="1" applyAlignment="1">
      <alignment horizontal="left" vertical="center"/>
    </xf>
    <xf numFmtId="0" fontId="209" fillId="0" borderId="15" xfId="19" applyFont="1" applyFill="1" applyBorder="1" applyAlignment="1">
      <alignment horizontal="center" vertical="center"/>
    </xf>
    <xf numFmtId="2" fontId="209" fillId="0" borderId="76" xfId="19" applyNumberFormat="1" applyFont="1" applyFill="1" applyBorder="1" applyAlignment="1">
      <alignment horizontal="center" vertical="center"/>
    </xf>
    <xf numFmtId="0" fontId="209" fillId="0" borderId="31" xfId="19" applyFont="1" applyFill="1" applyBorder="1" applyAlignment="1" applyProtection="1">
      <alignment horizontal="center"/>
    </xf>
    <xf numFmtId="0" fontId="209" fillId="0" borderId="54" xfId="19" applyFont="1" applyFill="1" applyBorder="1" applyAlignment="1" applyProtection="1">
      <alignment horizontal="center" vertical="center"/>
      <protection locked="0"/>
    </xf>
    <xf numFmtId="0" fontId="209" fillId="21" borderId="60" xfId="19" applyFont="1" applyFill="1" applyBorder="1" applyAlignment="1" applyProtection="1">
      <alignment horizontal="center" vertical="center"/>
      <protection locked="0"/>
    </xf>
    <xf numFmtId="0" fontId="209" fillId="0" borderId="48" xfId="19" applyFont="1" applyFill="1" applyBorder="1" applyAlignment="1" applyProtection="1">
      <alignment horizontal="center" vertical="center"/>
      <protection locked="0"/>
    </xf>
    <xf numFmtId="0" fontId="209" fillId="0" borderId="48" xfId="19" applyFont="1" applyFill="1" applyBorder="1" applyAlignment="1">
      <alignment horizontal="left" vertical="center"/>
    </xf>
    <xf numFmtId="0" fontId="209" fillId="0" borderId="48" xfId="19" applyFont="1" applyFill="1" applyBorder="1" applyAlignment="1">
      <alignment horizontal="center" vertical="center"/>
    </xf>
    <xf numFmtId="0" fontId="209" fillId="0" borderId="47" xfId="19" applyFont="1" applyFill="1" applyBorder="1" applyAlignment="1">
      <alignment horizontal="center" vertical="center"/>
    </xf>
    <xf numFmtId="2" fontId="209" fillId="0" borderId="116" xfId="19" applyNumberFormat="1" applyFont="1" applyFill="1" applyBorder="1" applyAlignment="1">
      <alignment horizontal="center" vertical="center"/>
    </xf>
    <xf numFmtId="0" fontId="209" fillId="0" borderId="64" xfId="19" applyFont="1" applyFill="1" applyBorder="1" applyAlignment="1" applyProtection="1">
      <alignment horizontal="center" wrapText="1"/>
    </xf>
    <xf numFmtId="204" fontId="209" fillId="0" borderId="116" xfId="19" applyNumberFormat="1" applyFont="1" applyFill="1" applyBorder="1" applyAlignment="1" applyProtection="1">
      <alignment horizontal="center" wrapText="1"/>
    </xf>
    <xf numFmtId="0" fontId="209" fillId="0" borderId="48" xfId="11" applyNumberFormat="1" applyFont="1" applyFill="1" applyBorder="1" applyAlignment="1" applyProtection="1">
      <alignment horizontal="center" wrapText="1"/>
    </xf>
    <xf numFmtId="0" fontId="209" fillId="0" borderId="116" xfId="19" applyFont="1" applyFill="1" applyBorder="1" applyAlignment="1" applyProtection="1">
      <alignment horizontal="center" wrapText="1"/>
    </xf>
    <xf numFmtId="9" fontId="209" fillId="0" borderId="48" xfId="19" applyNumberFormat="1" applyFont="1" applyFill="1" applyBorder="1" applyAlignment="1" applyProtection="1">
      <alignment horizontal="center" wrapText="1"/>
    </xf>
    <xf numFmtId="0" fontId="209" fillId="0" borderId="0" xfId="19" applyFont="1" applyFill="1" applyProtection="1">
      <alignment vertical="center"/>
      <protection locked="0"/>
    </xf>
    <xf numFmtId="0" fontId="209" fillId="0" borderId="116" xfId="19" applyFont="1" applyFill="1" applyBorder="1" applyAlignment="1" applyProtection="1">
      <alignment horizontal="center"/>
    </xf>
    <xf numFmtId="0" fontId="209" fillId="0" borderId="48" xfId="19" applyFont="1" applyFill="1" applyBorder="1" applyAlignment="1" applyProtection="1">
      <alignment horizontal="center"/>
    </xf>
    <xf numFmtId="0" fontId="209" fillId="0" borderId="48" xfId="19" applyFont="1" applyFill="1" applyBorder="1" applyProtection="1">
      <alignment vertical="center"/>
      <protection locked="0"/>
    </xf>
    <xf numFmtId="0" fontId="311" fillId="0" borderId="60" xfId="19" applyFont="1" applyFill="1" applyBorder="1" applyAlignment="1" applyProtection="1">
      <alignment horizontal="center" wrapText="1"/>
    </xf>
    <xf numFmtId="9" fontId="209" fillId="0" borderId="116" xfId="19" applyNumberFormat="1" applyFont="1" applyFill="1" applyBorder="1" applyAlignment="1" applyProtection="1">
      <alignment horizontal="center" wrapText="1"/>
    </xf>
    <xf numFmtId="0" fontId="229" fillId="0" borderId="2" xfId="19" applyFont="1" applyFill="1" applyBorder="1" applyAlignment="1">
      <alignment horizontal="center" vertical="center"/>
    </xf>
    <xf numFmtId="0" fontId="3" fillId="22" borderId="2" xfId="19" applyFont="1" applyFill="1" applyBorder="1" applyAlignment="1">
      <alignment vertical="center"/>
    </xf>
    <xf numFmtId="0" fontId="3" fillId="0" borderId="2" xfId="19" applyFont="1" applyFill="1" applyBorder="1" applyAlignment="1">
      <alignment vertical="center"/>
    </xf>
    <xf numFmtId="0" fontId="32" fillId="0" borderId="2" xfId="19" applyFill="1" applyBorder="1">
      <alignment vertical="center"/>
    </xf>
    <xf numFmtId="0" fontId="3" fillId="38" borderId="2" xfId="19" applyFont="1" applyFill="1" applyBorder="1" applyAlignment="1">
      <alignment vertical="center"/>
    </xf>
    <xf numFmtId="178" fontId="3" fillId="0" borderId="2" xfId="19" applyNumberFormat="1" applyFont="1" applyFill="1" applyBorder="1" applyAlignment="1">
      <alignment vertical="center"/>
    </xf>
    <xf numFmtId="0" fontId="3" fillId="4" borderId="2" xfId="19" applyFont="1" applyFill="1" applyBorder="1" applyAlignment="1">
      <alignment vertical="center"/>
    </xf>
    <xf numFmtId="178" fontId="3" fillId="0" borderId="2" xfId="19" applyNumberFormat="1" applyFont="1" applyFill="1" applyBorder="1">
      <alignment vertical="center"/>
    </xf>
    <xf numFmtId="0" fontId="3" fillId="2" borderId="2" xfId="19" applyFont="1" applyFill="1" applyBorder="1" applyAlignment="1">
      <alignment vertical="center"/>
    </xf>
    <xf numFmtId="0" fontId="3" fillId="39" borderId="2" xfId="19" applyFont="1" applyFill="1" applyBorder="1" applyAlignment="1">
      <alignment vertical="center"/>
    </xf>
    <xf numFmtId="0" fontId="3" fillId="3" borderId="2" xfId="19" applyFont="1" applyFill="1" applyBorder="1" applyAlignment="1">
      <alignment vertical="center"/>
    </xf>
    <xf numFmtId="178" fontId="3" fillId="3" borderId="2" xfId="19" applyNumberFormat="1" applyFont="1" applyFill="1" applyBorder="1" applyAlignment="1">
      <alignment vertical="center"/>
    </xf>
    <xf numFmtId="0" fontId="127" fillId="0" borderId="2" xfId="19" applyFont="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Fill="1" applyBorder="1" applyAlignment="1">
      <alignment vertical="center"/>
    </xf>
    <xf numFmtId="205" fontId="127" fillId="0" borderId="2" xfId="19" applyNumberFormat="1" applyFont="1" applyFill="1" applyBorder="1" applyAlignment="1">
      <alignment horizontal="center" vertical="center" wrapText="1"/>
    </xf>
    <xf numFmtId="0" fontId="127" fillId="30" borderId="2" xfId="19" applyFont="1" applyFill="1" applyBorder="1" applyAlignment="1">
      <alignment horizontal="center" vertical="center" wrapText="1"/>
    </xf>
    <xf numFmtId="0" fontId="127" fillId="40" borderId="2" xfId="19" applyFont="1" applyFill="1" applyBorder="1" applyAlignment="1">
      <alignment horizontal="center" vertical="center" wrapText="1"/>
    </xf>
    <xf numFmtId="0" fontId="127" fillId="28" borderId="2" xfId="19" applyFont="1" applyFill="1" applyBorder="1" applyAlignment="1">
      <alignment horizontal="center" vertical="center" wrapText="1"/>
    </xf>
    <xf numFmtId="0" fontId="221" fillId="40" borderId="2" xfId="19" applyFont="1" applyFill="1" applyBorder="1" applyAlignment="1">
      <alignment horizontal="center" vertical="center" wrapText="1"/>
    </xf>
    <xf numFmtId="0" fontId="221" fillId="0" borderId="2" xfId="19" applyFont="1" applyBorder="1" applyAlignment="1">
      <alignment horizontal="center" vertical="center" wrapText="1"/>
    </xf>
    <xf numFmtId="0" fontId="86" fillId="0" borderId="2" xfId="19" applyFont="1" applyFill="1" applyBorder="1" applyAlignment="1">
      <alignment horizontal="center" vertical="center" wrapText="1"/>
    </xf>
    <xf numFmtId="0" fontId="127" fillId="4" borderId="2" xfId="19" applyFont="1" applyFill="1" applyBorder="1" applyAlignment="1">
      <alignment horizontal="center" vertical="center" wrapText="1"/>
    </xf>
    <xf numFmtId="205" fontId="127" fillId="4" borderId="2" xfId="19" applyNumberFormat="1" applyFont="1" applyFill="1" applyBorder="1" applyAlignment="1">
      <alignment horizontal="center" vertical="center" wrapText="1"/>
    </xf>
    <xf numFmtId="0" fontId="127" fillId="0" borderId="2" xfId="19" applyFont="1" applyFill="1" applyBorder="1" applyAlignment="1">
      <alignment vertical="center" wrapText="1"/>
    </xf>
    <xf numFmtId="177" fontId="127" fillId="0" borderId="2" xfId="19" applyNumberFormat="1" applyFont="1" applyFill="1" applyBorder="1" applyAlignment="1">
      <alignment horizontal="center" vertical="center" wrapText="1"/>
    </xf>
    <xf numFmtId="0" fontId="127" fillId="41" borderId="2" xfId="19" applyFont="1" applyFill="1" applyBorder="1" applyAlignment="1">
      <alignment horizontal="center" vertical="center" wrapText="1"/>
    </xf>
    <xf numFmtId="205" fontId="127" fillId="41" borderId="2" xfId="19" applyNumberFormat="1" applyFont="1" applyFill="1" applyBorder="1" applyAlignment="1">
      <alignment horizontal="center" vertical="center" wrapText="1"/>
    </xf>
    <xf numFmtId="0" fontId="127" fillId="0" borderId="2" xfId="19" applyFont="1" applyFill="1" applyBorder="1">
      <alignment vertical="center"/>
    </xf>
    <xf numFmtId="0" fontId="164" fillId="24" borderId="2" xfId="0" applyFont="1" applyFill="1" applyBorder="1" applyAlignment="1">
      <alignment horizontal="center" vertical="center" wrapText="1"/>
    </xf>
    <xf numFmtId="0" fontId="164" fillId="0" borderId="2" xfId="0" applyFont="1" applyBorder="1" applyAlignment="1">
      <alignment horizontal="center" vertical="center" wrapText="1"/>
    </xf>
    <xf numFmtId="9" fontId="164" fillId="0" borderId="2" xfId="0" applyNumberFormat="1" applyFont="1" applyBorder="1" applyAlignment="1">
      <alignment horizontal="center" vertical="center" wrapText="1"/>
    </xf>
    <xf numFmtId="9" fontId="164" fillId="24" borderId="2" xfId="0" applyNumberFormat="1" applyFont="1" applyFill="1" applyBorder="1" applyAlignment="1">
      <alignment horizontal="center" vertical="center" wrapText="1"/>
    </xf>
    <xf numFmtId="0" fontId="170" fillId="24" borderId="2" xfId="0" applyFont="1" applyFill="1" applyBorder="1" applyAlignment="1">
      <alignment horizontal="center" vertical="center" wrapText="1"/>
    </xf>
    <xf numFmtId="0" fontId="170" fillId="0" borderId="2" xfId="0" applyFont="1" applyBorder="1" applyAlignment="1">
      <alignment horizontal="center" vertical="center" wrapText="1"/>
    </xf>
    <xf numFmtId="0" fontId="320" fillId="14" borderId="2" xfId="0" applyFont="1" applyFill="1" applyBorder="1" applyAlignment="1">
      <alignment horizontal="center" vertical="center" wrapText="1"/>
    </xf>
    <xf numFmtId="0" fontId="164" fillId="0" borderId="2" xfId="0" applyFont="1" applyBorder="1">
      <alignment vertical="center"/>
    </xf>
    <xf numFmtId="0" fontId="321" fillId="20" borderId="200" xfId="0" applyFont="1" applyFill="1" applyBorder="1" applyAlignment="1">
      <alignment horizontal="center" vertical="center" wrapText="1"/>
    </xf>
    <xf numFmtId="49" fontId="321" fillId="20" borderId="200" xfId="0" applyNumberFormat="1" applyFont="1" applyFill="1" applyBorder="1" applyAlignment="1">
      <alignment horizontal="center" vertical="center" wrapText="1"/>
    </xf>
    <xf numFmtId="0" fontId="321" fillId="0" borderId="50" xfId="0" applyFont="1" applyBorder="1" applyAlignment="1">
      <alignment horizontal="center" vertical="center"/>
    </xf>
    <xf numFmtId="0" fontId="321" fillId="0" borderId="21" xfId="0" applyFont="1" applyBorder="1" applyAlignment="1">
      <alignment horizontal="center" vertical="center" wrapText="1"/>
    </xf>
    <xf numFmtId="2" fontId="321" fillId="0" borderId="51" xfId="0" applyNumberFormat="1" applyFont="1" applyBorder="1" applyAlignment="1">
      <alignment horizontal="center" vertical="center"/>
    </xf>
    <xf numFmtId="0" fontId="321" fillId="42" borderId="11" xfId="0" applyFont="1" applyFill="1" applyBorder="1" applyAlignment="1">
      <alignment horizontal="center" vertical="center"/>
    </xf>
    <xf numFmtId="0" fontId="321" fillId="42" borderId="2" xfId="0" applyFont="1" applyFill="1" applyBorder="1" applyAlignment="1">
      <alignment horizontal="center" vertical="center" wrapText="1"/>
    </xf>
    <xf numFmtId="2" fontId="321" fillId="42" borderId="12" xfId="0" applyNumberFormat="1" applyFont="1" applyFill="1" applyBorder="1" applyAlignment="1">
      <alignment horizontal="center" vertical="center" wrapText="1"/>
    </xf>
    <xf numFmtId="2" fontId="321" fillId="0" borderId="51" xfId="0" applyNumberFormat="1" applyFont="1" applyBorder="1" applyAlignment="1">
      <alignment horizontal="center" vertical="center" wrapText="1"/>
    </xf>
    <xf numFmtId="0" fontId="321" fillId="42" borderId="117" xfId="0" applyFont="1" applyFill="1" applyBorder="1" applyAlignment="1">
      <alignment horizontal="center" vertical="center"/>
    </xf>
    <xf numFmtId="0" fontId="321" fillId="42" borderId="71" xfId="0" applyFont="1" applyFill="1" applyBorder="1" applyAlignment="1">
      <alignment horizontal="center" vertical="center" wrapText="1"/>
    </xf>
    <xf numFmtId="2" fontId="321" fillId="42" borderId="72" xfId="0" applyNumberFormat="1" applyFont="1" applyFill="1" applyBorder="1" applyAlignment="1">
      <alignment horizontal="center" vertical="center" wrapText="1"/>
    </xf>
    <xf numFmtId="0" fontId="321" fillId="20" borderId="23" xfId="0" applyFont="1" applyFill="1" applyBorder="1" applyAlignment="1">
      <alignment horizontal="center" vertical="center"/>
    </xf>
    <xf numFmtId="0" fontId="321" fillId="20" borderId="55" xfId="0" applyFont="1" applyFill="1" applyBorder="1" applyAlignment="1">
      <alignment horizontal="center" vertical="center" wrapText="1"/>
    </xf>
    <xf numFmtId="2" fontId="321" fillId="20" borderId="69" xfId="0" applyNumberFormat="1" applyFont="1" applyFill="1" applyBorder="1" applyAlignment="1">
      <alignment horizontal="center" vertical="center"/>
    </xf>
    <xf numFmtId="0" fontId="145" fillId="0" borderId="2" xfId="0" applyFont="1" applyBorder="1" applyAlignment="1">
      <alignment horizontal="center" vertical="center"/>
    </xf>
    <xf numFmtId="0" fontId="145" fillId="0" borderId="2" xfId="0" applyFont="1" applyBorder="1">
      <alignment vertical="center"/>
    </xf>
    <xf numFmtId="2" fontId="145" fillId="0" borderId="2" xfId="0" applyNumberFormat="1" applyFont="1" applyBorder="1" applyAlignment="1">
      <alignment horizontal="center" vertical="center"/>
    </xf>
    <xf numFmtId="0" fontId="146" fillId="6" borderId="0" xfId="0" applyFont="1" applyFill="1">
      <alignment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0" fontId="0" fillId="8" borderId="0" xfId="0" applyFill="1">
      <alignment vertical="center"/>
    </xf>
    <xf numFmtId="0" fontId="0" fillId="15" borderId="0" xfId="0" applyFill="1">
      <alignment vertical="center"/>
    </xf>
    <xf numFmtId="0" fontId="323" fillId="0" borderId="0" xfId="0" applyFont="1" applyAlignment="1">
      <alignment horizontal="left" vertical="center"/>
    </xf>
    <xf numFmtId="0" fontId="0" fillId="0" borderId="0" xfId="0" applyAlignment="1">
      <alignment horizontal="right" vertical="center"/>
    </xf>
    <xf numFmtId="0" fontId="324" fillId="0" borderId="0" xfId="0" applyFont="1" applyAlignment="1">
      <alignment horizontal="center" vertical="center"/>
    </xf>
    <xf numFmtId="196" fontId="0" fillId="0" borderId="0" xfId="0" applyNumberFormat="1" applyAlignment="1">
      <alignment horizontal="right" vertical="center"/>
    </xf>
    <xf numFmtId="0" fontId="323" fillId="0" borderId="0" xfId="0" applyFont="1" applyAlignment="1">
      <alignment horizontal="right" vertical="center"/>
    </xf>
    <xf numFmtId="0" fontId="323" fillId="0" borderId="0" xfId="0" applyFont="1" applyAlignment="1">
      <alignment horizontal="center" vertical="center"/>
    </xf>
    <xf numFmtId="196" fontId="167" fillId="44" borderId="201" xfId="0" quotePrefix="1" applyNumberFormat="1" applyFont="1" applyFill="1" applyBorder="1" applyAlignment="1">
      <alignment horizontal="center" vertical="center"/>
    </xf>
    <xf numFmtId="196" fontId="167" fillId="44" borderId="202" xfId="0" quotePrefix="1" applyNumberFormat="1" applyFont="1" applyFill="1" applyBorder="1" applyAlignment="1">
      <alignment horizontal="center" vertical="center"/>
    </xf>
    <xf numFmtId="0" fontId="0" fillId="0" borderId="13" xfId="0" applyBorder="1" applyAlignment="1">
      <alignment horizontal="right" vertical="center"/>
    </xf>
    <xf numFmtId="196" fontId="168" fillId="44" borderId="2" xfId="0" quotePrefix="1" applyNumberFormat="1" applyFont="1" applyFill="1" applyBorder="1" applyAlignment="1">
      <alignment horizontal="left" vertical="center"/>
    </xf>
    <xf numFmtId="196" fontId="167" fillId="44" borderId="2" xfId="0" quotePrefix="1" applyNumberFormat="1" applyFont="1" applyFill="1" applyBorder="1" applyAlignment="1">
      <alignment horizontal="center" vertical="center"/>
    </xf>
    <xf numFmtId="196" fontId="167" fillId="0" borderId="2" xfId="0" applyNumberFormat="1" applyFont="1" applyBorder="1" applyAlignment="1">
      <alignment horizontal="right" vertical="center"/>
    </xf>
    <xf numFmtId="196" fontId="167" fillId="44" borderId="2" xfId="0" quotePrefix="1" applyNumberFormat="1" applyFont="1" applyFill="1" applyBorder="1" applyAlignment="1">
      <alignment horizontal="left" vertical="center"/>
    </xf>
    <xf numFmtId="196" fontId="167" fillId="0" borderId="5" xfId="0" applyNumberFormat="1" applyFont="1" applyBorder="1" applyAlignment="1">
      <alignment horizontal="right" vertical="center"/>
    </xf>
    <xf numFmtId="196" fontId="167" fillId="0" borderId="2" xfId="0" quotePrefix="1" applyNumberFormat="1" applyFont="1" applyBorder="1" applyAlignment="1">
      <alignment horizontal="center" vertical="center"/>
    </xf>
    <xf numFmtId="196" fontId="167" fillId="0" borderId="5" xfId="0" quotePrefix="1" applyNumberFormat="1" applyFont="1" applyBorder="1" applyAlignment="1">
      <alignment horizontal="center" vertical="center"/>
    </xf>
    <xf numFmtId="206" fontId="167" fillId="0" borderId="2" xfId="0" applyNumberFormat="1" applyFont="1" applyBorder="1" applyAlignment="1">
      <alignment horizontal="right" vertical="center"/>
    </xf>
    <xf numFmtId="206" fontId="167" fillId="0" borderId="5" xfId="0" applyNumberFormat="1" applyFont="1" applyBorder="1" applyAlignment="1">
      <alignment horizontal="right" vertical="center"/>
    </xf>
    <xf numFmtId="196" fontId="167" fillId="44" borderId="10" xfId="0" quotePrefix="1" applyNumberFormat="1" applyFont="1" applyFill="1" applyBorder="1" applyAlignment="1">
      <alignment horizontal="left" vertical="center"/>
    </xf>
    <xf numFmtId="196" fontId="167" fillId="44" borderId="10" xfId="0" quotePrefix="1" applyNumberFormat="1" applyFont="1" applyFill="1" applyBorder="1" applyAlignment="1">
      <alignment horizontal="center" vertical="center"/>
    </xf>
    <xf numFmtId="196" fontId="167" fillId="0" borderId="10" xfId="0" applyNumberFormat="1" applyFont="1" applyBorder="1" applyAlignment="1">
      <alignment horizontal="right" vertical="center"/>
    </xf>
    <xf numFmtId="196" fontId="167" fillId="44" borderId="10" xfId="0" applyNumberFormat="1" applyFont="1" applyFill="1" applyBorder="1" applyAlignment="1">
      <alignment horizontal="left" vertical="center"/>
    </xf>
    <xf numFmtId="196" fontId="167" fillId="0" borderId="4" xfId="0" applyNumberFormat="1" applyFont="1" applyBorder="1" applyAlignment="1">
      <alignment horizontal="right" vertical="center"/>
    </xf>
    <xf numFmtId="0" fontId="0" fillId="0" borderId="14" xfId="0" applyBorder="1" applyAlignment="1">
      <alignment horizontal="right" vertical="center"/>
    </xf>
    <xf numFmtId="0" fontId="145" fillId="0" borderId="0" xfId="0" applyFont="1" applyAlignment="1">
      <alignment vertical="center" wrapText="1"/>
    </xf>
    <xf numFmtId="0" fontId="227" fillId="8" borderId="2" xfId="15" applyFont="1" applyFill="1" applyBorder="1" applyAlignment="1">
      <alignment horizontal="center" vertical="center"/>
    </xf>
    <xf numFmtId="0" fontId="154" fillId="8" borderId="2" xfId="15" applyFont="1" applyFill="1" applyBorder="1" applyAlignment="1">
      <alignment horizontal="center" vertical="center"/>
    </xf>
    <xf numFmtId="0" fontId="176" fillId="0" borderId="0" xfId="15" applyFont="1">
      <alignment vertical="center"/>
    </xf>
    <xf numFmtId="0" fontId="176" fillId="0" borderId="2" xfId="15" applyFont="1" applyBorder="1" applyAlignment="1">
      <alignment horizontal="center" vertical="center"/>
    </xf>
    <xf numFmtId="0" fontId="326" fillId="0" borderId="2" xfId="15" applyFont="1" applyBorder="1" applyAlignment="1">
      <alignment horizontal="center" vertical="center"/>
    </xf>
    <xf numFmtId="0" fontId="176" fillId="8" borderId="2" xfId="15" applyFont="1" applyFill="1" applyBorder="1" applyAlignment="1">
      <alignment horizontal="center" vertical="center"/>
    </xf>
    <xf numFmtId="0" fontId="326" fillId="0" borderId="5" xfId="15" applyFont="1" applyBorder="1" applyAlignment="1">
      <alignment vertical="center"/>
    </xf>
    <xf numFmtId="0" fontId="326" fillId="0" borderId="8" xfId="15" applyFont="1" applyBorder="1" applyAlignment="1">
      <alignment vertical="center"/>
    </xf>
    <xf numFmtId="0" fontId="326" fillId="0" borderId="9" xfId="15" applyFont="1" applyBorder="1" applyAlignment="1">
      <alignment vertical="center"/>
    </xf>
    <xf numFmtId="0" fontId="176" fillId="0" borderId="0" xfId="15" applyFont="1" applyAlignment="1">
      <alignment horizontal="center" vertical="center"/>
    </xf>
    <xf numFmtId="0" fontId="176" fillId="8" borderId="0" xfId="15" applyFont="1" applyFill="1" applyAlignment="1">
      <alignment horizontal="center" vertical="center"/>
    </xf>
    <xf numFmtId="0" fontId="0" fillId="0" borderId="2" xfId="6" applyFont="1" applyBorder="1" applyAlignment="1">
      <alignment horizontal="center" vertical="center" wrapText="1"/>
    </xf>
    <xf numFmtId="1" fontId="32" fillId="0" borderId="2" xfId="6" applyNumberFormat="1" applyBorder="1" applyAlignment="1">
      <alignment horizontal="center" vertical="center" wrapText="1"/>
    </xf>
    <xf numFmtId="0" fontId="32" fillId="0" borderId="2" xfId="6" applyFont="1" applyBorder="1" applyAlignment="1">
      <alignment horizontal="center" vertical="center" wrapText="1"/>
    </xf>
    <xf numFmtId="0" fontId="172" fillId="8" borderId="2" xfId="15" applyFont="1" applyFill="1" applyBorder="1" applyAlignment="1">
      <alignment horizontal="center" vertical="center"/>
    </xf>
    <xf numFmtId="0" fontId="327" fillId="8" borderId="2" xfId="15" applyFont="1" applyFill="1" applyBorder="1" applyAlignment="1">
      <alignment horizontal="center" vertical="center"/>
    </xf>
    <xf numFmtId="0" fontId="253" fillId="8" borderId="2" xfId="15" applyFont="1" applyFill="1" applyBorder="1" applyAlignment="1">
      <alignment horizontal="center" vertical="center"/>
    </xf>
    <xf numFmtId="0" fontId="32" fillId="0" borderId="0" xfId="6" applyAlignment="1">
      <alignment wrapText="1"/>
    </xf>
    <xf numFmtId="0" fontId="229" fillId="0" borderId="2" xfId="6" applyFont="1" applyBorder="1" applyAlignment="1">
      <alignment horizontal="center" vertical="center" wrapText="1"/>
    </xf>
    <xf numFmtId="0" fontId="32" fillId="0" borderId="2" xfId="6" applyBorder="1" applyAlignment="1">
      <alignment horizontal="center" wrapText="1"/>
    </xf>
    <xf numFmtId="0" fontId="0" fillId="0" borderId="2" xfId="6" applyFont="1" applyBorder="1" applyAlignment="1">
      <alignment horizontal="center" wrapText="1"/>
    </xf>
    <xf numFmtId="0" fontId="32" fillId="0" borderId="0" xfId="6" applyAlignment="1">
      <alignment horizontal="center" vertical="center" wrapText="1"/>
    </xf>
    <xf numFmtId="0" fontId="32" fillId="0" borderId="0" xfId="6" applyFont="1" applyAlignment="1">
      <alignment wrapText="1"/>
    </xf>
    <xf numFmtId="0" fontId="0" fillId="0" borderId="0" xfId="6" applyFont="1" applyAlignment="1">
      <alignment wrapText="1"/>
    </xf>
    <xf numFmtId="1" fontId="32" fillId="0" borderId="0" xfId="6" applyNumberFormat="1" applyAlignment="1">
      <alignment wrapText="1"/>
    </xf>
    <xf numFmtId="0" fontId="145" fillId="8" borderId="2" xfId="0" applyFont="1" applyFill="1" applyBorder="1" applyAlignment="1">
      <alignment horizontal="center" vertical="center"/>
    </xf>
    <xf numFmtId="196" fontId="167" fillId="45" borderId="2" xfId="0" applyNumberFormat="1" applyFont="1" applyFill="1" applyBorder="1" applyAlignment="1">
      <alignment horizontal="right" vertical="center"/>
    </xf>
    <xf numFmtId="2" fontId="0" fillId="45" borderId="2" xfId="0" applyNumberFormat="1" applyFill="1" applyBorder="1" applyAlignment="1">
      <alignment horizontal="center" vertical="center"/>
    </xf>
    <xf numFmtId="0" fontId="0" fillId="45" borderId="0" xfId="0" applyFill="1">
      <alignment vertical="center"/>
    </xf>
    <xf numFmtId="9" fontId="0" fillId="0" borderId="0" xfId="0" applyNumberFormat="1">
      <alignment vertical="center"/>
    </xf>
    <xf numFmtId="0" fontId="145" fillId="45" borderId="0" xfId="0" applyFont="1" applyFill="1">
      <alignment vertical="center"/>
    </xf>
    <xf numFmtId="9" fontId="145" fillId="45" borderId="0" xfId="0" applyNumberFormat="1" applyFont="1" applyFill="1">
      <alignment vertical="center"/>
    </xf>
    <xf numFmtId="0" fontId="321" fillId="20" borderId="0" xfId="0" applyFont="1" applyFill="1" applyBorder="1" applyAlignment="1">
      <alignment horizontal="center" vertical="center" wrapText="1"/>
    </xf>
    <xf numFmtId="2" fontId="321" fillId="0" borderId="0" xfId="0" applyNumberFormat="1" applyFont="1" applyBorder="1" applyAlignment="1">
      <alignment horizontal="center" vertical="center"/>
    </xf>
    <xf numFmtId="2" fontId="321" fillId="42" borderId="0" xfId="0" applyNumberFormat="1" applyFont="1" applyFill="1" applyBorder="1" applyAlignment="1">
      <alignment horizontal="center" vertical="center" wrapText="1"/>
    </xf>
    <xf numFmtId="2" fontId="321" fillId="0" borderId="0" xfId="0" applyNumberFormat="1" applyFont="1" applyBorder="1" applyAlignment="1">
      <alignment horizontal="center" vertical="center" wrapText="1"/>
    </xf>
    <xf numFmtId="2" fontId="321" fillId="20" borderId="0" xfId="0" applyNumberFormat="1" applyFont="1" applyFill="1" applyBorder="1" applyAlignment="1">
      <alignment horizontal="center" vertical="center"/>
    </xf>
    <xf numFmtId="0" fontId="164" fillId="0" borderId="0" xfId="0" applyFont="1" applyAlignment="1">
      <alignment horizontal="center" vertical="center"/>
    </xf>
    <xf numFmtId="0" fontId="164" fillId="0" borderId="0" xfId="0" applyFont="1" applyFill="1" applyBorder="1" applyAlignment="1">
      <alignment horizontal="center" vertical="center"/>
    </xf>
    <xf numFmtId="49" fontId="173" fillId="0" borderId="21" xfId="0" applyNumberFormat="1" applyFont="1" applyBorder="1" applyAlignment="1">
      <alignment horizontal="center" vertical="center"/>
    </xf>
    <xf numFmtId="0" fontId="173" fillId="0" borderId="21" xfId="0" applyFont="1" applyBorder="1" applyAlignment="1">
      <alignment horizontal="center" vertical="center"/>
    </xf>
    <xf numFmtId="49" fontId="173" fillId="42" borderId="2" xfId="0" applyNumberFormat="1" applyFont="1" applyFill="1" applyBorder="1" applyAlignment="1">
      <alignment horizontal="center" vertical="center"/>
    </xf>
    <xf numFmtId="0" fontId="173" fillId="42" borderId="2" xfId="0" applyFont="1" applyFill="1" applyBorder="1" applyAlignment="1">
      <alignment horizontal="center" vertical="center"/>
    </xf>
    <xf numFmtId="0" fontId="173" fillId="47" borderId="2" xfId="0" applyFont="1" applyFill="1" applyBorder="1" applyAlignment="1">
      <alignment horizontal="center" vertical="center"/>
    </xf>
    <xf numFmtId="49" fontId="173" fillId="42" borderId="71" xfId="0" applyNumberFormat="1" applyFont="1" applyFill="1" applyBorder="1" applyAlignment="1">
      <alignment horizontal="center" vertical="center"/>
    </xf>
    <xf numFmtId="0" fontId="173" fillId="42" borderId="71" xfId="0" applyFont="1" applyFill="1" applyBorder="1" applyAlignment="1">
      <alignment horizontal="center" vertical="center"/>
    </xf>
    <xf numFmtId="49" fontId="173" fillId="20" borderId="55" xfId="0" applyNumberFormat="1" applyFont="1" applyFill="1" applyBorder="1" applyAlignment="1">
      <alignment horizontal="center" vertical="center"/>
    </xf>
    <xf numFmtId="0" fontId="173" fillId="20" borderId="55" xfId="0" applyFont="1" applyFill="1" applyBorder="1" applyAlignment="1">
      <alignment horizontal="center" vertical="center"/>
    </xf>
    <xf numFmtId="0" fontId="0" fillId="8" borderId="2" xfId="0" applyFill="1" applyBorder="1" applyAlignment="1">
      <alignment horizontal="center" vertical="center" wrapText="1"/>
    </xf>
    <xf numFmtId="0" fontId="145" fillId="45" borderId="2" xfId="0" applyFont="1" applyFill="1" applyBorder="1" applyAlignment="1">
      <alignment horizontal="center" vertical="center" wrapText="1"/>
    </xf>
    <xf numFmtId="0" fontId="145" fillId="45" borderId="2" xfId="0" applyFont="1" applyFill="1" applyBorder="1" applyAlignment="1">
      <alignment vertical="center" wrapText="1"/>
    </xf>
    <xf numFmtId="0" fontId="144" fillId="0" borderId="2" xfId="6" applyFont="1" applyBorder="1" applyAlignment="1">
      <alignment horizontal="center" vertical="center" wrapText="1"/>
    </xf>
    <xf numFmtId="0" fontId="144" fillId="0" borderId="2" xfId="6" applyFont="1" applyFill="1" applyBorder="1" applyAlignment="1">
      <alignment horizontal="center" vertical="center" wrapText="1"/>
    </xf>
    <xf numFmtId="1" fontId="144" fillId="0" borderId="2" xfId="6" applyNumberFormat="1" applyFont="1" applyBorder="1" applyAlignment="1">
      <alignment horizontal="center" vertical="center" wrapText="1"/>
    </xf>
    <xf numFmtId="0" fontId="167" fillId="0" borderId="2" xfId="6" applyFont="1" applyFill="1" applyBorder="1" applyAlignment="1">
      <alignment horizontal="center" vertical="center" wrapText="1"/>
    </xf>
    <xf numFmtId="0" fontId="202" fillId="0" borderId="2" xfId="6" applyFont="1" applyBorder="1" applyAlignment="1">
      <alignment horizontal="center" vertical="center" wrapText="1"/>
    </xf>
    <xf numFmtId="0" fontId="144" fillId="45" borderId="2" xfId="6" applyFont="1" applyFill="1" applyBorder="1" applyAlignment="1">
      <alignment horizontal="center" vertical="center" wrapText="1"/>
    </xf>
    <xf numFmtId="0" fontId="144" fillId="8" borderId="2" xfId="6" applyFont="1" applyFill="1" applyBorder="1" applyAlignment="1">
      <alignment horizontal="center" vertical="center" wrapText="1"/>
    </xf>
    <xf numFmtId="0" fontId="327" fillId="6" borderId="2" xfId="15" applyFont="1" applyFill="1" applyBorder="1" applyAlignment="1">
      <alignment horizontal="center" vertical="center"/>
    </xf>
    <xf numFmtId="0" fontId="329" fillId="0" borderId="82" xfId="0" applyFont="1" applyBorder="1" applyAlignment="1">
      <alignment horizontal="center" vertical="center" wrapText="1"/>
    </xf>
    <xf numFmtId="0" fontId="329" fillId="0" borderId="38" xfId="0" applyFont="1" applyBorder="1" applyAlignment="1">
      <alignment horizontal="center" vertical="center" wrapText="1"/>
    </xf>
    <xf numFmtId="0" fontId="330" fillId="0" borderId="80" xfId="0" applyFont="1" applyBorder="1" applyAlignment="1">
      <alignment horizontal="center" vertical="center" wrapText="1"/>
    </xf>
    <xf numFmtId="0" fontId="329" fillId="0" borderId="66" xfId="0" applyFont="1" applyBorder="1" applyAlignment="1">
      <alignment horizontal="center" vertical="center" wrapText="1"/>
    </xf>
    <xf numFmtId="0" fontId="330" fillId="0" borderId="66" xfId="0" applyFont="1" applyBorder="1" applyAlignment="1">
      <alignment horizontal="center" vertical="center" wrapText="1"/>
    </xf>
    <xf numFmtId="31" fontId="330" fillId="0" borderId="66" xfId="0" applyNumberFormat="1" applyFont="1" applyBorder="1" applyAlignment="1">
      <alignment horizontal="center" vertical="center" wrapText="1"/>
    </xf>
    <xf numFmtId="9" fontId="330" fillId="0" borderId="66" xfId="0" applyNumberFormat="1" applyFont="1" applyBorder="1" applyAlignment="1">
      <alignment horizontal="center" vertical="center" wrapText="1"/>
    </xf>
    <xf numFmtId="0" fontId="145" fillId="0" borderId="0" xfId="0" applyFont="1" applyFill="1" applyBorder="1">
      <alignment vertical="center"/>
    </xf>
    <xf numFmtId="9" fontId="95" fillId="9" borderId="5" xfId="2"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0" fontId="331" fillId="0" borderId="82" xfId="0" applyFont="1" applyBorder="1" applyAlignment="1">
      <alignment horizontal="center" vertical="center" wrapText="1"/>
    </xf>
    <xf numFmtId="0" fontId="331" fillId="0" borderId="38" xfId="0" applyFont="1" applyBorder="1" applyAlignment="1">
      <alignment horizontal="center" vertical="center" wrapText="1"/>
    </xf>
    <xf numFmtId="0" fontId="171" fillId="0" borderId="80" xfId="0" applyFont="1" applyBorder="1" applyAlignment="1">
      <alignment horizontal="center" vertical="center" wrapText="1"/>
    </xf>
    <xf numFmtId="0" fontId="331" fillId="0" borderId="66" xfId="0" applyFont="1" applyBorder="1" applyAlignment="1">
      <alignment horizontal="center" vertical="center" wrapText="1"/>
    </xf>
    <xf numFmtId="0" fontId="171" fillId="0" borderId="66" xfId="0" applyFont="1" applyBorder="1" applyAlignment="1">
      <alignment horizontal="center" vertical="center" wrapText="1"/>
    </xf>
    <xf numFmtId="0" fontId="171" fillId="0" borderId="66" xfId="0" applyFont="1" applyBorder="1" applyAlignment="1">
      <alignment vertical="center" wrapText="1"/>
    </xf>
    <xf numFmtId="0" fontId="332" fillId="0" borderId="66" xfId="30" applyBorder="1" applyAlignment="1">
      <alignment horizontal="center" vertical="center" wrapText="1"/>
    </xf>
    <xf numFmtId="0" fontId="331" fillId="0" borderId="80" xfId="0" applyFont="1" applyBorder="1" applyAlignment="1">
      <alignment horizontal="center" vertical="center" wrapText="1"/>
    </xf>
    <xf numFmtId="0" fontId="333" fillId="0" borderId="21" xfId="0" applyFont="1" applyBorder="1" applyAlignment="1">
      <alignment horizontal="center" vertical="center"/>
    </xf>
    <xf numFmtId="0" fontId="146" fillId="0" borderId="0" xfId="0" applyFont="1" applyFill="1" applyBorder="1" applyAlignment="1">
      <alignment vertical="center"/>
    </xf>
    <xf numFmtId="1" fontId="145" fillId="0" borderId="0" xfId="0" applyNumberFormat="1" applyFont="1">
      <alignment vertical="center"/>
    </xf>
    <xf numFmtId="1" fontId="176" fillId="0" borderId="0" xfId="15" applyNumberFormat="1" applyFont="1">
      <alignment vertical="center"/>
    </xf>
    <xf numFmtId="0" fontId="177" fillId="0" borderId="82" xfId="0" applyFont="1" applyBorder="1" applyAlignment="1">
      <alignment horizontal="center" vertical="center" wrapText="1"/>
    </xf>
    <xf numFmtId="0" fontId="177" fillId="0" borderId="80" xfId="0" applyFont="1" applyBorder="1" applyAlignment="1">
      <alignment horizontal="center" vertical="center" wrapText="1"/>
    </xf>
    <xf numFmtId="0" fontId="321" fillId="6" borderId="23" xfId="0" applyFont="1" applyFill="1" applyBorder="1" applyAlignment="1">
      <alignment horizontal="center" vertical="center"/>
    </xf>
    <xf numFmtId="0" fontId="334" fillId="20" borderId="55" xfId="0" applyFont="1" applyFill="1" applyBorder="1" applyAlignment="1">
      <alignment horizontal="center" vertical="center" wrapText="1"/>
    </xf>
    <xf numFmtId="0" fontId="334" fillId="20" borderId="23" xfId="0" applyFont="1" applyFill="1" applyBorder="1" applyAlignment="1">
      <alignment horizontal="center" vertical="center"/>
    </xf>
    <xf numFmtId="0" fontId="334" fillId="6" borderId="55" xfId="0" applyFont="1" applyFill="1" applyBorder="1" applyAlignment="1">
      <alignment horizontal="center" vertical="center" wrapText="1"/>
    </xf>
    <xf numFmtId="0" fontId="335" fillId="15" borderId="55" xfId="0" applyFont="1" applyFill="1" applyBorder="1" applyAlignment="1">
      <alignment horizontal="center" vertical="center" wrapText="1"/>
    </xf>
    <xf numFmtId="0" fontId="334" fillId="15" borderId="23" xfId="0" applyFont="1" applyFill="1" applyBorder="1" applyAlignment="1">
      <alignment horizontal="center" vertical="center"/>
    </xf>
    <xf numFmtId="0" fontId="40" fillId="7" borderId="2" xfId="4" applyFont="1" applyFill="1" applyBorder="1" applyAlignment="1">
      <alignment horizontal="center" vertical="center" wrapText="1"/>
    </xf>
    <xf numFmtId="0" fontId="86" fillId="7" borderId="2" xfId="4" applyFont="1" applyFill="1" applyBorder="1" applyAlignment="1">
      <alignment horizontal="center" vertical="center" wrapText="1"/>
    </xf>
    <xf numFmtId="0" fontId="0" fillId="7" borderId="0" xfId="0" applyFill="1">
      <alignment vertical="center"/>
    </xf>
    <xf numFmtId="0" fontId="336" fillId="11" borderId="55" xfId="0" applyFont="1" applyFill="1" applyBorder="1" applyAlignment="1">
      <alignment horizontal="center" vertical="center" wrapText="1"/>
    </xf>
    <xf numFmtId="0" fontId="337" fillId="11" borderId="0" xfId="0" applyFont="1" applyFill="1">
      <alignment vertical="center"/>
    </xf>
    <xf numFmtId="0" fontId="338" fillId="11" borderId="31" xfId="0" applyFont="1" applyFill="1" applyBorder="1" applyAlignment="1">
      <alignment horizontal="center" vertical="center"/>
    </xf>
    <xf numFmtId="0" fontId="40" fillId="7" borderId="2" xfId="4" applyFont="1" applyFill="1" applyBorder="1" applyAlignment="1">
      <alignment vertical="center" wrapText="1"/>
    </xf>
    <xf numFmtId="0" fontId="328" fillId="0" borderId="82" xfId="0" applyFont="1" applyBorder="1" applyAlignment="1">
      <alignment horizontal="center" vertical="center" wrapText="1"/>
    </xf>
    <xf numFmtId="0" fontId="328" fillId="0" borderId="38" xfId="0" applyFont="1" applyBorder="1" applyAlignment="1">
      <alignment horizontal="center" vertical="center" wrapText="1"/>
    </xf>
    <xf numFmtId="0" fontId="173" fillId="0" borderId="80" xfId="0" applyFont="1" applyBorder="1" applyAlignment="1">
      <alignment horizontal="center" vertical="center" wrapText="1"/>
    </xf>
    <xf numFmtId="0" fontId="328" fillId="0" borderId="66" xfId="0" applyFont="1" applyBorder="1" applyAlignment="1">
      <alignment horizontal="center" vertical="center" wrapText="1"/>
    </xf>
    <xf numFmtId="0" fontId="173" fillId="0" borderId="66" xfId="0" applyFont="1" applyBorder="1" applyAlignment="1">
      <alignment horizontal="center" vertical="center" wrapText="1"/>
    </xf>
    <xf numFmtId="0" fontId="322" fillId="0" borderId="82" xfId="0" applyFont="1" applyBorder="1" applyAlignment="1">
      <alignment horizontal="center" vertical="center" wrapText="1"/>
    </xf>
    <xf numFmtId="0" fontId="322" fillId="0" borderId="38" xfId="0" applyFont="1" applyBorder="1" applyAlignment="1">
      <alignment horizontal="center" vertical="center" wrapText="1"/>
    </xf>
    <xf numFmtId="0" fontId="321" fillId="0" borderId="80" xfId="0" applyFont="1" applyBorder="1" applyAlignment="1">
      <alignment horizontal="center" vertical="center" wrapText="1"/>
    </xf>
    <xf numFmtId="0" fontId="322" fillId="0" borderId="66" xfId="0" applyFont="1" applyBorder="1" applyAlignment="1">
      <alignment horizontal="center" vertical="center" wrapText="1"/>
    </xf>
    <xf numFmtId="0" fontId="321" fillId="0" borderId="66" xfId="0" applyFont="1" applyBorder="1" applyAlignment="1">
      <alignment horizontal="center" vertical="center" wrapText="1"/>
    </xf>
    <xf numFmtId="58" fontId="321" fillId="0" borderId="66" xfId="0" applyNumberFormat="1" applyFont="1" applyBorder="1" applyAlignment="1">
      <alignment horizontal="center" vertical="center" wrapText="1"/>
    </xf>
    <xf numFmtId="0" fontId="322" fillId="0" borderId="80" xfId="0" applyFont="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329" fillId="0" borderId="36" xfId="0" applyFont="1" applyBorder="1" applyAlignment="1">
      <alignment horizontal="center" vertical="center" wrapText="1"/>
    </xf>
    <xf numFmtId="0" fontId="329" fillId="0" borderId="37" xfId="0" applyFont="1" applyBorder="1" applyAlignment="1">
      <alignment horizontal="center" vertical="center" wrapText="1"/>
    </xf>
    <xf numFmtId="0" fontId="329" fillId="0" borderId="38" xfId="0" applyFont="1" applyBorder="1" applyAlignment="1">
      <alignment horizontal="center" vertical="center" wrapText="1"/>
    </xf>
    <xf numFmtId="0" fontId="287" fillId="0" borderId="38" xfId="0" applyFont="1" applyFill="1" applyBorder="1" applyAlignment="1">
      <alignment horizontal="center" vertical="center" wrapText="1"/>
    </xf>
    <xf numFmtId="0" fontId="290" fillId="0" borderId="80" xfId="0" applyFont="1" applyFill="1" applyBorder="1" applyAlignment="1">
      <alignment horizontal="center" vertical="center" wrapText="1"/>
    </xf>
    <xf numFmtId="0" fontId="286" fillId="0" borderId="82" xfId="0" applyFont="1" applyFill="1" applyBorder="1" applyAlignment="1">
      <alignment horizontal="center" vertical="center" wrapText="1"/>
    </xf>
    <xf numFmtId="0" fontId="286" fillId="0" borderId="38" xfId="0" applyFont="1" applyFill="1" applyBorder="1" applyAlignment="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280" fillId="0" borderId="0" xfId="0" applyFont="1" applyFill="1" applyBorder="1" applyAlignment="1">
      <alignment horizontal="center"/>
    </xf>
    <xf numFmtId="0" fontId="40" fillId="0" borderId="2" xfId="4" applyFont="1" applyFill="1" applyBorder="1" applyAlignment="1">
      <alignment vertical="center" wrapText="1"/>
    </xf>
    <xf numFmtId="0" fontId="86" fillId="0" borderId="2" xfId="4" applyFont="1" applyFill="1" applyBorder="1" applyAlignment="1">
      <alignment horizontal="center" vertical="center" wrapText="1"/>
    </xf>
    <xf numFmtId="0" fontId="86" fillId="0" borderId="5" xfId="4" applyFont="1" applyFill="1" applyBorder="1" applyAlignment="1">
      <alignment horizontal="center" vertical="center" wrapText="1"/>
    </xf>
    <xf numFmtId="0" fontId="86" fillId="0" borderId="9" xfId="4" applyFont="1" applyFill="1" applyBorder="1" applyAlignment="1">
      <alignment horizontal="center" vertical="center" wrapText="1"/>
    </xf>
    <xf numFmtId="0" fontId="127" fillId="0" borderId="5" xfId="4" applyFont="1" applyFill="1" applyBorder="1" applyAlignment="1">
      <alignment horizontal="center" vertical="center" wrapText="1"/>
    </xf>
    <xf numFmtId="0" fontId="160" fillId="0" borderId="32" xfId="0" applyFont="1" applyFill="1" applyBorder="1" applyAlignment="1">
      <alignment horizontal="center" vertical="center"/>
    </xf>
    <xf numFmtId="0" fontId="160" fillId="0" borderId="18" xfId="0" applyFont="1" applyFill="1" applyBorder="1" applyAlignment="1">
      <alignment horizontal="center" vertical="center"/>
    </xf>
    <xf numFmtId="0" fontId="160" fillId="0" borderId="20" xfId="0" applyFont="1" applyFill="1" applyBorder="1" applyAlignment="1">
      <alignment horizontal="center" vertical="center"/>
    </xf>
    <xf numFmtId="0" fontId="40" fillId="0" borderId="5" xfId="4" applyFont="1" applyFill="1" applyBorder="1" applyAlignment="1">
      <alignment horizontal="center" vertical="center" wrapText="1"/>
    </xf>
    <xf numFmtId="0" fontId="160" fillId="0" borderId="10" xfId="0" applyFont="1" applyFill="1" applyBorder="1" applyAlignment="1">
      <alignment horizontal="center" vertical="center"/>
    </xf>
    <xf numFmtId="0" fontId="160" fillId="0" borderId="3" xfId="0" applyFont="1" applyFill="1" applyBorder="1" applyAlignment="1">
      <alignment horizontal="center" vertical="center"/>
    </xf>
    <xf numFmtId="0" fontId="160" fillId="0" borderId="21" xfId="0" applyFont="1" applyFill="1" applyBorder="1" applyAlignment="1">
      <alignment horizontal="center" vertical="center"/>
    </xf>
    <xf numFmtId="0" fontId="127" fillId="0" borderId="0" xfId="4" applyFont="1" applyFill="1" applyBorder="1" applyAlignment="1">
      <alignment horizontal="left"/>
    </xf>
    <xf numFmtId="4" fontId="86" fillId="0" borderId="2" xfId="4" applyNumberFormat="1" applyFont="1" applyFill="1" applyBorder="1" applyAlignment="1">
      <alignment horizontal="center" vertical="center" wrapText="1"/>
    </xf>
    <xf numFmtId="0" fontId="281" fillId="0" borderId="13" xfId="16" applyFont="1" applyFill="1" applyBorder="1" applyAlignment="1">
      <alignment horizontal="center" vertical="center" wrapText="1"/>
    </xf>
    <xf numFmtId="0" fontId="281" fillId="0" borderId="0" xfId="16" applyFont="1" applyFill="1" applyAlignment="1">
      <alignment horizontal="center" vertical="center" wrapText="1"/>
    </xf>
    <xf numFmtId="0" fontId="282" fillId="0" borderId="21" xfId="17" applyFont="1" applyFill="1" applyBorder="1" applyAlignment="1">
      <alignment horizontal="center" vertical="center" wrapText="1"/>
    </xf>
    <xf numFmtId="0" fontId="282" fillId="0" borderId="2" xfId="17" applyFont="1" applyFill="1" applyBorder="1" applyAlignment="1">
      <alignment horizontal="center" vertical="center"/>
    </xf>
    <xf numFmtId="197" fontId="282" fillId="0" borderId="21" xfId="17" applyNumberFormat="1" applyFont="1" applyFill="1" applyBorder="1" applyAlignment="1">
      <alignment horizontal="center" vertical="center" wrapText="1"/>
    </xf>
    <xf numFmtId="197" fontId="282" fillId="0" borderId="2" xfId="17" applyNumberFormat="1" applyFont="1" applyFill="1" applyBorder="1" applyAlignment="1">
      <alignment horizontal="center" vertical="center"/>
    </xf>
    <xf numFmtId="0" fontId="283" fillId="0" borderId="21" xfId="18" applyFont="1" applyFill="1" applyBorder="1" applyAlignment="1">
      <alignment horizontal="center" vertical="center" wrapText="1"/>
    </xf>
    <xf numFmtId="0" fontId="283" fillId="0" borderId="2" xfId="18" applyFont="1" applyFill="1" applyBorder="1" applyAlignment="1">
      <alignment horizontal="center" vertical="center" wrapText="1"/>
    </xf>
    <xf numFmtId="0" fontId="283" fillId="0" borderId="21" xfId="18"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45" fillId="23" borderId="2" xfId="0" applyFont="1" applyFill="1" applyBorder="1" applyAlignment="1">
      <alignment horizontal="center" vertical="center"/>
    </xf>
    <xf numFmtId="0" fontId="0" fillId="23" borderId="2" xfId="0" applyFill="1" applyBorder="1" applyAlignment="1">
      <alignment horizontal="center" vertical="center"/>
    </xf>
    <xf numFmtId="0" fontId="127" fillId="0" borderId="0" xfId="19" applyFont="1" applyAlignment="1">
      <alignment horizontal="center" vertical="center" wrapText="1"/>
    </xf>
    <xf numFmtId="0" fontId="127" fillId="0" borderId="0" xfId="19" applyFont="1" applyAlignment="1">
      <alignment horizontal="center" vertical="center"/>
    </xf>
    <xf numFmtId="0" fontId="291" fillId="0" borderId="0" xfId="19" applyFont="1" applyBorder="1" applyAlignment="1" applyProtection="1">
      <alignment horizontal="center" vertical="center"/>
      <protection locked="0"/>
    </xf>
    <xf numFmtId="0" fontId="280" fillId="2" borderId="0" xfId="19" applyFont="1" applyFill="1" applyBorder="1" applyAlignment="1" applyProtection="1">
      <alignment horizontal="center" vertical="center"/>
      <protection locked="0"/>
    </xf>
    <xf numFmtId="0" fontId="212" fillId="0" borderId="0" xfId="19" applyFont="1" applyFill="1" applyBorder="1" applyAlignment="1" applyProtection="1">
      <alignment horizontal="center" vertical="center" wrapText="1"/>
      <protection locked="0" hidden="1"/>
    </xf>
    <xf numFmtId="0" fontId="212" fillId="0" borderId="19" xfId="19" applyFont="1" applyFill="1" applyBorder="1" applyAlignment="1" applyProtection="1">
      <alignment horizontal="center" vertical="center" wrapText="1"/>
      <protection locked="0" hidden="1"/>
    </xf>
    <xf numFmtId="0" fontId="291" fillId="0" borderId="68" xfId="19" applyFont="1" applyFill="1" applyBorder="1" applyAlignment="1" applyProtection="1">
      <alignment horizontal="center" vertical="center" wrapText="1"/>
      <protection locked="0" hidden="1"/>
    </xf>
    <xf numFmtId="0" fontId="292" fillId="0" borderId="67" xfId="19" applyFont="1" applyFill="1" applyBorder="1" applyAlignment="1" applyProtection="1">
      <alignment horizontal="center" vertical="center" wrapText="1"/>
      <protection locked="0" hidden="1"/>
    </xf>
    <xf numFmtId="0" fontId="291" fillId="0" borderId="0" xfId="19" applyFont="1" applyAlignment="1">
      <alignment horizontal="center" vertical="center" wrapText="1"/>
    </xf>
    <xf numFmtId="0" fontId="291" fillId="0" borderId="61" xfId="19" applyFont="1" applyBorder="1" applyAlignment="1">
      <alignment horizontal="center" vertical="center"/>
    </xf>
    <xf numFmtId="0" fontId="291" fillId="0" borderId="0" xfId="19" applyFont="1" applyAlignment="1">
      <alignment horizontal="center" vertical="center"/>
    </xf>
    <xf numFmtId="0" fontId="291" fillId="0" borderId="65" xfId="19" applyFont="1" applyBorder="1" applyAlignment="1">
      <alignment horizontal="center" vertical="center"/>
    </xf>
    <xf numFmtId="0" fontId="291" fillId="0" borderId="66" xfId="19" applyFont="1" applyBorder="1" applyAlignment="1">
      <alignment horizontal="center" vertical="center"/>
    </xf>
    <xf numFmtId="0" fontId="280" fillId="0" borderId="49" xfId="19" applyFont="1" applyFill="1" applyBorder="1" applyAlignment="1" applyProtection="1">
      <alignment horizontal="center" vertical="center"/>
      <protection locked="0"/>
    </xf>
    <xf numFmtId="0" fontId="280" fillId="0" borderId="37"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xf>
    <xf numFmtId="0" fontId="280" fillId="2" borderId="2" xfId="19"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wrapText="1"/>
      <protection locked="0" hidden="1"/>
    </xf>
    <xf numFmtId="0" fontId="221" fillId="0" borderId="2" xfId="19" applyFont="1" applyFill="1" applyBorder="1" applyAlignment="1" applyProtection="1">
      <alignment horizontal="center" vertical="center"/>
      <protection locked="0" hidden="1"/>
    </xf>
    <xf numFmtId="1" fontId="221" fillId="0" borderId="2" xfId="19" applyNumberFormat="1" applyFont="1" applyFill="1" applyBorder="1" applyAlignment="1" applyProtection="1">
      <alignment horizontal="center" vertical="center" wrapText="1"/>
      <protection locked="0" hidden="1"/>
    </xf>
    <xf numFmtId="199" fontId="127" fillId="0" borderId="2" xfId="19" applyNumberFormat="1" applyFont="1" applyFill="1" applyBorder="1" applyAlignment="1" applyProtection="1">
      <alignment horizontal="center" vertical="center" wrapText="1"/>
      <protection locked="0" hidden="1"/>
    </xf>
    <xf numFmtId="0" fontId="221" fillId="0" borderId="71" xfId="19" applyFont="1" applyFill="1" applyBorder="1" applyAlignment="1" applyProtection="1">
      <alignment horizontal="center" vertical="center" wrapText="1"/>
      <protection locked="0" hidden="1"/>
    </xf>
    <xf numFmtId="199" fontId="127" fillId="0" borderId="71" xfId="19" applyNumberFormat="1" applyFont="1" applyFill="1" applyBorder="1" applyAlignment="1" applyProtection="1">
      <alignment horizontal="center" vertical="center" wrapText="1"/>
      <protection locked="0" hidden="1"/>
    </xf>
    <xf numFmtId="0" fontId="229" fillId="0" borderId="161" xfId="19" applyFont="1" applyFill="1" applyBorder="1" applyAlignment="1" applyProtection="1">
      <alignment horizontal="center" vertical="center"/>
      <protection locked="0" hidden="1"/>
    </xf>
    <xf numFmtId="0" fontId="229" fillId="0" borderId="162" xfId="19" applyFont="1" applyFill="1" applyBorder="1" applyAlignment="1" applyProtection="1">
      <alignment horizontal="center" vertical="center"/>
      <protection locked="0" hidden="1"/>
    </xf>
    <xf numFmtId="0" fontId="229" fillId="0" borderId="163" xfId="19" applyFont="1" applyFill="1" applyBorder="1" applyAlignment="1" applyProtection="1">
      <alignment horizontal="center" vertical="center"/>
      <protection locked="0" hidden="1"/>
    </xf>
    <xf numFmtId="0" fontId="144" fillId="0" borderId="2" xfId="19" applyNumberFormat="1" applyFont="1" applyFill="1" applyBorder="1" applyAlignment="1" applyProtection="1">
      <alignment horizontal="center" vertical="center" wrapText="1"/>
      <protection locked="0" hidden="1"/>
    </xf>
    <xf numFmtId="1" fontId="144" fillId="0" borderId="10" xfId="19" applyNumberFormat="1" applyFont="1" applyFill="1" applyBorder="1" applyAlignment="1" applyProtection="1">
      <alignment horizontal="center" vertical="center" wrapText="1"/>
      <protection locked="0" hidden="1"/>
    </xf>
    <xf numFmtId="0" fontId="229" fillId="0" borderId="74" xfId="19" applyFont="1" applyFill="1" applyBorder="1" applyAlignment="1" applyProtection="1">
      <alignment horizontal="center" vertical="center"/>
      <protection locked="0" hidden="1"/>
    </xf>
    <xf numFmtId="198" fontId="127" fillId="0" borderId="2" xfId="19" applyNumberFormat="1" applyFont="1" applyFill="1" applyBorder="1" applyAlignment="1" applyProtection="1">
      <alignment horizontal="center" vertical="center" wrapText="1"/>
      <protection locked="0" hidden="1"/>
    </xf>
    <xf numFmtId="177" fontId="291" fillId="0" borderId="169" xfId="19" applyNumberFormat="1" applyFont="1" applyFill="1" applyBorder="1" applyAlignment="1" applyProtection="1">
      <alignment horizontal="center" vertical="center" wrapText="1"/>
      <protection locked="0" hidden="1"/>
    </xf>
    <xf numFmtId="177" fontId="291" fillId="0" borderId="170" xfId="19" applyNumberFormat="1" applyFont="1" applyFill="1" applyBorder="1" applyAlignment="1" applyProtection="1">
      <alignment horizontal="center" vertical="center" wrapText="1"/>
      <protection locked="0" hidden="1"/>
    </xf>
    <xf numFmtId="0" fontId="291" fillId="0" borderId="169" xfId="19" applyFont="1" applyFill="1" applyBorder="1" applyAlignment="1" applyProtection="1">
      <alignment horizontal="center" vertical="center" wrapText="1"/>
      <protection locked="0" hidden="1"/>
    </xf>
    <xf numFmtId="0" fontId="291" fillId="0" borderId="170" xfId="19" applyFont="1" applyFill="1" applyBorder="1" applyAlignment="1" applyProtection="1">
      <alignment horizontal="center" vertical="center" wrapText="1"/>
      <protection locked="0" hidden="1"/>
    </xf>
    <xf numFmtId="0" fontId="247" fillId="0" borderId="165" xfId="19" applyFont="1" applyFill="1" applyBorder="1" applyAlignment="1" applyProtection="1">
      <alignment horizontal="center" vertical="center" wrapText="1"/>
      <protection locked="0" hidden="1"/>
    </xf>
    <xf numFmtId="0" fontId="247" fillId="0" borderId="166" xfId="19" applyFont="1" applyFill="1" applyBorder="1" applyAlignment="1" applyProtection="1">
      <alignment horizontal="center" vertical="center" wrapText="1"/>
      <protection locked="0" hidden="1"/>
    </xf>
    <xf numFmtId="0" fontId="291" fillId="0" borderId="172" xfId="19" applyFont="1" applyFill="1" applyBorder="1" applyAlignment="1" applyProtection="1">
      <alignment horizontal="center" vertical="center"/>
      <protection locked="0" hidden="1"/>
    </xf>
    <xf numFmtId="0" fontId="291" fillId="0" borderId="173" xfId="19" applyFont="1" applyFill="1" applyBorder="1" applyAlignment="1" applyProtection="1">
      <alignment horizontal="center" vertical="center"/>
      <protection locked="0" hidden="1"/>
    </xf>
    <xf numFmtId="0" fontId="247" fillId="2" borderId="2" xfId="19" applyFont="1" applyFill="1" applyBorder="1" applyAlignment="1" applyProtection="1">
      <alignment horizontal="center" vertical="center"/>
      <protection locked="0" hidden="1"/>
    </xf>
    <xf numFmtId="199" fontId="247" fillId="2" borderId="2" xfId="19" applyNumberFormat="1" applyFont="1" applyFill="1" applyBorder="1" applyAlignment="1" applyProtection="1">
      <alignment horizontal="center" vertical="center"/>
      <protection locked="0" hidden="1"/>
    </xf>
    <xf numFmtId="0" fontId="229" fillId="0" borderId="5" xfId="19" applyFont="1" applyFill="1" applyBorder="1" applyAlignment="1" applyProtection="1">
      <alignment horizontal="center" vertical="center"/>
      <protection locked="0" hidden="1"/>
    </xf>
    <xf numFmtId="0" fontId="229" fillId="0" borderId="8" xfId="19" applyFont="1" applyFill="1" applyBorder="1" applyAlignment="1" applyProtection="1">
      <alignment horizontal="center" vertical="center"/>
      <protection locked="0" hidden="1"/>
    </xf>
    <xf numFmtId="0" fontId="229" fillId="0" borderId="9" xfId="19" applyFont="1" applyFill="1" applyBorder="1" applyAlignment="1" applyProtection="1">
      <alignment horizontal="center" vertical="center"/>
      <protection locked="0" hidden="1"/>
    </xf>
    <xf numFmtId="0" fontId="280" fillId="28" borderId="0" xfId="19" applyFont="1" applyFill="1" applyAlignment="1">
      <alignment horizontal="center" vertical="center"/>
    </xf>
    <xf numFmtId="1" fontId="144" fillId="0" borderId="2" xfId="19" applyNumberFormat="1" applyFont="1" applyFill="1" applyBorder="1" applyAlignment="1" applyProtection="1">
      <alignment horizontal="center" vertical="center" wrapText="1"/>
      <protection locked="0" hidden="1"/>
    </xf>
    <xf numFmtId="199" fontId="280" fillId="2" borderId="2" xfId="19" applyNumberFormat="1" applyFont="1" applyFill="1" applyBorder="1" applyAlignment="1" applyProtection="1">
      <alignment horizontal="center" vertical="center"/>
      <protection locked="0" hidden="1"/>
    </xf>
    <xf numFmtId="0" fontId="247" fillId="2" borderId="10" xfId="19" applyFont="1" applyFill="1" applyBorder="1" applyAlignment="1" applyProtection="1">
      <alignment horizontal="center" vertical="center" wrapText="1"/>
      <protection locked="0" hidden="1"/>
    </xf>
    <xf numFmtId="201" fontId="247" fillId="2" borderId="4" xfId="19" applyNumberFormat="1" applyFont="1" applyFill="1" applyBorder="1" applyAlignment="1" applyProtection="1">
      <alignment horizontal="right" vertical="center"/>
      <protection locked="0" hidden="1"/>
    </xf>
    <xf numFmtId="201" fontId="247" fillId="2" borderId="14" xfId="19" applyNumberFormat="1" applyFont="1" applyFill="1" applyBorder="1" applyAlignment="1" applyProtection="1">
      <alignment horizontal="right" vertical="center"/>
      <protection locked="0" hidden="1"/>
    </xf>
    <xf numFmtId="201" fontId="247" fillId="2" borderId="32" xfId="19" applyNumberFormat="1" applyFont="1" applyFill="1" applyBorder="1" applyAlignment="1" applyProtection="1">
      <alignment horizontal="right" vertical="center"/>
      <protection locked="0" hidden="1"/>
    </xf>
    <xf numFmtId="199" fontId="247" fillId="0" borderId="74" xfId="19" applyNumberFormat="1" applyFont="1" applyBorder="1" applyAlignment="1">
      <alignment horizontal="center" vertical="center"/>
    </xf>
    <xf numFmtId="0" fontId="247" fillId="0" borderId="74" xfId="19" applyFont="1" applyBorder="1" applyAlignment="1">
      <alignment horizontal="center" vertical="center"/>
    </xf>
    <xf numFmtId="203" fontId="247" fillId="0" borderId="161" xfId="19" applyNumberFormat="1" applyFont="1" applyBorder="1" applyAlignment="1">
      <alignment horizontal="center" vertical="center" shrinkToFit="1"/>
    </xf>
    <xf numFmtId="203" fontId="247" fillId="0" borderId="162" xfId="19" applyNumberFormat="1" applyFont="1" applyBorder="1" applyAlignment="1">
      <alignment horizontal="center" vertical="center" shrinkToFit="1"/>
    </xf>
    <xf numFmtId="203" fontId="247" fillId="0" borderId="163" xfId="19" applyNumberFormat="1" applyFont="1" applyBorder="1" applyAlignment="1">
      <alignment horizontal="center" vertical="center" shrinkToFit="1"/>
    </xf>
    <xf numFmtId="0" fontId="247" fillId="0" borderId="71" xfId="19" applyFont="1" applyFill="1" applyBorder="1" applyAlignment="1" applyProtection="1">
      <alignment horizontal="center" vertical="center"/>
      <protection locked="0" hidden="1"/>
    </xf>
    <xf numFmtId="199" fontId="144" fillId="0" borderId="71" xfId="19" applyNumberFormat="1" applyFont="1" applyFill="1" applyBorder="1" applyAlignment="1" applyProtection="1">
      <alignment horizontal="center" vertical="center" wrapText="1"/>
      <protection locked="0" hidden="1"/>
    </xf>
    <xf numFmtId="0" fontId="229" fillId="0" borderId="17" xfId="19" applyFont="1" applyFill="1" applyBorder="1" applyAlignment="1" applyProtection="1">
      <alignment horizontal="center" vertical="center"/>
      <protection locked="0" hidden="1"/>
    </xf>
    <xf numFmtId="0" fontId="229" fillId="0" borderId="19" xfId="19" applyFont="1" applyFill="1" applyBorder="1" applyAlignment="1" applyProtection="1">
      <alignment horizontal="center" vertical="center"/>
      <protection locked="0" hidden="1"/>
    </xf>
    <xf numFmtId="0" fontId="229" fillId="0" borderId="20" xfId="19" applyFont="1" applyFill="1" applyBorder="1" applyAlignment="1" applyProtection="1">
      <alignment horizontal="center" vertical="center"/>
      <protection locked="0" hidden="1"/>
    </xf>
    <xf numFmtId="177" fontId="291" fillId="0" borderId="176" xfId="19" applyNumberFormat="1" applyFont="1" applyFill="1" applyBorder="1" applyAlignment="1" applyProtection="1">
      <alignment horizontal="center" vertical="center" wrapText="1"/>
      <protection locked="0" hidden="1"/>
    </xf>
    <xf numFmtId="177" fontId="291" fillId="0" borderId="182" xfId="19" applyNumberFormat="1" applyFont="1" applyFill="1" applyBorder="1" applyAlignment="1" applyProtection="1">
      <alignment horizontal="center" vertical="center" wrapText="1"/>
      <protection locked="0" hidden="1"/>
    </xf>
    <xf numFmtId="177" fontId="291" fillId="0" borderId="176" xfId="19" applyNumberFormat="1" applyFont="1" applyFill="1" applyBorder="1" applyAlignment="1" applyProtection="1">
      <alignment horizontal="center" vertical="center"/>
      <protection locked="0" hidden="1"/>
    </xf>
    <xf numFmtId="177" fontId="291" fillId="0" borderId="182" xfId="19" applyNumberFormat="1" applyFont="1" applyFill="1" applyBorder="1" applyAlignment="1" applyProtection="1">
      <alignment horizontal="center" vertical="center"/>
      <protection locked="0" hidden="1"/>
    </xf>
    <xf numFmtId="0" fontId="221" fillId="0" borderId="2" xfId="19" applyFont="1" applyFill="1" applyBorder="1" applyAlignment="1" applyProtection="1">
      <alignment horizontal="center" vertical="center" shrinkToFit="1"/>
      <protection locked="0" hidden="1"/>
    </xf>
    <xf numFmtId="200" fontId="127" fillId="0" borderId="2" xfId="19" applyNumberFormat="1" applyFont="1" applyFill="1" applyBorder="1" applyAlignment="1" applyProtection="1">
      <alignment horizontal="center" vertical="center" wrapText="1"/>
      <protection locked="0" hidden="1"/>
    </xf>
    <xf numFmtId="199" fontId="144" fillId="2" borderId="2" xfId="19" applyNumberFormat="1" applyFont="1" applyFill="1" applyBorder="1" applyAlignment="1" applyProtection="1">
      <alignment horizontal="center" vertical="center"/>
      <protection locked="0" hidden="1"/>
    </xf>
    <xf numFmtId="0" fontId="247" fillId="2" borderId="71" xfId="19" applyFont="1" applyFill="1" applyBorder="1" applyAlignment="1" applyProtection="1">
      <alignment horizontal="center" vertical="center"/>
      <protection locked="0" hidden="1"/>
    </xf>
    <xf numFmtId="199" fontId="247" fillId="2" borderId="71" xfId="19" applyNumberFormat="1" applyFont="1" applyFill="1" applyBorder="1" applyAlignment="1" applyProtection="1">
      <alignment horizontal="center" vertical="center"/>
      <protection locked="0" hidden="1"/>
    </xf>
    <xf numFmtId="199" fontId="221" fillId="0" borderId="21" xfId="19" applyNumberFormat="1" applyFont="1" applyBorder="1" applyAlignment="1">
      <alignment horizontal="center" vertical="center"/>
    </xf>
    <xf numFmtId="0" fontId="221" fillId="0" borderId="21" xfId="19" applyNumberFormat="1" applyFont="1" applyBorder="1" applyAlignment="1">
      <alignment horizontal="center" vertical="center"/>
    </xf>
    <xf numFmtId="203" fontId="221" fillId="0" borderId="21" xfId="19" applyNumberFormat="1" applyFont="1" applyBorder="1" applyAlignment="1">
      <alignment horizontal="center" vertical="center"/>
    </xf>
    <xf numFmtId="0" fontId="280" fillId="37" borderId="0" xfId="19" applyFont="1" applyFill="1" applyAlignment="1">
      <alignment horizontal="center" vertical="center"/>
    </xf>
    <xf numFmtId="49" fontId="291" fillId="0" borderId="176" xfId="19" applyNumberFormat="1" applyFont="1" applyFill="1" applyBorder="1" applyAlignment="1" applyProtection="1">
      <alignment horizontal="center" vertical="center"/>
      <protection locked="0" hidden="1"/>
    </xf>
    <xf numFmtId="49" fontId="291" fillId="0" borderId="182" xfId="19" applyNumberFormat="1" applyFont="1" applyFill="1" applyBorder="1" applyAlignment="1" applyProtection="1">
      <alignment horizontal="center" vertical="center"/>
      <protection locked="0" hidden="1"/>
    </xf>
    <xf numFmtId="49" fontId="291" fillId="0" borderId="176" xfId="19" applyNumberFormat="1" applyFont="1" applyFill="1" applyBorder="1" applyAlignment="1" applyProtection="1">
      <alignment horizontal="center" vertical="center" wrapText="1"/>
      <protection locked="0" hidden="1"/>
    </xf>
    <xf numFmtId="49" fontId="291" fillId="0" borderId="182" xfId="19" applyNumberFormat="1" applyFont="1" applyFill="1" applyBorder="1" applyAlignment="1" applyProtection="1">
      <alignment horizontal="center" vertical="center" wrapText="1"/>
      <protection locked="0" hidden="1"/>
    </xf>
    <xf numFmtId="0" fontId="144" fillId="0" borderId="196" xfId="19" applyFont="1" applyFill="1" applyBorder="1" applyAlignment="1" applyProtection="1">
      <alignment horizontal="center" vertical="center"/>
      <protection locked="0" hidden="1"/>
    </xf>
    <xf numFmtId="0" fontId="144" fillId="0" borderId="197" xfId="19" applyFont="1" applyFill="1" applyBorder="1" applyAlignment="1" applyProtection="1">
      <alignment horizontal="center" vertical="center"/>
      <protection locked="0" hidden="1"/>
    </xf>
    <xf numFmtId="201" fontId="144" fillId="0" borderId="2" xfId="19" applyNumberFormat="1" applyFont="1" applyFill="1" applyBorder="1" applyAlignment="1" applyProtection="1">
      <alignment horizontal="right" vertical="center"/>
      <protection locked="0" hidden="1"/>
    </xf>
    <xf numFmtId="0" fontId="291" fillId="0" borderId="14" xfId="19" applyFont="1" applyBorder="1" applyAlignment="1">
      <alignment horizontal="left" vertical="center"/>
    </xf>
    <xf numFmtId="0" fontId="229" fillId="0" borderId="26" xfId="19" applyFont="1" applyFill="1" applyBorder="1" applyAlignment="1" applyProtection="1">
      <alignment horizontal="center"/>
      <protection locked="0"/>
    </xf>
    <xf numFmtId="0" fontId="229" fillId="0" borderId="28" xfId="19" applyFont="1" applyFill="1" applyBorder="1" applyAlignment="1" applyProtection="1">
      <alignment horizontal="center"/>
      <protection locked="0"/>
    </xf>
    <xf numFmtId="0" fontId="229" fillId="0" borderId="39" xfId="19" applyFont="1" applyFill="1" applyBorder="1" applyAlignment="1" applyProtection="1">
      <alignment horizontal="center"/>
      <protection locked="0"/>
    </xf>
    <xf numFmtId="0" fontId="311" fillId="0" borderId="36" xfId="19" quotePrefix="1" applyFont="1" applyFill="1" applyBorder="1" applyAlignment="1">
      <alignment horizontal="center" vertical="center"/>
    </xf>
    <xf numFmtId="0" fontId="311" fillId="0" borderId="37" xfId="19" applyFont="1" applyFill="1" applyBorder="1" applyAlignment="1">
      <alignment horizontal="center" vertical="center"/>
    </xf>
    <xf numFmtId="0" fontId="311" fillId="0" borderId="38" xfId="19" applyFont="1" applyFill="1" applyBorder="1" applyAlignment="1">
      <alignment horizontal="center" vertical="center"/>
    </xf>
    <xf numFmtId="0" fontId="302" fillId="0" borderId="33" xfId="19" applyFont="1" applyFill="1" applyBorder="1" applyAlignment="1" applyProtection="1">
      <alignment horizontal="center"/>
    </xf>
    <xf numFmtId="0" fontId="302" fillId="0" borderId="34" xfId="19" applyFont="1" applyFill="1" applyBorder="1" applyAlignment="1" applyProtection="1">
      <alignment horizontal="center"/>
    </xf>
    <xf numFmtId="0" fontId="302" fillId="0" borderId="26" xfId="19" applyFont="1" applyFill="1" applyBorder="1" applyAlignment="1" applyProtection="1">
      <alignment horizontal="center"/>
    </xf>
    <xf numFmtId="0" fontId="302" fillId="0" borderId="28" xfId="19" applyFont="1" applyFill="1" applyBorder="1" applyAlignment="1" applyProtection="1">
      <alignment horizontal="center"/>
    </xf>
    <xf numFmtId="0" fontId="302" fillId="0" borderId="39" xfId="19" applyFont="1" applyFill="1" applyBorder="1" applyAlignment="1" applyProtection="1">
      <alignment horizontal="center"/>
    </xf>
    <xf numFmtId="0" fontId="311" fillId="0" borderId="26" xfId="19" applyFont="1" applyFill="1" applyBorder="1" applyAlignment="1" applyProtection="1">
      <alignment horizontal="center" vertical="center"/>
      <protection locked="0"/>
    </xf>
    <xf numFmtId="0" fontId="311" fillId="0" borderId="39" xfId="19" applyFont="1" applyFill="1" applyBorder="1" applyAlignment="1" applyProtection="1">
      <alignment horizontal="center" vertical="center"/>
      <protection locked="0"/>
    </xf>
    <xf numFmtId="0" fontId="311" fillId="0" borderId="26" xfId="19" applyFont="1" applyFill="1" applyBorder="1" applyAlignment="1">
      <alignment horizontal="center" vertical="center"/>
    </xf>
    <xf numFmtId="0" fontId="311" fillId="0" borderId="39" xfId="19" applyFont="1" applyFill="1" applyBorder="1" applyAlignment="1">
      <alignment horizontal="center" vertical="center"/>
    </xf>
    <xf numFmtId="0" fontId="209" fillId="0" borderId="35" xfId="19" applyFont="1" applyFill="1" applyBorder="1" applyAlignment="1" applyProtection="1">
      <alignment horizontal="center" vertical="center"/>
      <protection locked="0"/>
    </xf>
    <xf numFmtId="0" fontId="209" fillId="0" borderId="79" xfId="19" applyFont="1" applyFill="1" applyBorder="1" applyAlignment="1" applyProtection="1">
      <alignment horizontal="center" vertical="center"/>
      <protection locked="0"/>
    </xf>
    <xf numFmtId="0" fontId="209" fillId="0" borderId="80" xfId="19" applyFont="1" applyFill="1" applyBorder="1" applyAlignment="1" applyProtection="1">
      <alignment horizontal="center" vertical="center"/>
      <protection locked="0"/>
    </xf>
    <xf numFmtId="0" fontId="209" fillId="0" borderId="76" xfId="19" applyFont="1" applyFill="1" applyBorder="1" applyAlignment="1">
      <alignment horizontal="center" vertical="center" wrapText="1"/>
    </xf>
    <xf numFmtId="0" fontId="209" fillId="0" borderId="77" xfId="19" applyFont="1" applyFill="1" applyBorder="1" applyAlignment="1">
      <alignment horizontal="center" vertical="center" wrapText="1"/>
    </xf>
    <xf numFmtId="0" fontId="209" fillId="0" borderId="79" xfId="19" applyFont="1" applyFill="1" applyBorder="1" applyAlignment="1">
      <alignment horizontal="center" vertical="center" wrapText="1"/>
    </xf>
    <xf numFmtId="0" fontId="302" fillId="0" borderId="26" xfId="19" quotePrefix="1" applyFont="1" applyFill="1" applyBorder="1" applyAlignment="1" applyProtection="1">
      <alignment horizontal="center" vertical="center"/>
      <protection locked="0"/>
    </xf>
    <xf numFmtId="0" fontId="302" fillId="0" borderId="28" xfId="19" applyFont="1" applyFill="1" applyBorder="1" applyAlignment="1" applyProtection="1">
      <alignment horizontal="center" vertical="center"/>
      <protection locked="0"/>
    </xf>
    <xf numFmtId="0" fontId="302" fillId="0" borderId="39" xfId="19" applyFont="1" applyFill="1" applyBorder="1" applyAlignment="1" applyProtection="1">
      <alignment horizontal="center" vertical="center"/>
      <protection locked="0"/>
    </xf>
    <xf numFmtId="0" fontId="303" fillId="0" borderId="26" xfId="19" quotePrefix="1" applyFont="1" applyFill="1" applyBorder="1" applyAlignment="1">
      <alignment horizontal="center" vertical="center"/>
    </xf>
    <xf numFmtId="0" fontId="303" fillId="0" borderId="28" xfId="19" applyFont="1" applyFill="1" applyBorder="1" applyAlignment="1">
      <alignment horizontal="center" vertical="center"/>
    </xf>
    <xf numFmtId="0" fontId="303" fillId="0" borderId="39" xfId="19" applyFont="1" applyFill="1" applyBorder="1" applyAlignment="1">
      <alignment horizontal="center" vertical="center"/>
    </xf>
    <xf numFmtId="0" fontId="302" fillId="0" borderId="37" xfId="19" quotePrefix="1" applyFont="1" applyFill="1" applyBorder="1" applyAlignment="1">
      <alignment horizontal="center" vertical="center"/>
    </xf>
    <xf numFmtId="0" fontId="303" fillId="0" borderId="37" xfId="19" applyFont="1" applyFill="1" applyBorder="1" applyAlignment="1">
      <alignment horizontal="center" vertical="center"/>
    </xf>
    <xf numFmtId="0" fontId="303" fillId="0" borderId="38" xfId="19" applyFont="1" applyFill="1" applyBorder="1" applyAlignment="1">
      <alignment horizontal="center" vertical="center"/>
    </xf>
    <xf numFmtId="0" fontId="306" fillId="0" borderId="36" xfId="19" quotePrefix="1" applyFont="1" applyFill="1" applyBorder="1" applyAlignment="1">
      <alignment horizontal="center" vertical="center" wrapText="1"/>
    </xf>
    <xf numFmtId="0" fontId="306" fillId="0" borderId="37" xfId="19" applyFont="1" applyFill="1" applyBorder="1" applyAlignment="1">
      <alignment horizontal="center" vertical="center" wrapText="1"/>
    </xf>
    <xf numFmtId="0" fontId="306" fillId="0" borderId="38" xfId="19" applyFont="1" applyFill="1" applyBorder="1" applyAlignment="1">
      <alignment horizontal="center" vertical="center" wrapText="1"/>
    </xf>
    <xf numFmtId="0" fontId="306" fillId="0" borderId="36" xfId="19" quotePrefix="1" applyFont="1" applyFill="1" applyBorder="1" applyAlignment="1">
      <alignment horizontal="center" vertical="center"/>
    </xf>
    <xf numFmtId="0" fontId="306" fillId="0" borderId="37" xfId="19" applyFont="1" applyFill="1" applyBorder="1" applyAlignment="1">
      <alignment horizontal="center" vertical="center"/>
    </xf>
    <xf numFmtId="0" fontId="306" fillId="0" borderId="38" xfId="19" applyFont="1" applyFill="1" applyBorder="1" applyAlignment="1">
      <alignment horizontal="center" vertical="center"/>
    </xf>
    <xf numFmtId="0" fontId="209" fillId="0" borderId="35" xfId="19" applyFont="1" applyFill="1" applyBorder="1" applyAlignment="1" applyProtection="1">
      <alignment horizontal="center" vertical="center" wrapText="1"/>
      <protection locked="0"/>
    </xf>
    <xf numFmtId="0" fontId="209" fillId="0" borderId="80" xfId="19" applyFont="1" applyFill="1" applyBorder="1" applyAlignment="1" applyProtection="1">
      <alignment horizontal="center" vertical="center" wrapText="1"/>
      <protection locked="0"/>
    </xf>
    <xf numFmtId="0" fontId="302" fillId="0" borderId="5" xfId="19" applyFont="1" applyFill="1" applyBorder="1" applyAlignment="1" applyProtection="1">
      <alignment horizontal="center"/>
    </xf>
    <xf numFmtId="0" fontId="302" fillId="0" borderId="8" xfId="19" applyFont="1" applyFill="1" applyBorder="1" applyAlignment="1" applyProtection="1">
      <alignment horizontal="center"/>
    </xf>
    <xf numFmtId="0" fontId="302" fillId="0" borderId="16" xfId="19" applyFont="1" applyFill="1" applyBorder="1" applyAlignment="1" applyProtection="1">
      <alignment horizontal="center"/>
    </xf>
    <xf numFmtId="0" fontId="209" fillId="0" borderId="76" xfId="19" applyFont="1" applyFill="1" applyBorder="1" applyAlignment="1" applyProtection="1">
      <alignment horizontal="center" vertical="center" wrapText="1"/>
      <protection locked="0"/>
    </xf>
    <xf numFmtId="0" fontId="209" fillId="0" borderId="76" xfId="19" applyFont="1" applyFill="1" applyBorder="1" applyAlignment="1" applyProtection="1">
      <alignment horizontal="center" vertical="center"/>
      <protection locked="0"/>
    </xf>
    <xf numFmtId="0" fontId="297" fillId="0" borderId="0" xfId="19" applyFont="1" applyFill="1" applyBorder="1" applyAlignment="1">
      <alignment horizontal="center" vertical="center" wrapText="1"/>
    </xf>
    <xf numFmtId="0" fontId="302" fillId="0" borderId="33" xfId="19" applyFont="1" applyFill="1" applyBorder="1" applyAlignment="1" applyProtection="1">
      <alignment horizontal="center" wrapText="1"/>
    </xf>
    <xf numFmtId="0" fontId="302" fillId="0" borderId="34" xfId="19" applyFont="1" applyFill="1" applyBorder="1" applyAlignment="1" applyProtection="1">
      <alignment horizontal="center" wrapText="1"/>
    </xf>
    <xf numFmtId="0" fontId="302" fillId="0" borderId="53" xfId="19" applyFont="1" applyFill="1" applyBorder="1" applyAlignment="1" applyProtection="1">
      <alignment horizontal="center"/>
    </xf>
    <xf numFmtId="0" fontId="302" fillId="0" borderId="27" xfId="19" applyFont="1" applyFill="1" applyBorder="1" applyAlignment="1" applyProtection="1">
      <alignment horizontal="center"/>
    </xf>
    <xf numFmtId="0" fontId="302" fillId="0" borderId="41" xfId="19" applyFont="1" applyFill="1" applyBorder="1" applyAlignment="1" applyProtection="1">
      <alignment horizontal="center"/>
    </xf>
    <xf numFmtId="0" fontId="32" fillId="2" borderId="18" xfId="19" applyFill="1" applyBorder="1" applyAlignment="1">
      <alignment horizontal="center" vertical="center" wrapText="1"/>
    </xf>
    <xf numFmtId="0" fontId="127" fillId="28" borderId="18" xfId="19" applyFont="1" applyFill="1" applyBorder="1" applyAlignment="1">
      <alignment horizontal="center" vertical="center" wrapText="1"/>
    </xf>
    <xf numFmtId="0" fontId="127" fillId="0" borderId="2" xfId="19" applyFont="1" applyFill="1" applyBorder="1" applyAlignment="1">
      <alignment horizontal="center" vertical="center" wrapText="1"/>
    </xf>
    <xf numFmtId="0" fontId="127" fillId="0" borderId="2" xfId="19" applyFont="1" applyBorder="1" applyAlignment="1">
      <alignment horizontal="center" vertical="center" wrapText="1"/>
    </xf>
    <xf numFmtId="0" fontId="145" fillId="45" borderId="2" xfId="0" applyFont="1" applyFill="1" applyBorder="1" applyAlignment="1">
      <alignment horizontal="center" vertical="center" wrapText="1"/>
    </xf>
    <xf numFmtId="0" fontId="0" fillId="45" borderId="2" xfId="0" applyFill="1" applyBorder="1" applyAlignment="1">
      <alignment horizontal="center" vertical="center" wrapText="1"/>
    </xf>
    <xf numFmtId="0" fontId="145" fillId="46" borderId="2" xfId="0" applyFont="1" applyFill="1" applyBorder="1" applyAlignment="1">
      <alignment horizontal="center" vertical="center"/>
    </xf>
    <xf numFmtId="1" fontId="144" fillId="45" borderId="5" xfId="6" applyNumberFormat="1" applyFont="1" applyFill="1" applyBorder="1" applyAlignment="1">
      <alignment horizontal="center" vertical="center" wrapText="1"/>
    </xf>
    <xf numFmtId="1" fontId="144" fillId="45" borderId="8" xfId="6" applyNumberFormat="1" applyFont="1" applyFill="1" applyBorder="1" applyAlignment="1">
      <alignment horizontal="center" vertical="center" wrapText="1"/>
    </xf>
    <xf numFmtId="1" fontId="144" fillId="45" borderId="9" xfId="6" applyNumberFormat="1" applyFont="1" applyFill="1" applyBorder="1" applyAlignment="1">
      <alignment horizontal="center" vertical="center" wrapText="1"/>
    </xf>
    <xf numFmtId="0" fontId="144" fillId="45" borderId="5" xfId="6" applyFont="1" applyFill="1" applyBorder="1" applyAlignment="1">
      <alignment horizontal="center" vertical="center" wrapText="1"/>
    </xf>
    <xf numFmtId="0" fontId="144" fillId="45" borderId="8" xfId="6" applyFont="1" applyFill="1" applyBorder="1" applyAlignment="1">
      <alignment horizontal="center" vertical="center" wrapText="1"/>
    </xf>
    <xf numFmtId="0" fontId="144" fillId="45" borderId="9" xfId="6" applyFont="1" applyFill="1" applyBorder="1" applyAlignment="1">
      <alignment horizontal="center" vertical="center" wrapText="1"/>
    </xf>
    <xf numFmtId="0" fontId="176" fillId="8" borderId="2" xfId="15" applyFont="1" applyFill="1" applyBorder="1" applyAlignment="1">
      <alignment horizontal="center" vertical="center"/>
    </xf>
    <xf numFmtId="0" fontId="327" fillId="8" borderId="10" xfId="15" applyFont="1" applyFill="1" applyBorder="1" applyAlignment="1">
      <alignment horizontal="center" vertical="center"/>
    </xf>
    <xf numFmtId="0" fontId="327" fillId="8" borderId="21" xfId="15" applyFont="1" applyFill="1" applyBorder="1" applyAlignment="1">
      <alignment horizontal="center" vertical="center"/>
    </xf>
    <xf numFmtId="0" fontId="253" fillId="8" borderId="10" xfId="15" applyFont="1" applyFill="1" applyBorder="1" applyAlignment="1">
      <alignment horizontal="center" vertical="center"/>
    </xf>
    <xf numFmtId="0" fontId="253" fillId="8" borderId="21" xfId="15" applyFont="1" applyFill="1" applyBorder="1" applyAlignment="1">
      <alignment horizontal="center" vertical="center"/>
    </xf>
    <xf numFmtId="0" fontId="326" fillId="45" borderId="5" xfId="15" applyFont="1" applyFill="1" applyBorder="1" applyAlignment="1">
      <alignment horizontal="center" vertical="center"/>
    </xf>
    <xf numFmtId="0" fontId="176" fillId="45" borderId="8" xfId="15" applyFont="1" applyFill="1" applyBorder="1" applyAlignment="1">
      <alignment horizontal="center" vertical="center"/>
    </xf>
    <xf numFmtId="0" fontId="176" fillId="45" borderId="9" xfId="15" applyFont="1" applyFill="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43" borderId="2" xfId="0" applyFont="1" applyFill="1" applyBorder="1" applyAlignment="1">
      <alignment horizontal="center" vertical="center"/>
    </xf>
    <xf numFmtId="0" fontId="145" fillId="0" borderId="2" xfId="0" applyFont="1" applyFill="1" applyBorder="1" applyAlignment="1">
      <alignment horizontal="center" vertical="center"/>
    </xf>
    <xf numFmtId="2" fontId="0" fillId="0" borderId="2" xfId="0" applyNumberFormat="1" applyBorder="1" applyAlignment="1">
      <alignment horizontal="center" vertical="center"/>
    </xf>
    <xf numFmtId="2" fontId="0" fillId="8" borderId="2" xfId="0" applyNumberFormat="1" applyFill="1" applyBorder="1" applyAlignment="1">
      <alignment horizontal="center" vertical="center"/>
    </xf>
    <xf numFmtId="0" fontId="0" fillId="8" borderId="2" xfId="0" applyFill="1" applyBorder="1" applyAlignment="1">
      <alignment horizontal="center" vertical="center"/>
    </xf>
    <xf numFmtId="196" fontId="167" fillId="0" borderId="203" xfId="0" quotePrefix="1" applyNumberFormat="1" applyFont="1" applyBorder="1" applyAlignment="1">
      <alignment horizontal="left" vertical="center"/>
    </xf>
    <xf numFmtId="196" fontId="167" fillId="0" borderId="204" xfId="0" applyNumberFormat="1" applyFont="1" applyBorder="1" applyAlignment="1">
      <alignment horizontal="left" vertical="center"/>
    </xf>
    <xf numFmtId="0" fontId="32" fillId="0" borderId="2" xfId="6" applyFont="1" applyBorder="1" applyAlignment="1">
      <alignment horizontal="center" vertical="center" wrapText="1"/>
    </xf>
    <xf numFmtId="0" fontId="32" fillId="0" borderId="2" xfId="6" applyBorder="1" applyAlignment="1">
      <alignment horizontal="center" vertical="center" wrapText="1"/>
    </xf>
    <xf numFmtId="0" fontId="32" fillId="0" borderId="2" xfId="6" applyBorder="1" applyAlignment="1">
      <alignment horizontal="center" wrapText="1"/>
    </xf>
    <xf numFmtId="180" fontId="32" fillId="0" borderId="2" xfId="6" applyNumberFormat="1" applyBorder="1" applyAlignment="1">
      <alignment horizontal="center" vertical="center" wrapText="1"/>
    </xf>
    <xf numFmtId="0" fontId="32" fillId="6" borderId="2" xfId="6" applyFill="1" applyBorder="1" applyAlignment="1">
      <alignment horizontal="center" wrapText="1"/>
    </xf>
    <xf numFmtId="0" fontId="32" fillId="0" borderId="5" xfId="6" applyBorder="1" applyAlignment="1">
      <alignment horizontal="center" vertical="center" wrapText="1"/>
    </xf>
    <xf numFmtId="0" fontId="32" fillId="0" borderId="8" xfId="6" applyBorder="1" applyAlignment="1">
      <alignment horizontal="center" vertical="center" wrapText="1"/>
    </xf>
    <xf numFmtId="0" fontId="32" fillId="0" borderId="9" xfId="6" applyBorder="1" applyAlignment="1">
      <alignment horizontal="center" vertical="center" wrapText="1"/>
    </xf>
    <xf numFmtId="0" fontId="32" fillId="0" borderId="5" xfId="6" applyFont="1" applyBorder="1" applyAlignment="1">
      <alignment horizontal="center" vertical="center" wrapText="1"/>
    </xf>
    <xf numFmtId="0" fontId="32" fillId="0" borderId="8" xfId="6" applyFont="1" applyBorder="1" applyAlignment="1">
      <alignment horizontal="center" vertical="center" wrapText="1"/>
    </xf>
    <xf numFmtId="0" fontId="32" fillId="0" borderId="9" xfId="6" applyFont="1" applyBorder="1" applyAlignment="1">
      <alignment horizontal="center" vertical="center" wrapText="1"/>
    </xf>
    <xf numFmtId="0" fontId="340" fillId="7" borderId="23" xfId="0" applyFont="1" applyFill="1" applyBorder="1" applyAlignment="1">
      <alignment horizontal="center" vertical="center"/>
    </xf>
    <xf numFmtId="0" fontId="340" fillId="7" borderId="55" xfId="0" applyFont="1" applyFill="1" applyBorder="1" applyAlignment="1">
      <alignment horizontal="center" vertical="center" wrapText="1"/>
    </xf>
    <xf numFmtId="49" fontId="257" fillId="0" borderId="10" xfId="14" applyNumberFormat="1" applyFont="1" applyFill="1" applyBorder="1" applyAlignment="1" applyProtection="1">
      <alignment horizontal="left" vertical="center" wrapText="1"/>
      <protection locked="0"/>
    </xf>
  </cellXfs>
  <cellStyles count="31">
    <cellStyle name="ColLevel_1" xfId="20" xr:uid="{00000000-0005-0000-0000-000000000000}"/>
    <cellStyle name="RowLevel_1" xfId="21" xr:uid="{00000000-0005-0000-0000-000001000000}"/>
    <cellStyle name="百分比 2" xfId="11" xr:uid="{00000000-0005-0000-0000-000002000000}"/>
    <cellStyle name="差_复件 康正输机模板" xfId="22" xr:uid="{00000000-0005-0000-0000-000003000000}"/>
    <cellStyle name="差_康正输机模板" xfId="23" xr:uid="{00000000-0005-0000-0000-000004000000}"/>
    <cellStyle name="差_栗元庄输机表-11.20" xfId="24" xr:uid="{00000000-0005-0000-0000-000005000000}"/>
    <cellStyle name="差_王晓东修改后模板" xfId="25" xr:uid="{00000000-0005-0000-0000-000006000000}"/>
    <cellStyle name="常规" xfId="0" builtinId="0"/>
    <cellStyle name="常规 10" xfId="18" xr:uid="{00000000-0005-0000-0000-000008000000}"/>
    <cellStyle name="常规 11" xfId="19" xr:uid="{00000000-0005-0000-0000-000009000000}"/>
    <cellStyle name="常规 16" xfId="1" xr:uid="{00000000-0005-0000-0000-00000A000000}"/>
    <cellStyle name="常规 2" xfId="2" xr:uid="{00000000-0005-0000-0000-00000B000000}"/>
    <cellStyle name="常规 2 2" xfId="3" xr:uid="{00000000-0005-0000-0000-00000C000000}"/>
    <cellStyle name="常规 2 2 2" xfId="17" xr:uid="{00000000-0005-0000-0000-00000D000000}"/>
    <cellStyle name="常规 2 2 2 2 3" xfId="12" xr:uid="{00000000-0005-0000-0000-00000E000000}"/>
    <cellStyle name="常规 2 3" xfId="16" xr:uid="{00000000-0005-0000-0000-00000F000000}"/>
    <cellStyle name="常规 3" xfId="4" xr:uid="{00000000-0005-0000-0000-000010000000}"/>
    <cellStyle name="常规 3 2" xfId="5" xr:uid="{00000000-0005-0000-0000-000011000000}"/>
    <cellStyle name="常规 4" xfId="6" xr:uid="{00000000-0005-0000-0000-000012000000}"/>
    <cellStyle name="常规 5" xfId="7" xr:uid="{00000000-0005-0000-0000-000013000000}"/>
    <cellStyle name="常规 6" xfId="8" xr:uid="{00000000-0005-0000-0000-000014000000}"/>
    <cellStyle name="常规 6 2" xfId="10" xr:uid="{00000000-0005-0000-0000-000015000000}"/>
    <cellStyle name="常规 6 2 2" xfId="13" xr:uid="{00000000-0005-0000-0000-000016000000}"/>
    <cellStyle name="常规 7" xfId="9" xr:uid="{00000000-0005-0000-0000-000017000000}"/>
    <cellStyle name="常规 8" xfId="15" xr:uid="{00000000-0005-0000-0000-000018000000}"/>
    <cellStyle name="常规 9" xfId="14" xr:uid="{00000000-0005-0000-0000-000019000000}"/>
    <cellStyle name="超链接" xfId="30" builtinId="8"/>
    <cellStyle name="好_复件 康正输机模板" xfId="26" xr:uid="{00000000-0005-0000-0000-00001B000000}"/>
    <cellStyle name="好_康正输机模板" xfId="27" xr:uid="{00000000-0005-0000-0000-00001C000000}"/>
    <cellStyle name="好_栗元庄输机表-11.20" xfId="28" xr:uid="{00000000-0005-0000-0000-00001D000000}"/>
    <cellStyle name="好_王晓东修改后模板" xfId="29" xr:uid="{00000000-0005-0000-0000-00001E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66675</xdr:colOff>
      <xdr:row>8</xdr:row>
      <xdr:rowOff>152400</xdr:rowOff>
    </xdr:to>
    <xdr:pic>
      <xdr:nvPicPr>
        <xdr:cNvPr id="2" name="图片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536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0</xdr:rowOff>
    </xdr:from>
    <xdr:to>
      <xdr:col>14</xdr:col>
      <xdr:colOff>647700</xdr:colOff>
      <xdr:row>18</xdr:row>
      <xdr:rowOff>57150</xdr:rowOff>
    </xdr:to>
    <xdr:pic>
      <xdr:nvPicPr>
        <xdr:cNvPr id="3" name="图片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1543050"/>
          <a:ext cx="10239375"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17</xdr:row>
      <xdr:rowOff>152400</xdr:rowOff>
    </xdr:from>
    <xdr:to>
      <xdr:col>14</xdr:col>
      <xdr:colOff>628650</xdr:colOff>
      <xdr:row>27</xdr:row>
      <xdr:rowOff>76200</xdr:rowOff>
    </xdr:to>
    <xdr:pic>
      <xdr:nvPicPr>
        <xdr:cNvPr id="4" name="图片 3">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3067050"/>
          <a:ext cx="10220325"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27</xdr:row>
      <xdr:rowOff>0</xdr:rowOff>
    </xdr:from>
    <xdr:to>
      <xdr:col>14</xdr:col>
      <xdr:colOff>561975</xdr:colOff>
      <xdr:row>35</xdr:row>
      <xdr:rowOff>0</xdr:rowOff>
    </xdr:to>
    <xdr:pic>
      <xdr:nvPicPr>
        <xdr:cNvPr id="5" name="图片 4">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4629150"/>
          <a:ext cx="101536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14</xdr:col>
      <xdr:colOff>198801</xdr:colOff>
      <xdr:row>44</xdr:row>
      <xdr:rowOff>9331</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stretch>
          <a:fillRect/>
        </a:stretch>
      </xdr:blipFill>
      <xdr:spPr>
        <a:xfrm>
          <a:off x="0" y="6000750"/>
          <a:ext cx="9800001" cy="1552381"/>
        </a:xfrm>
        <a:prstGeom prst="rect">
          <a:avLst/>
        </a:prstGeom>
      </xdr:spPr>
    </xdr:pic>
    <xdr:clientData/>
  </xdr:twoCellAnchor>
  <xdr:twoCellAnchor editAs="oneCell">
    <xdr:from>
      <xdr:col>0</xdr:col>
      <xdr:colOff>0</xdr:colOff>
      <xdr:row>45</xdr:row>
      <xdr:rowOff>47625</xdr:rowOff>
    </xdr:from>
    <xdr:to>
      <xdr:col>13</xdr:col>
      <xdr:colOff>475077</xdr:colOff>
      <xdr:row>54</xdr:row>
      <xdr:rowOff>18861</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stretch>
          <a:fillRect/>
        </a:stretch>
      </xdr:blipFill>
      <xdr:spPr>
        <a:xfrm>
          <a:off x="0" y="7762875"/>
          <a:ext cx="9390477" cy="1514286"/>
        </a:xfrm>
        <a:prstGeom prst="rect">
          <a:avLst/>
        </a:prstGeom>
      </xdr:spPr>
    </xdr:pic>
    <xdr:clientData/>
  </xdr:twoCellAnchor>
  <xdr:twoCellAnchor editAs="oneCell">
    <xdr:from>
      <xdr:col>0</xdr:col>
      <xdr:colOff>0</xdr:colOff>
      <xdr:row>56</xdr:row>
      <xdr:rowOff>0</xdr:rowOff>
    </xdr:from>
    <xdr:to>
      <xdr:col>13</xdr:col>
      <xdr:colOff>475077</xdr:colOff>
      <xdr:row>84</xdr:row>
      <xdr:rowOff>27972</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stretch>
          <a:fillRect/>
        </a:stretch>
      </xdr:blipFill>
      <xdr:spPr>
        <a:xfrm>
          <a:off x="0" y="9601200"/>
          <a:ext cx="9390477" cy="4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28</xdr:row>
      <xdr:rowOff>133350</xdr:rowOff>
    </xdr:from>
    <xdr:to>
      <xdr:col>7</xdr:col>
      <xdr:colOff>495300</xdr:colOff>
      <xdr:row>57</xdr:row>
      <xdr:rowOff>57150</xdr:rowOff>
    </xdr:to>
    <xdr:pic>
      <xdr:nvPicPr>
        <xdr:cNvPr id="2" name="图片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4895850"/>
          <a:ext cx="7029450" cy="489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34</xdr:row>
      <xdr:rowOff>0</xdr:rowOff>
    </xdr:from>
    <xdr:to>
      <xdr:col>17</xdr:col>
      <xdr:colOff>246884</xdr:colOff>
      <xdr:row>59</xdr:row>
      <xdr:rowOff>94703</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7191375" y="6048375"/>
          <a:ext cx="6133334" cy="4380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314325</xdr:colOff>
      <xdr:row>19</xdr:row>
      <xdr:rowOff>152400</xdr:rowOff>
    </xdr:from>
    <xdr:to>
      <xdr:col>18</xdr:col>
      <xdr:colOff>2475674</xdr:colOff>
      <xdr:row>25</xdr:row>
      <xdr:rowOff>114176</xdr:rowOff>
    </xdr:to>
    <xdr:pic>
      <xdr:nvPicPr>
        <xdr:cNvPr id="2" name="图片 1">
          <a:extLst>
            <a:ext uri="{FF2B5EF4-FFF2-40B4-BE49-F238E27FC236}">
              <a16:creationId xmlns:a16="http://schemas.microsoft.com/office/drawing/2014/main" id="{5DF9C28A-7F43-40AA-9193-6E19385660B6}"/>
            </a:ext>
          </a:extLst>
        </xdr:cNvPr>
        <xdr:cNvPicPr>
          <a:picLocks noChangeAspect="1"/>
        </xdr:cNvPicPr>
      </xdr:nvPicPr>
      <xdr:blipFill>
        <a:blip xmlns:r="http://schemas.openxmlformats.org/officeDocument/2006/relationships" r:embed="rId1"/>
        <a:stretch>
          <a:fillRect/>
        </a:stretch>
      </xdr:blipFill>
      <xdr:spPr>
        <a:xfrm>
          <a:off x="6524625" y="5095875"/>
          <a:ext cx="6609524" cy="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50</xdr:row>
      <xdr:rowOff>276226</xdr:rowOff>
    </xdr:from>
    <xdr:to>
      <xdr:col>6</xdr:col>
      <xdr:colOff>304800</xdr:colOff>
      <xdr:row>55</xdr:row>
      <xdr:rowOff>243119</xdr:rowOff>
    </xdr:to>
    <xdr:pic>
      <xdr:nvPicPr>
        <xdr:cNvPr id="2" name="Picture 1">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276601"/>
          <a:ext cx="5819775" cy="1538518"/>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303;&#20648;/2021-1-0132%20&#36712;&#26517;&#21378;/2021&#36712;&#26517;&#21378;/&#32456;&#29256;/&#35843;&#39640;&#24314;&#31569;&#29289;/&#36755;&#26426;&#34920;-&#36712;&#26517;&#2137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1&#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wxid_htph6lp1c5gt21/FileStorage/File/2020-09/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KG\Downloads\&#27979;&#31639;&#8212;&#8212;&#27719;&#24635;-&#26472;11-&#26472;&#32418;&#33521;20190709-1419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6446;&#35799;&#38678;/&#35799;&#38678;wuli&#25253;&#21578;&#20204;/2021&#24180;/&#22303;&#20648;/2021-1-0132%20&#36712;&#26517;&#21378;/2021&#36712;&#26517;&#21378;/&#32456;&#29256;/&#35843;&#39640;&#24314;&#31569;&#29289;/&#36164;&#26009;&#28165;&#21333;&#21450;&#26679;&#34920;/&#27979;&#31639;&#65288;8-2&#65289;-&#20116;&#26143;&#21860;&#37202;&#213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轨枕厂"/>
      <sheetName val="系统读取表"/>
      <sheetName val="分值"/>
      <sheetName val="附属物"/>
      <sheetName val="无证房屋汇总表"/>
      <sheetName val="Sheet1"/>
    </sheetNames>
    <sheetDataSet>
      <sheetData sheetId="0"/>
      <sheetData sheetId="1"/>
      <sheetData sheetId="2"/>
      <sheetData sheetId="3">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P7">
            <v>40.1</v>
          </cell>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V11">
            <v>6.13</v>
          </cell>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P13">
            <v>22.02</v>
          </cell>
          <cell r="AJ13">
            <v>3</v>
          </cell>
          <cell r="AK13">
            <v>1</v>
          </cell>
          <cell r="AM13">
            <v>1.9</v>
          </cell>
          <cell r="AN13">
            <v>0.23860000000000001</v>
          </cell>
          <cell r="AO13">
            <v>0.22240000000000001</v>
          </cell>
          <cell r="AP13">
            <v>0.21440000000000001</v>
          </cell>
        </row>
        <row r="14">
          <cell r="J14">
            <v>6.29</v>
          </cell>
          <cell r="P14">
            <v>13.76</v>
          </cell>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D16">
            <v>28.83</v>
          </cell>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L18" t="str">
            <v>台基高度</v>
          </cell>
          <cell r="M18" t="str">
            <v>系数%</v>
          </cell>
          <cell r="AJ18">
            <v>3.5</v>
          </cell>
          <cell r="AK18">
            <v>1.26</v>
          </cell>
          <cell r="AM18">
            <v>2.4</v>
          </cell>
          <cell r="AN18">
            <v>0.28559999999999997</v>
          </cell>
          <cell r="AO18">
            <v>0.27040000000000003</v>
          </cell>
          <cell r="AP18">
            <v>0.26319999999999999</v>
          </cell>
        </row>
        <row r="19">
          <cell r="L19">
            <v>0.2</v>
          </cell>
          <cell r="M19">
            <v>1</v>
          </cell>
          <cell r="AJ19">
            <v>3.6</v>
          </cell>
          <cell r="AK19">
            <v>1.32</v>
          </cell>
          <cell r="AM19">
            <v>2.5</v>
          </cell>
          <cell r="AN19">
            <v>0.29499999999999998</v>
          </cell>
          <cell r="AO19">
            <v>0.28000000000000003</v>
          </cell>
          <cell r="AP19">
            <v>0.27300000000000002</v>
          </cell>
        </row>
        <row r="20">
          <cell r="L20">
            <v>0.3</v>
          </cell>
          <cell r="M20">
            <v>1.1000000000000001</v>
          </cell>
          <cell r="AJ20">
            <v>3.7</v>
          </cell>
          <cell r="AK20">
            <v>1.3819999999999999</v>
          </cell>
          <cell r="AM20">
            <v>2.6</v>
          </cell>
          <cell r="AN20">
            <v>0.3044</v>
          </cell>
          <cell r="AO20">
            <v>0.28960000000000002</v>
          </cell>
          <cell r="AP20">
            <v>0.28260000000000002</v>
          </cell>
        </row>
        <row r="21">
          <cell r="L21">
            <v>0.5</v>
          </cell>
          <cell r="M21">
            <v>1.2</v>
          </cell>
          <cell r="AJ21">
            <v>3.8</v>
          </cell>
          <cell r="AK21">
            <v>1.4470000000000001</v>
          </cell>
          <cell r="AM21">
            <v>2.7</v>
          </cell>
          <cell r="AN21">
            <v>0.31380000000000002</v>
          </cell>
          <cell r="AO21">
            <v>0.29920000000000002</v>
          </cell>
          <cell r="AP21">
            <v>0.29220000000000002</v>
          </cell>
        </row>
        <row r="22">
          <cell r="L22">
            <v>0.8</v>
          </cell>
          <cell r="M22">
            <v>1.3</v>
          </cell>
          <cell r="AJ22">
            <v>3.9</v>
          </cell>
          <cell r="AK22">
            <v>1.516</v>
          </cell>
          <cell r="AM22">
            <v>2.8</v>
          </cell>
          <cell r="AN22">
            <v>0.32319999999999999</v>
          </cell>
          <cell r="AO22">
            <v>0.30880000000000002</v>
          </cell>
          <cell r="AP22">
            <v>0.30180000000000001</v>
          </cell>
        </row>
        <row r="23">
          <cell r="L23">
            <v>1</v>
          </cell>
          <cell r="M23">
            <v>1.4</v>
          </cell>
          <cell r="V23">
            <v>5.98</v>
          </cell>
          <cell r="AJ23">
            <v>4</v>
          </cell>
          <cell r="AK23">
            <v>1.5880000000000001</v>
          </cell>
          <cell r="AM23">
            <v>2.9</v>
          </cell>
          <cell r="AN23">
            <v>0.33260000000000001</v>
          </cell>
          <cell r="AO23">
            <v>0.31840000000000002</v>
          </cell>
          <cell r="AP23">
            <v>0.31140000000000001</v>
          </cell>
        </row>
        <row r="24">
          <cell r="L24">
            <v>1.3</v>
          </cell>
          <cell r="M24">
            <v>1.5</v>
          </cell>
          <cell r="AJ24">
            <v>4.0999999999999996</v>
          </cell>
          <cell r="AK24">
            <v>1.663</v>
          </cell>
          <cell r="AM24">
            <v>3</v>
          </cell>
          <cell r="AN24">
            <v>0.34200000000000003</v>
          </cell>
          <cell r="AO24">
            <v>0.32800000000000001</v>
          </cell>
          <cell r="AP24">
            <v>0.32100000000000001</v>
          </cell>
        </row>
        <row r="25">
          <cell r="L25">
            <v>1.5</v>
          </cell>
          <cell r="M25">
            <v>1.6</v>
          </cell>
          <cell r="AJ25">
            <v>4.2</v>
          </cell>
          <cell r="AK25">
            <v>1.7410000000000001</v>
          </cell>
          <cell r="AM25">
            <v>3.1</v>
          </cell>
          <cell r="AN25">
            <v>0.35140000000000005</v>
          </cell>
          <cell r="AO25">
            <v>0.33760000000000001</v>
          </cell>
          <cell r="AP25">
            <v>0.33079999999999998</v>
          </cell>
        </row>
        <row r="26">
          <cell r="D26">
            <v>5.0199999999999996</v>
          </cell>
          <cell r="L26">
            <v>1.8</v>
          </cell>
          <cell r="M26">
            <v>1.7</v>
          </cell>
          <cell r="AJ26">
            <v>4.3</v>
          </cell>
          <cell r="AK26">
            <v>1.821</v>
          </cell>
          <cell r="AM26">
            <v>3.2</v>
          </cell>
          <cell r="AN26">
            <v>0.36080000000000001</v>
          </cell>
          <cell r="AO26">
            <v>0.34720000000000001</v>
          </cell>
          <cell r="AP26">
            <v>0.34060000000000001</v>
          </cell>
        </row>
        <row r="27">
          <cell r="L27">
            <v>2</v>
          </cell>
          <cell r="M27">
            <v>1.8</v>
          </cell>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0">
          <cell r="F10" t="str">
            <v>顺义区高丽营镇于庄土地一级开发项目03-21、03-31地块</v>
          </cell>
          <cell r="N10">
            <v>2307.3664295288172</v>
          </cell>
        </row>
        <row r="12">
          <cell r="F12" t="str">
            <v>怀柔区怀柔镇04街区HR00-0004-6001、6002、6003、6004地块F2用地及0050地块供燃气用地</v>
          </cell>
        </row>
        <row r="14">
          <cell r="F14" t="str">
            <v>顺义区国际鲜花港土地一级开发项目A-01地块</v>
          </cell>
        </row>
        <row r="19">
          <cell r="F19" t="str">
            <v>顺义卫星城牛栏山组团东南部土地一级开发项目SY00-0017-6001、1103、1202等地块</v>
          </cell>
        </row>
        <row r="28">
          <cell r="F28" t="str">
            <v>怀柔区雁栖镇陈各庄村土地一级开发项目</v>
          </cell>
        </row>
      </sheetData>
      <sheetData sheetId="4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refreshError="1"/>
      <sheetData sheetId="1" refreshError="1"/>
      <sheetData sheetId="2" refreshError="1"/>
      <sheetData sheetId="3" refreshError="1">
        <row r="7">
          <cell r="H7">
            <v>109.08</v>
          </cell>
        </row>
      </sheetData>
      <sheetData sheetId="4" refreshError="1">
        <row r="6">
          <cell r="H6">
            <v>101.33</v>
          </cell>
        </row>
      </sheetData>
      <sheetData sheetId="5" refreshError="1">
        <row r="6">
          <cell r="H6">
            <v>110.5</v>
          </cell>
        </row>
      </sheetData>
      <sheetData sheetId="6" refreshError="1">
        <row r="6">
          <cell r="H6">
            <v>102</v>
          </cell>
        </row>
      </sheetData>
      <sheetData sheetId="7" refreshError="1">
        <row r="6">
          <cell r="H6">
            <v>98.25</v>
          </cell>
        </row>
      </sheetData>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hyperlink" Target="mailto:G@G"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G@G"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t="str">
        <f>'预评函-封皮'!B40</f>
        <v>金隅</v>
      </c>
    </row>
    <row r="4" spans="1:55" s="2596" customFormat="1">
      <c r="A4" s="2594" t="s">
        <v>2643</v>
      </c>
      <c r="B4" s="2595" t="str">
        <f>'预评函-封皮'!B46</f>
        <v>叶凌、陈颖</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2021年3月13日（评估专业人员勘察现场之日）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根据《国有土地使用证》[]，估价对象（分摊）出让国有建设用地使用权面积为26088.75平方米。根据《建设工程规划许可证》[]、《出让合同》[]，估价对象规划建筑面积为26088.75平方米。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估价期日：2021年3月13日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26088.75</v>
      </c>
    </row>
    <row r="44" spans="1:2">
      <c r="A44" s="2594" t="s">
        <v>2721</v>
      </c>
      <c r="B44" s="2595" t="str">
        <f>'预评函-2'!O3</f>
        <v>规划建筑面积/㎡</v>
      </c>
    </row>
    <row r="45" spans="1:2">
      <c r="A45" s="2594" t="s">
        <v>2703</v>
      </c>
      <c r="B45" s="2595">
        <f>'预评函-2'!O5</f>
        <v>26088.75</v>
      </c>
    </row>
    <row r="46" spans="1:2">
      <c r="A46" s="2594" t="s">
        <v>2704</v>
      </c>
      <c r="B46" s="2595">
        <f ca="1">'预评函-2'!P5</f>
        <v>756</v>
      </c>
    </row>
    <row r="47" spans="1:2">
      <c r="A47" s="2594" t="s">
        <v>2705</v>
      </c>
      <c r="B47" s="2595">
        <f ca="1">'预评函-2'!Q5</f>
        <v>756</v>
      </c>
    </row>
    <row r="48" spans="1:2">
      <c r="A48" s="2594" t="s">
        <v>2706</v>
      </c>
      <c r="B48" s="2595">
        <f ca="1">'预评函-2'!R5</f>
        <v>1973</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叶凌</v>
      </c>
    </row>
    <row r="70" spans="1:2">
      <c r="A70" s="2594" t="s">
        <v>2671</v>
      </c>
      <c r="B70" s="2601">
        <f ca="1">'预评函-3'!B20</f>
        <v>94010078</v>
      </c>
    </row>
    <row r="71" spans="1:2">
      <c r="A71" s="2594" t="s">
        <v>2672</v>
      </c>
      <c r="B71" s="2595" t="str">
        <f>'预评函-3'!A21</f>
        <v>陈颖</v>
      </c>
    </row>
    <row r="72" spans="1:2" s="2609" customFormat="1" ht="15" thickBot="1">
      <c r="A72" s="2616" t="s">
        <v>2672</v>
      </c>
      <c r="B72" s="2622">
        <f ca="1">'预评函-3'!B21</f>
        <v>2004110096</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F30" sqref="F30"/>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968" t="str">
        <f>IF(B10="北京市","北京市",C10)&amp;F10&amp;B16&amp;"国有建设用地使用权"&amp;B9&amp;"预评估"</f>
        <v>北京市划拨国有建设用地使用权市场价格预评估</v>
      </c>
      <c r="C1" s="3969"/>
      <c r="D1" s="3969"/>
      <c r="E1" s="3969"/>
      <c r="F1" s="3969"/>
      <c r="G1" s="3969"/>
      <c r="H1" s="3969"/>
      <c r="I1" s="3970"/>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v>44268</v>
      </c>
      <c r="C3" s="2996" t="s">
        <v>1984</v>
      </c>
      <c r="D3" s="1589">
        <f>B3</f>
        <v>44268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3000</v>
      </c>
      <c r="C4" s="1758">
        <f ca="1">SUMIF(土地估价师,B4,估价师及机构信息!E3:E16)</f>
        <v>94010078</v>
      </c>
      <c r="D4" s="1755" t="s">
        <v>3001</v>
      </c>
      <c r="E4" s="1758">
        <f ca="1">SUMIF(土地估价师,D4,估价师及机构信息!E3:E16)</f>
        <v>2004110096</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叶凌、陈颖</v>
      </c>
      <c r="L4" s="3052"/>
      <c r="M4" s="3052"/>
      <c r="N4" s="3053"/>
      <c r="O4" s="3054"/>
      <c r="P4" s="3053"/>
      <c r="Q4" s="3053"/>
      <c r="R4" s="3053"/>
      <c r="S4" s="3053"/>
      <c r="T4" s="3053"/>
      <c r="U4" s="3053"/>
    </row>
    <row r="5" spans="1:21" ht="15" thickTop="1">
      <c r="A5" s="1592" t="s">
        <v>1930</v>
      </c>
      <c r="B5" s="1702" t="s">
        <v>3002</v>
      </c>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3003</v>
      </c>
      <c r="C8" s="1598"/>
      <c r="D8" s="3974"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3004</v>
      </c>
      <c r="C9" s="1601"/>
      <c r="D9" s="3975"/>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3005</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971"/>
      <c r="C12" s="3972"/>
      <c r="D12" s="3973"/>
      <c r="E12" s="1620" t="s">
        <v>2050</v>
      </c>
      <c r="F12" s="3989" t="s">
        <v>2868</v>
      </c>
      <c r="G12" s="3990"/>
      <c r="H12" s="3990"/>
      <c r="I12" s="3991"/>
      <c r="J12" s="3073"/>
      <c r="K12" s="3056"/>
      <c r="L12" s="3052"/>
      <c r="M12" s="3052"/>
      <c r="N12" s="3053"/>
      <c r="O12" s="3054"/>
      <c r="P12" s="3053"/>
      <c r="Q12" s="3053"/>
      <c r="R12" s="3053"/>
      <c r="S12" s="3053"/>
      <c r="T12" s="3053"/>
      <c r="U12" s="3053"/>
    </row>
    <row r="13" spans="1:21">
      <c r="A13" s="1611" t="s">
        <v>2048</v>
      </c>
      <c r="B13" s="3971"/>
      <c r="C13" s="3972"/>
      <c r="D13" s="3973"/>
      <c r="E13" s="1620" t="s">
        <v>2050</v>
      </c>
      <c r="F13" s="3989" t="s">
        <v>2869</v>
      </c>
      <c r="G13" s="3990"/>
      <c r="H13" s="3990"/>
      <c r="I13" s="3991"/>
      <c r="J13" s="3073"/>
      <c r="K13" s="3056"/>
      <c r="L13" s="3052"/>
      <c r="M13" s="3052"/>
      <c r="N13" s="3053"/>
      <c r="O13" s="3054"/>
      <c r="P13" s="3053"/>
      <c r="Q13" s="3053"/>
      <c r="R13" s="3053"/>
      <c r="S13" s="3053"/>
      <c r="T13" s="3053"/>
      <c r="U13" s="3053"/>
    </row>
    <row r="14" spans="1:21">
      <c r="A14" s="1588" t="s">
        <v>2051</v>
      </c>
      <c r="B14" s="1620"/>
      <c r="C14" s="1757" t="s">
        <v>3006</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3007</v>
      </c>
      <c r="C16" s="1620" t="s">
        <v>1937</v>
      </c>
      <c r="D16" s="2487" t="s">
        <v>1938</v>
      </c>
      <c r="E16" s="1642"/>
      <c r="F16" s="1642"/>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c r="G18" s="1608"/>
      <c r="H18" s="1608"/>
      <c r="I18" s="1608">
        <v>50</v>
      </c>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0</v>
      </c>
      <c r="G19" s="1609">
        <f>IF(B16="出让",IF(G17="","",ROUNDDOWN(MIN((G17-$D$3)/365,G18),2)),G18)</f>
        <v>0</v>
      </c>
      <c r="H19" s="1609">
        <f>IF(B16="出让",IF(H17="","",ROUNDDOWN(MIN((H17-$D$3)/365,H18),2)),H18)</f>
        <v>0</v>
      </c>
      <c r="I19" s="1609">
        <f>IF(B16="出让",IF(I17="","",ROUNDDOWN(MIN((I17-$D$3)/365,I18),2)),I18)</f>
        <v>50</v>
      </c>
      <c r="J19" s="3073"/>
      <c r="K19" s="3056"/>
      <c r="L19" s="3052"/>
      <c r="M19" s="3052"/>
      <c r="N19" s="3053"/>
      <c r="O19" s="3054"/>
      <c r="P19" s="3053"/>
      <c r="Q19" s="3053"/>
      <c r="R19" s="3053"/>
      <c r="S19" s="3053"/>
      <c r="T19" s="3053"/>
      <c r="U19" s="3053"/>
    </row>
    <row r="20" spans="1:21">
      <c r="A20" s="1699"/>
      <c r="B20" s="1700"/>
      <c r="C20" s="1701" t="s">
        <v>2049</v>
      </c>
      <c r="D20" s="3986"/>
      <c r="E20" s="3987"/>
      <c r="F20" s="3987"/>
      <c r="G20" s="3987"/>
      <c r="H20" s="3987"/>
      <c r="I20" s="3988"/>
      <c r="J20" s="3073"/>
      <c r="K20" s="3056"/>
      <c r="L20" s="3052"/>
      <c r="M20" s="3052"/>
      <c r="N20" s="3053"/>
      <c r="O20" s="3054"/>
      <c r="P20" s="3053"/>
      <c r="Q20" s="3053"/>
      <c r="R20" s="3053"/>
      <c r="S20" s="3053"/>
      <c r="T20" s="3053"/>
      <c r="U20" s="3053"/>
    </row>
    <row r="21" spans="1:21">
      <c r="A21" s="1679" t="s">
        <v>1947</v>
      </c>
      <c r="B21" s="1680" t="s">
        <v>1948</v>
      </c>
      <c r="C21" s="1675">
        <f>'数据-汇总表'!E3</f>
        <v>26088.75</v>
      </c>
      <c r="D21" s="1676" t="s">
        <v>1949</v>
      </c>
      <c r="E21" s="3976" t="s">
        <v>1987</v>
      </c>
      <c r="F21" s="3977"/>
      <c r="G21" s="3977"/>
      <c r="H21" s="3977"/>
      <c r="I21" s="3978"/>
      <c r="J21" s="3073"/>
      <c r="K21" s="3056"/>
      <c r="L21" s="3052"/>
      <c r="M21" s="3052"/>
      <c r="N21" s="3053"/>
      <c r="O21" s="3054"/>
      <c r="P21" s="3053"/>
      <c r="Q21" s="3053"/>
      <c r="R21" s="3053"/>
      <c r="S21" s="3053"/>
      <c r="T21" s="3053"/>
      <c r="U21" s="3053"/>
    </row>
    <row r="22" spans="1:21">
      <c r="A22" s="2801" t="s">
        <v>943</v>
      </c>
      <c r="B22" s="1588" t="s">
        <v>1950</v>
      </c>
      <c r="C22" s="1610">
        <f>'数据-汇总表'!D3</f>
        <v>26088.75</v>
      </c>
      <c r="D22" s="1611" t="s">
        <v>1949</v>
      </c>
      <c r="E22" s="3976" t="s">
        <v>2870</v>
      </c>
      <c r="F22" s="3977"/>
      <c r="G22" s="3977"/>
      <c r="H22" s="3977"/>
      <c r="I22" s="3978"/>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979" t="s">
        <v>1955</v>
      </c>
      <c r="C24" s="3980"/>
      <c r="D24" s="3981" t="s">
        <v>1956</v>
      </c>
      <c r="E24" s="3982"/>
      <c r="F24" s="1628" t="s">
        <v>1957</v>
      </c>
      <c r="G24" s="3073"/>
      <c r="H24" s="3073"/>
      <c r="I24" s="3077"/>
      <c r="J24" s="3073"/>
      <c r="K24" s="3967"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967"/>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967"/>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994" t="s">
        <v>1990</v>
      </c>
      <c r="B31" s="1680" t="s">
        <v>1991</v>
      </c>
      <c r="C31" s="3992" t="s">
        <v>3008</v>
      </c>
      <c r="D31" s="3993"/>
      <c r="E31" s="3073"/>
      <c r="F31" s="3073"/>
      <c r="G31" s="3073"/>
      <c r="H31" s="3073"/>
      <c r="I31" s="3077"/>
      <c r="J31" s="3073"/>
      <c r="K31" s="3059"/>
      <c r="L31" s="3053"/>
      <c r="M31" s="3053"/>
      <c r="N31" s="3053"/>
      <c r="O31" s="3053"/>
      <c r="P31" s="3053"/>
      <c r="Q31" s="3053"/>
      <c r="R31" s="3053"/>
      <c r="S31" s="3053"/>
      <c r="T31" s="3053"/>
      <c r="U31" s="3053"/>
    </row>
    <row r="32" spans="1:21">
      <c r="A32" s="399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99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995"/>
      <c r="B34" s="1588" t="s">
        <v>1994</v>
      </c>
      <c r="C34" s="3996"/>
      <c r="D34" s="3997"/>
      <c r="E34" s="3073"/>
      <c r="F34" s="3073"/>
      <c r="G34" s="3073"/>
      <c r="H34" s="3073"/>
      <c r="I34" s="3077"/>
      <c r="J34" s="3073"/>
      <c r="K34" s="3059"/>
      <c r="L34" s="3053"/>
      <c r="M34" s="3053"/>
      <c r="N34" s="3053"/>
      <c r="O34" s="3053"/>
      <c r="P34" s="3053"/>
      <c r="Q34" s="3053"/>
      <c r="R34" s="3053"/>
      <c r="S34" s="3053"/>
      <c r="T34" s="3053"/>
      <c r="U34" s="3053"/>
    </row>
    <row r="35" spans="1:28">
      <c r="A35" s="3998" t="s">
        <v>839</v>
      </c>
      <c r="B35" s="1642"/>
      <c r="C35" s="1689" t="str">
        <f>IF(B35="场地平整","——","具体情况：")</f>
        <v>具体情况：</v>
      </c>
      <c r="D35" s="4000"/>
      <c r="E35" s="4001"/>
      <c r="F35" s="4001"/>
      <c r="G35" s="4001"/>
      <c r="H35" s="4001"/>
      <c r="I35" s="4002"/>
      <c r="J35" s="3073"/>
      <c r="K35" s="3060"/>
      <c r="L35" s="3052"/>
      <c r="M35" s="3052"/>
      <c r="N35" s="3053"/>
      <c r="O35" s="3054"/>
      <c r="P35" s="3053"/>
      <c r="Q35" s="3053"/>
      <c r="R35" s="3053"/>
      <c r="S35" s="3053"/>
      <c r="T35" s="3053"/>
      <c r="U35" s="3053"/>
    </row>
    <row r="36" spans="1:28">
      <c r="A36" s="3994"/>
      <c r="B36" s="4003" t="s">
        <v>2043</v>
      </c>
      <c r="C36" s="4004"/>
      <c r="D36" s="1705"/>
      <c r="E36" s="4005"/>
      <c r="F36" s="4005"/>
      <c r="G36" s="1611" t="str">
        <f>IF(B35="场地未平整","估价结果处理","")</f>
        <v/>
      </c>
      <c r="H36" s="4006"/>
      <c r="I36" s="4006"/>
      <c r="J36" s="3073"/>
      <c r="K36" s="3060"/>
      <c r="L36" s="3052"/>
      <c r="M36" s="3052"/>
      <c r="N36" s="3053"/>
      <c r="O36" s="3054"/>
      <c r="P36" s="3053"/>
      <c r="Q36" s="3053"/>
      <c r="R36" s="3053"/>
      <c r="S36" s="3053"/>
      <c r="T36" s="3053"/>
      <c r="U36" s="3053"/>
    </row>
    <row r="37" spans="1:28" ht="28.5">
      <c r="A37" s="3994"/>
      <c r="B37" s="3983"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994"/>
      <c r="B38" s="3984"/>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995"/>
      <c r="B39" s="3985"/>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966" t="s">
        <v>1974</v>
      </c>
      <c r="T40" s="1651" t="str">
        <f>NUMBERSTRING(7-K40,1)&amp;"通"</f>
        <v>七通</v>
      </c>
      <c r="U40" s="3053"/>
    </row>
    <row r="41" spans="1:28">
      <c r="A41" s="1590"/>
      <c r="B41" s="3999" t="s">
        <v>1712</v>
      </c>
      <c r="C41" s="3999"/>
      <c r="D41" s="3999"/>
      <c r="E41" s="399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966"/>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t="s">
        <v>3009</v>
      </c>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t="s">
        <v>3010</v>
      </c>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0" sqref="C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26088.75</v>
      </c>
      <c r="B3" s="22">
        <f>IF(C3="否",G5-AT5,G5)</f>
        <v>26088.75</v>
      </c>
      <c r="C3" s="23" t="s">
        <v>3012</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26088.75</v>
      </c>
      <c r="H5" s="27">
        <f t="shared" ref="H5:AT5" si="0">SUM(H13:H641)</f>
        <v>26088.75</v>
      </c>
      <c r="I5" s="27">
        <f t="shared" si="0"/>
        <v>26088.75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26088.75</v>
      </c>
      <c r="BA5" s="29">
        <f t="shared" si="1"/>
        <v>26088.75</v>
      </c>
      <c r="BB5" s="29">
        <f t="shared" si="1"/>
        <v>26088.75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26088.75</v>
      </c>
      <c r="F6" s="27" t="s">
        <v>1</v>
      </c>
      <c r="G6" s="27" t="s">
        <v>2</v>
      </c>
      <c r="H6" s="33">
        <f>SUMIF(I$12:AB$12,"总值",I6:AB6)</f>
        <v>26088.75</v>
      </c>
      <c r="I6" s="27">
        <f t="shared" ref="I6:AB6" si="2">ROUND($A$3*I5/$B$3,2)</f>
        <v>26088.75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26088.75</v>
      </c>
      <c r="AZ6" s="27" t="s">
        <v>3</v>
      </c>
      <c r="BA6" s="27">
        <f>ROUND($AY$6*BA5/$AZ$5,2)</f>
        <v>26088.75</v>
      </c>
      <c r="BB6" s="27">
        <f>ROUND($AY$6*BB5/$AZ$5,2)</f>
        <v>26088.75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3011</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972</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26088.75</v>
      </c>
      <c r="F13" s="81"/>
      <c r="G13" s="82">
        <f t="shared" ref="G13:G20" si="7">H13+AC13+AT13</f>
        <v>26088.75</v>
      </c>
      <c r="H13" s="33">
        <f t="shared" ref="H13:H20" si="8">SUMIF(I$12:AB$12,"总值",I13:AB13)</f>
        <v>26088.75</v>
      </c>
      <c r="I13" s="2730">
        <f>A3</f>
        <v>26088.75</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26088.75</v>
      </c>
      <c r="AZ13" s="27">
        <f t="shared" ref="AZ13:AZ20" si="12">BA13+BL13</f>
        <v>26088.75</v>
      </c>
      <c r="BA13" s="27">
        <f t="shared" ref="BA13:BA20" si="13">SUM(BB13:BK13)</f>
        <v>26088.75</v>
      </c>
      <c r="BB13" s="27">
        <f t="shared" ref="BB13:BB20" si="14">IF($D13="是",I13-J13,0)</f>
        <v>26088.75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007" t="s">
        <v>0</v>
      </c>
      <c r="B1" s="4007" t="s">
        <v>4</v>
      </c>
      <c r="C1" s="4007" t="s">
        <v>5</v>
      </c>
      <c r="D1" s="4008" t="s">
        <v>40</v>
      </c>
      <c r="E1" s="4008" t="s">
        <v>41</v>
      </c>
      <c r="F1" s="4008"/>
      <c r="G1" s="4008"/>
      <c r="H1" s="4008"/>
      <c r="I1" s="4008"/>
      <c r="J1" s="4008"/>
      <c r="K1" s="4008"/>
      <c r="L1" s="4008"/>
      <c r="M1" s="4008"/>
    </row>
    <row r="2" spans="1:13" ht="27" customHeight="1">
      <c r="A2" s="4007"/>
      <c r="B2" s="4007"/>
      <c r="C2" s="4007"/>
      <c r="D2" s="4008"/>
      <c r="E2" s="4008" t="s">
        <v>24</v>
      </c>
      <c r="F2" s="4008" t="s">
        <v>25</v>
      </c>
      <c r="G2" s="4008"/>
      <c r="H2" s="4008"/>
      <c r="I2" s="4008"/>
      <c r="J2" s="4008" t="s">
        <v>26</v>
      </c>
      <c r="K2" s="4008"/>
      <c r="L2" s="4008"/>
      <c r="M2" s="4008"/>
    </row>
    <row r="3" spans="1:13" ht="28.5">
      <c r="A3" s="4007"/>
      <c r="B3" s="4007"/>
      <c r="C3" s="4007"/>
      <c r="D3" s="4008"/>
      <c r="E3" s="40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08" t="s">
        <v>42</v>
      </c>
      <c r="B9" s="4008"/>
      <c r="C9" s="40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B1" zoomScale="90" zoomScaleNormal="70" zoomScaleSheetLayoutView="90" workbookViewId="0">
      <selection activeCell="E27" sqref="E2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4018" t="s">
        <v>203</v>
      </c>
      <c r="B2" s="4018"/>
      <c r="C2" s="4018"/>
      <c r="D2" s="1888" t="s">
        <v>204</v>
      </c>
      <c r="E2" s="106" t="s">
        <v>205</v>
      </c>
      <c r="F2" s="3082"/>
      <c r="G2" s="1181"/>
      <c r="H2" s="1182"/>
      <c r="I2" s="1183" t="s">
        <v>849</v>
      </c>
      <c r="J2" s="3082"/>
      <c r="K2" s="3082"/>
      <c r="L2" s="3082"/>
      <c r="M2" s="3082"/>
      <c r="N2" s="3082"/>
      <c r="O2" s="3082"/>
      <c r="P2" s="3082"/>
    </row>
    <row r="3" spans="1:16" ht="15.75" thickBot="1">
      <c r="A3" s="4019" t="s">
        <v>206</v>
      </c>
      <c r="B3" s="4019"/>
      <c r="C3" s="4019"/>
      <c r="D3" s="107">
        <f>'数据-基础表'!AY6</f>
        <v>26088.75</v>
      </c>
      <c r="E3" s="107">
        <f>'数据-基础表'!AZ5</f>
        <v>26088.75</v>
      </c>
      <c r="F3" s="3082"/>
      <c r="G3" s="278" t="s">
        <v>850</v>
      </c>
      <c r="H3" s="273" t="s">
        <v>851</v>
      </c>
      <c r="I3" s="1889">
        <f>ROUND('数据-基础表'!B3/'数据-基础表'!A3,2)</f>
        <v>1</v>
      </c>
      <c r="J3" s="3082"/>
      <c r="K3" s="3082"/>
      <c r="L3" s="3082"/>
      <c r="M3" s="3082"/>
      <c r="N3" s="3082"/>
      <c r="O3" s="3082"/>
      <c r="P3" s="3082"/>
    </row>
    <row r="4" spans="1:16" ht="15">
      <c r="A4" s="4020"/>
      <c r="B4" s="4021"/>
      <c r="C4" s="4022"/>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4023" t="s">
        <v>230</v>
      </c>
      <c r="C5" s="4023"/>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4023" t="s">
        <v>208</v>
      </c>
      <c r="C6" s="4023"/>
      <c r="D6" s="111">
        <f>ROUND($D$3*E6/$E$3,2)</f>
        <v>26088.75</v>
      </c>
      <c r="E6" s="112">
        <f>E3-E5</f>
        <v>26088.75</v>
      </c>
      <c r="F6" s="3082"/>
      <c r="G6" s="1184"/>
      <c r="H6" s="273" t="s">
        <v>852</v>
      </c>
      <c r="I6" s="1889">
        <f>ROUND(F31/D31,2)</f>
        <v>1</v>
      </c>
      <c r="J6" s="3082"/>
      <c r="K6" s="3082"/>
      <c r="L6" s="3082"/>
      <c r="M6" s="3082"/>
      <c r="N6" s="3082"/>
      <c r="O6" s="3082"/>
      <c r="P6" s="3082"/>
    </row>
    <row r="7" spans="1:16" ht="15">
      <c r="A7" s="4015"/>
      <c r="B7" s="4016"/>
      <c r="C7" s="4017"/>
      <c r="D7" s="108" t="s">
        <v>204</v>
      </c>
      <c r="E7" s="114" t="s">
        <v>231</v>
      </c>
      <c r="F7" s="3082"/>
      <c r="G7" s="1139" t="s">
        <v>1636</v>
      </c>
      <c r="H7" s="1140"/>
      <c r="I7" s="1759">
        <v>1</v>
      </c>
      <c r="J7" s="3082"/>
      <c r="K7" s="3082"/>
      <c r="L7" s="3082"/>
      <c r="M7" s="3082"/>
      <c r="N7" s="3082"/>
      <c r="O7" s="3082"/>
      <c r="P7" s="3082"/>
    </row>
    <row r="8" spans="1:16">
      <c r="A8" s="110" t="s">
        <v>209</v>
      </c>
      <c r="B8" s="115" t="s">
        <v>210</v>
      </c>
      <c r="C8" s="111" t="s">
        <v>211</v>
      </c>
      <c r="D8" s="111">
        <f t="shared" ref="D8:D15" si="0">ROUND($D$3*E8/$E$3,2)</f>
        <v>26088.75</v>
      </c>
      <c r="E8" s="116">
        <f>SUMIF('数据-基础表'!BB10:BK10,"地上",'数据-基础表'!BB5:BK5)</f>
        <v>26088.75</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26088.75</v>
      </c>
      <c r="E16" s="120">
        <f>SUM(E8:E15)</f>
        <v>26088.75</v>
      </c>
      <c r="F16" s="3082"/>
      <c r="G16" s="3083"/>
      <c r="H16" s="956" t="s">
        <v>219</v>
      </c>
      <c r="I16" s="957"/>
      <c r="J16" s="1897"/>
      <c r="K16" s="4009" t="s">
        <v>2548</v>
      </c>
      <c r="L16" s="4010"/>
      <c r="M16" s="4010"/>
      <c r="N16" s="4010"/>
      <c r="O16" s="4010"/>
      <c r="P16" s="4011"/>
    </row>
    <row r="17" spans="1:19" ht="15">
      <c r="A17" s="121" t="s">
        <v>216</v>
      </c>
      <c r="B17" s="122" t="s">
        <v>217</v>
      </c>
      <c r="C17" s="2177" t="s">
        <v>2301</v>
      </c>
      <c r="D17" s="108" t="s">
        <v>204</v>
      </c>
      <c r="E17" s="124" t="s">
        <v>205</v>
      </c>
      <c r="F17" s="125"/>
      <c r="G17" s="1319"/>
      <c r="H17" s="958" t="s">
        <v>218</v>
      </c>
      <c r="I17" s="959" t="s">
        <v>2300</v>
      </c>
      <c r="J17" s="1897"/>
      <c r="K17" s="4012" t="s">
        <v>2549</v>
      </c>
      <c r="L17" s="4013"/>
      <c r="M17" s="4014"/>
      <c r="N17" s="4012" t="s">
        <v>2550</v>
      </c>
      <c r="O17" s="4013"/>
      <c r="P17" s="4014"/>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26088.75</v>
      </c>
      <c r="E19" s="134">
        <f t="shared" ref="E19:E26" si="2">SUM(F19:G19)</f>
        <v>26088.75</v>
      </c>
      <c r="F19" s="3084">
        <f>E3</f>
        <v>26088.75</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26088.75</v>
      </c>
      <c r="S19" s="2180">
        <f t="shared" si="5"/>
        <v>26088.75</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26088.75</v>
      </c>
      <c r="E27" s="141">
        <f>IF(SUM(E19:E26)='数据-基础表'!BA5,SUM(E19:E26),IF(F27="地上面积有误","面积有误","地下面积有误"))</f>
        <v>26088.75</v>
      </c>
      <c r="F27" s="134">
        <f>IF(SUM(F19:F26)=E8,SUM(F19:F26),"地上面积有误")</f>
        <v>26088.75</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26088.75</v>
      </c>
      <c r="S27" s="273">
        <f>IF(SUM(S19:S26)=$E$3,SUM(S19:S26),SUM(S19:S26)&amp;"误差"&amp;ROUND(SUM(S19:S26)-E3,2))</f>
        <v>26088.75</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26088.75</v>
      </c>
      <c r="E31" s="1323">
        <f>E27+E30</f>
        <v>26088.75</v>
      </c>
      <c r="F31" s="1324">
        <f>F27+F30</f>
        <v>26088.75</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M6" activePane="bottomRight" state="frozen"/>
      <selection pane="topRight" activeCell="D1" sqref="D1"/>
      <selection pane="bottomLeft" activeCell="A4" sqref="A4"/>
      <selection pane="bottomRight" activeCell="AG9" sqref="AG9:AG1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工业</v>
      </c>
      <c r="B6" s="2216" t="str">
        <f>IF(A6=0,"","经营性")</f>
        <v>经营性</v>
      </c>
      <c r="C6" s="171" t="s">
        <v>972</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4.4999999999999998E-2</v>
      </c>
      <c r="K6" s="177">
        <f>SUMIF('数据-汇总表'!C$19:C$33,'数据-取费表'!A6,'数据-汇总表'!E$19:E$33)</f>
        <v>26088.75</v>
      </c>
      <c r="L6" s="3895">
        <v>1800</v>
      </c>
      <c r="M6" s="175">
        <f t="shared" ref="M6:M14" si="0">ROUND(K6*L6/10000,0)</f>
        <v>4696</v>
      </c>
      <c r="N6" s="2740">
        <v>0</v>
      </c>
      <c r="O6" s="175">
        <f>IF($N$5="成新度","——",ROUND(M6*N6,0))</f>
        <v>0</v>
      </c>
      <c r="P6" s="176">
        <f>IF($N$5="成新度","——",M6-O6)</f>
        <v>4696</v>
      </c>
      <c r="Q6" s="2741">
        <v>0.05</v>
      </c>
      <c r="R6" s="177">
        <f>SUMIF('数据-汇总表'!C$19:C$33,A6,'数据-汇总表'!R$19:R$33)</f>
        <v>26088.75</v>
      </c>
      <c r="S6" s="132">
        <f>IF('数据-汇总表'!$I$17="按面积比例",SUMIF('数据-汇总表'!C$19:C$33,A6,'数据-汇总表'!K$19:K$33),SUMIF('数据-汇总表'!C$19:C$33,A6,'数据-汇总表'!N$19:N$33))</f>
        <v>0</v>
      </c>
      <c r="T6" s="2113" t="str">
        <f>IF($T$4="按面积比例",IF(ISERROR(ROUND($M$14*S6/S$16,0)),"0",ROUND($M$14*S6/S$16,0)),"需自行计算录入")</f>
        <v>0</v>
      </c>
      <c r="U6" s="3894">
        <v>0.75</v>
      </c>
      <c r="V6" s="179">
        <v>0</v>
      </c>
      <c r="W6" s="179">
        <v>0.2</v>
      </c>
      <c r="X6" s="2200"/>
      <c r="Y6" s="180">
        <v>1</v>
      </c>
      <c r="Z6" s="181"/>
      <c r="AA6" s="174"/>
      <c r="AB6" s="174"/>
      <c r="AC6" s="2203"/>
      <c r="AD6" s="182"/>
      <c r="AE6" s="960">
        <f ca="1">IF(AN6="",0,SUMIF(INDIRECT("'"&amp;AN6&amp;"'"&amp;"!E:E"),$AE$5,INDIRECT("'"&amp;AN6&amp;"'"&amp;"!F:F")))</f>
        <v>50</v>
      </c>
      <c r="AF6" s="139"/>
      <c r="AG6" s="1196">
        <f>IF(AF6="",0,AE6-AF6)</f>
        <v>0</v>
      </c>
      <c r="AH6" s="139"/>
      <c r="AI6" s="185">
        <v>365</v>
      </c>
      <c r="AJ6" s="186"/>
      <c r="AK6" s="187">
        <v>5.0000000000000001E-3</v>
      </c>
      <c r="AL6" s="188">
        <v>1E-3</v>
      </c>
      <c r="AM6" s="2752">
        <v>0.01</v>
      </c>
      <c r="AN6" s="2246" t="s">
        <v>3076</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26088.75</v>
      </c>
      <c r="L16" s="204">
        <f>ROUND(M16*10000/SUM(K6:K14),0)</f>
        <v>1800</v>
      </c>
      <c r="M16" s="204">
        <f>SUM(M6:M14)</f>
        <v>4696</v>
      </c>
      <c r="N16" s="205">
        <f>ROUND(SUMPRODUCT(M6:M14,N6:N14)/M16,3)</f>
        <v>0</v>
      </c>
      <c r="O16" s="204">
        <f>SUM(O6:O14)</f>
        <v>0</v>
      </c>
      <c r="P16" s="204">
        <f>SUM(P6:P14)</f>
        <v>4696</v>
      </c>
      <c r="Q16" s="206">
        <f>ROUND(SUMPRODUCT(Q6:Q13,K6:K13)/SUMPRODUCT((Q6:Q13&gt;0)*(K6:K13)),2)</f>
        <v>0.05</v>
      </c>
      <c r="R16" s="2190">
        <f>SUM(R6:R13)</f>
        <v>26088.75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0.5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120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120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4.3499999999999997E-2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f>C59</f>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4024" t="s">
        <v>1654</v>
      </c>
      <c r="B1" s="4025"/>
      <c r="C1" s="4025"/>
      <c r="D1" s="4025"/>
      <c r="E1" s="4025"/>
      <c r="F1" s="4025"/>
      <c r="G1" s="402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topLeftCell="D1" zoomScale="90" zoomScaleNormal="100" zoomScaleSheetLayoutView="90" zoomScalePageLayoutView="80" workbookViewId="0">
      <selection activeCell="D18" sqref="D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t="s">
        <v>3173</v>
      </c>
      <c r="E1" s="1719" t="s">
        <v>2046</v>
      </c>
      <c r="F1" s="1721" t="s">
        <v>3174</v>
      </c>
      <c r="G1" s="309"/>
      <c r="H1" s="309"/>
      <c r="I1" s="309"/>
      <c r="J1" s="1911"/>
      <c r="K1" s="1911"/>
      <c r="L1" s="1911"/>
      <c r="M1" s="1911"/>
      <c r="N1" s="1911"/>
      <c r="O1" s="1911"/>
      <c r="P1" s="1911"/>
      <c r="Q1" s="1911"/>
      <c r="R1" s="1911"/>
      <c r="S1" s="1911"/>
      <c r="T1" s="1911"/>
      <c r="U1" s="1911"/>
      <c r="V1" s="1911"/>
    </row>
    <row r="2" spans="1:22" ht="21.75" customHeight="1" thickBot="1">
      <c r="A2" s="4070" t="str">
        <f>项目基本情况!K2</f>
        <v>北京市划拨国有建设用地使用权</v>
      </c>
      <c r="B2" s="4071"/>
      <c r="C2" s="4072"/>
      <c r="D2" s="4072"/>
      <c r="E2" s="4072"/>
      <c r="F2" s="4072"/>
      <c r="G2" s="4071"/>
      <c r="H2" s="4071"/>
      <c r="I2" s="4073"/>
      <c r="J2" s="1912"/>
      <c r="K2" s="1911"/>
      <c r="L2" s="1911"/>
      <c r="M2" s="1911"/>
      <c r="N2" s="1911"/>
      <c r="O2" s="1911"/>
      <c r="P2" s="1911"/>
      <c r="Q2" s="1911"/>
      <c r="R2" s="1911"/>
      <c r="S2" s="1911"/>
      <c r="T2" s="1911"/>
      <c r="U2" s="1911"/>
      <c r="V2" s="1911"/>
    </row>
    <row r="3" spans="1:22" ht="14.25">
      <c r="A3" s="4081" t="s">
        <v>298</v>
      </c>
      <c r="B3" s="4082"/>
      <c r="C3" s="4082"/>
      <c r="D3" s="4082"/>
      <c r="E3" s="4082"/>
      <c r="F3" s="4082"/>
      <c r="G3" s="4082"/>
      <c r="H3" s="4082"/>
      <c r="I3" s="4082"/>
      <c r="J3" s="1912"/>
      <c r="K3" s="1911"/>
      <c r="L3" s="1911"/>
      <c r="M3" s="1911"/>
      <c r="N3" s="1911"/>
      <c r="O3" s="1911"/>
      <c r="P3" s="1911"/>
      <c r="Q3" s="1911"/>
      <c r="R3" s="1911"/>
      <c r="S3" s="1911"/>
      <c r="T3" s="1911"/>
      <c r="U3" s="1911"/>
      <c r="V3" s="1911"/>
    </row>
    <row r="4" spans="1:22" ht="14.25">
      <c r="A4" s="256" t="s">
        <v>299</v>
      </c>
      <c r="B4" s="257" t="s">
        <v>300</v>
      </c>
      <c r="C4" s="258" t="s">
        <v>3175</v>
      </c>
      <c r="D4" s="258" t="s">
        <v>3176</v>
      </c>
      <c r="E4" s="4045" t="s">
        <v>301</v>
      </c>
      <c r="F4" s="4087"/>
      <c r="G4" s="4087"/>
      <c r="H4" s="4087"/>
      <c r="I4" s="4046"/>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4074" t="s">
        <v>302</v>
      </c>
      <c r="B5" s="4075">
        <v>25</v>
      </c>
      <c r="C5" s="4083">
        <v>2</v>
      </c>
      <c r="D5" s="4086">
        <f>10-C5</f>
        <v>8</v>
      </c>
      <c r="E5" s="259" t="s">
        <v>303</v>
      </c>
      <c r="F5" s="260"/>
      <c r="G5" s="260"/>
      <c r="H5" s="260"/>
      <c r="I5" s="261"/>
      <c r="J5" s="1912"/>
      <c r="K5" s="1911"/>
      <c r="L5" s="1911"/>
      <c r="M5" s="1911"/>
      <c r="N5" s="1911"/>
      <c r="O5" s="1911"/>
      <c r="P5" s="1911"/>
      <c r="Q5" s="1911"/>
      <c r="R5" s="1911"/>
      <c r="S5" s="1911"/>
      <c r="T5" s="1911"/>
      <c r="U5" s="1911"/>
      <c r="V5" s="1911"/>
    </row>
    <row r="6" spans="1:22" ht="14.25">
      <c r="A6" s="4074"/>
      <c r="B6" s="4075"/>
      <c r="C6" s="4084"/>
      <c r="D6" s="4086"/>
      <c r="E6" s="259" t="s">
        <v>304</v>
      </c>
      <c r="F6" s="260"/>
      <c r="G6" s="260"/>
      <c r="H6" s="260"/>
      <c r="I6" s="261"/>
      <c r="J6" s="1912"/>
      <c r="K6" s="1911"/>
      <c r="L6" s="1911"/>
      <c r="M6" s="1911"/>
      <c r="N6" s="1911"/>
      <c r="O6" s="1911"/>
      <c r="P6" s="1911"/>
      <c r="Q6" s="1911"/>
      <c r="R6" s="1911"/>
      <c r="S6" s="1911"/>
      <c r="T6" s="1911"/>
      <c r="U6" s="1911"/>
      <c r="V6" s="1911"/>
    </row>
    <row r="7" spans="1:22" ht="14.25">
      <c r="A7" s="4074"/>
      <c r="B7" s="4075"/>
      <c r="C7" s="4085"/>
      <c r="D7" s="4086"/>
      <c r="E7" s="259" t="s">
        <v>305</v>
      </c>
      <c r="F7" s="260"/>
      <c r="G7" s="260"/>
      <c r="H7" s="260"/>
      <c r="I7" s="261"/>
      <c r="J7" s="1912"/>
      <c r="K7" s="1911"/>
      <c r="L7" s="1911"/>
      <c r="M7" s="1911"/>
      <c r="N7" s="1911"/>
      <c r="O7" s="1911"/>
      <c r="P7" s="1911"/>
      <c r="Q7" s="1911"/>
      <c r="R7" s="1911"/>
      <c r="S7" s="1911"/>
      <c r="T7" s="1911"/>
      <c r="U7" s="1911"/>
      <c r="V7" s="1911"/>
    </row>
    <row r="8" spans="1:22" ht="14.25">
      <c r="A8" s="4074" t="s">
        <v>306</v>
      </c>
      <c r="B8" s="4075">
        <v>15</v>
      </c>
      <c r="C8" s="4083"/>
      <c r="D8" s="4086"/>
      <c r="E8" s="259" t="s">
        <v>307</v>
      </c>
      <c r="F8" s="260"/>
      <c r="G8" s="260"/>
      <c r="H8" s="260"/>
      <c r="I8" s="261"/>
      <c r="J8" s="1912"/>
      <c r="K8" s="1911"/>
      <c r="L8" s="1911"/>
      <c r="M8" s="1911"/>
      <c r="N8" s="1911"/>
      <c r="O8" s="1911"/>
      <c r="P8" s="1911"/>
      <c r="Q8" s="1911"/>
      <c r="R8" s="1911"/>
      <c r="S8" s="1911"/>
      <c r="T8" s="1911"/>
      <c r="U8" s="1911"/>
      <c r="V8" s="1911"/>
    </row>
    <row r="9" spans="1:22" ht="14.25">
      <c r="A9" s="4074"/>
      <c r="B9" s="4075"/>
      <c r="C9" s="4085"/>
      <c r="D9" s="4086"/>
      <c r="E9" s="259" t="s">
        <v>308</v>
      </c>
      <c r="F9" s="260"/>
      <c r="G9" s="260"/>
      <c r="H9" s="260"/>
      <c r="I9" s="261"/>
      <c r="J9" s="1912"/>
      <c r="K9" s="1911"/>
      <c r="L9" s="1911"/>
      <c r="M9" s="1911"/>
      <c r="N9" s="1911"/>
      <c r="O9" s="1911"/>
      <c r="P9" s="1911"/>
      <c r="Q9" s="1911"/>
      <c r="R9" s="1911"/>
      <c r="S9" s="1911"/>
      <c r="T9" s="1911"/>
      <c r="U9" s="1911"/>
      <c r="V9" s="1911"/>
    </row>
    <row r="10" spans="1:22" ht="14.25">
      <c r="A10" s="4074" t="s">
        <v>309</v>
      </c>
      <c r="B10" s="4075">
        <v>15</v>
      </c>
      <c r="C10" s="4083"/>
      <c r="D10" s="4086"/>
      <c r="E10" s="259" t="s">
        <v>310</v>
      </c>
      <c r="F10" s="260"/>
      <c r="G10" s="260"/>
      <c r="H10" s="260"/>
      <c r="I10" s="261"/>
      <c r="J10" s="1912"/>
      <c r="K10" s="1911"/>
      <c r="L10" s="1911"/>
      <c r="M10" s="1911"/>
      <c r="N10" s="1911"/>
      <c r="O10" s="1911"/>
      <c r="P10" s="1911"/>
      <c r="Q10" s="1911"/>
      <c r="R10" s="1911"/>
      <c r="S10" s="1911"/>
      <c r="T10" s="1911"/>
      <c r="U10" s="1911"/>
      <c r="V10" s="1911"/>
    </row>
    <row r="11" spans="1:22" ht="14.25">
      <c r="A11" s="4074"/>
      <c r="B11" s="4075"/>
      <c r="C11" s="4085"/>
      <c r="D11" s="4086"/>
      <c r="E11" s="259" t="s">
        <v>311</v>
      </c>
      <c r="F11" s="260"/>
      <c r="G11" s="260"/>
      <c r="H11" s="260"/>
      <c r="I11" s="261"/>
      <c r="J11" s="1912"/>
      <c r="K11" s="1911"/>
      <c r="L11" s="1911"/>
      <c r="M11" s="1911"/>
      <c r="N11" s="1911"/>
      <c r="O11" s="1911"/>
      <c r="P11" s="1911"/>
      <c r="Q11" s="1911"/>
      <c r="R11" s="1911"/>
      <c r="S11" s="1911"/>
      <c r="T11" s="1911"/>
      <c r="U11" s="1911"/>
      <c r="V11" s="1911"/>
    </row>
    <row r="12" spans="1:22" ht="14.25">
      <c r="A12" s="4074" t="s">
        <v>312</v>
      </c>
      <c r="B12" s="4075">
        <v>15</v>
      </c>
      <c r="C12" s="4083"/>
      <c r="D12" s="4086"/>
      <c r="E12" s="259" t="s">
        <v>313</v>
      </c>
      <c r="F12" s="260"/>
      <c r="G12" s="260"/>
      <c r="H12" s="260"/>
      <c r="I12" s="261"/>
      <c r="J12" s="1912"/>
      <c r="K12" s="1911"/>
      <c r="L12" s="1911"/>
      <c r="M12" s="1911"/>
      <c r="N12" s="1911"/>
      <c r="O12" s="1911"/>
      <c r="P12" s="1911"/>
      <c r="Q12" s="1911"/>
      <c r="R12" s="1911"/>
      <c r="S12" s="1911"/>
      <c r="T12" s="1911"/>
      <c r="U12" s="1911"/>
      <c r="V12" s="1911"/>
    </row>
    <row r="13" spans="1:22" ht="14.25">
      <c r="A13" s="4074"/>
      <c r="B13" s="4075"/>
      <c r="C13" s="4085"/>
      <c r="D13" s="4086"/>
      <c r="E13" s="259" t="s">
        <v>314</v>
      </c>
      <c r="F13" s="260"/>
      <c r="G13" s="260"/>
      <c r="H13" s="260"/>
      <c r="I13" s="261"/>
      <c r="J13" s="1912"/>
      <c r="K13" s="1911"/>
      <c r="L13" s="1911"/>
      <c r="M13" s="1911"/>
      <c r="N13" s="1911"/>
      <c r="O13" s="1911"/>
      <c r="P13" s="1911"/>
      <c r="Q13" s="1911"/>
      <c r="R13" s="1911"/>
      <c r="S13" s="1911"/>
      <c r="T13" s="1911"/>
      <c r="U13" s="1911"/>
      <c r="V13" s="1911"/>
    </row>
    <row r="14" spans="1:22" ht="14.25">
      <c r="A14" s="4074" t="s">
        <v>315</v>
      </c>
      <c r="B14" s="4075">
        <v>30</v>
      </c>
      <c r="C14" s="4083"/>
      <c r="D14" s="4086"/>
      <c r="E14" s="259" t="s">
        <v>316</v>
      </c>
      <c r="F14" s="260"/>
      <c r="G14" s="260"/>
      <c r="H14" s="260"/>
      <c r="I14" s="261"/>
      <c r="J14" s="1912"/>
      <c r="K14" s="1911"/>
      <c r="L14" s="1911"/>
      <c r="M14" s="1911"/>
      <c r="N14" s="1911"/>
      <c r="O14" s="1911"/>
      <c r="P14" s="1911"/>
      <c r="Q14" s="1911"/>
      <c r="R14" s="1911"/>
      <c r="S14" s="1911"/>
      <c r="T14" s="1911"/>
      <c r="U14" s="1911"/>
      <c r="V14" s="1911"/>
    </row>
    <row r="15" spans="1:22" ht="14.25">
      <c r="A15" s="4074"/>
      <c r="B15" s="4075"/>
      <c r="C15" s="4084"/>
      <c r="D15" s="4086"/>
      <c r="E15" s="259" t="s">
        <v>317</v>
      </c>
      <c r="F15" s="260"/>
      <c r="G15" s="260"/>
      <c r="H15" s="260"/>
      <c r="I15" s="261"/>
      <c r="J15" s="1912"/>
      <c r="K15" s="1911"/>
      <c r="L15" s="1911"/>
      <c r="M15" s="1911"/>
      <c r="N15" s="1911"/>
      <c r="O15" s="1911"/>
      <c r="P15" s="1911"/>
      <c r="Q15" s="1911"/>
      <c r="R15" s="1911"/>
      <c r="S15" s="1911"/>
      <c r="T15" s="1911"/>
      <c r="U15" s="1911"/>
      <c r="V15" s="1911"/>
    </row>
    <row r="16" spans="1:22" ht="14.25">
      <c r="A16" s="4074"/>
      <c r="B16" s="4075"/>
      <c r="C16" s="4085"/>
      <c r="D16" s="4086"/>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2</v>
      </c>
      <c r="D17" s="263">
        <f>SUM(D5:D16)</f>
        <v>8</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0.2</v>
      </c>
      <c r="D18" s="265">
        <f>1-C18</f>
        <v>0.8</v>
      </c>
      <c r="E18" s="4088" t="s">
        <v>2961</v>
      </c>
      <c r="F18" s="4089"/>
      <c r="G18" s="4089"/>
      <c r="H18" s="4089"/>
      <c r="I18" s="408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1396</v>
      </c>
      <c r="D19" s="269">
        <f ca="1">SUMIF(INDIRECT("'"&amp;D4&amp;"'"&amp;"!A:A"),结果表!B19,INDIRECT("'"&amp;D4&amp;"'"&amp;"!B:B"))</f>
        <v>2117</v>
      </c>
      <c r="E19" s="266" t="s">
        <v>323</v>
      </c>
      <c r="F19" s="267" t="s">
        <v>322</v>
      </c>
      <c r="G19" s="270">
        <f ca="1">ROUND(C19*$C$18+D19*$D$18,0)</f>
        <v>1973</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535</v>
      </c>
      <c r="D20" s="275">
        <f ca="1">SUMIF(INDIRECT("'"&amp;D4&amp;"'"&amp;"!A:A"),结果表!B20,INDIRECT("'"&amp;D4&amp;"'"&amp;"!B:B"))</f>
        <v>811</v>
      </c>
      <c r="E20" s="272"/>
      <c r="F20" s="273" t="s">
        <v>325</v>
      </c>
      <c r="G20" s="276">
        <f ca="1">ROUND(C20*$C$18+D20*$D$18,0)</f>
        <v>756</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535</v>
      </c>
      <c r="D21" s="149">
        <f ca="1">SUMIF(INDIRECT("'"&amp;D4&amp;"'"&amp;"!A:A"),结果表!B21,INDIRECT("'"&amp;D4&amp;"'"&amp;"!B:B"))</f>
        <v>811</v>
      </c>
      <c r="E21" s="272"/>
      <c r="F21" s="278" t="s">
        <v>327</v>
      </c>
      <c r="G21" s="280">
        <f ca="1">ROUND(C21*$C$18+D21*$D$18,0)</f>
        <v>756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0.51647564469914031</v>
      </c>
      <c r="E22" s="282"/>
      <c r="F22" s="283"/>
      <c r="G22" s="284">
        <f ca="1">ROUND(G19/('数据-汇总表'!D3/666.67),0)</f>
        <v>50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404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4094"/>
      <c r="B25" s="1275" t="s">
        <v>331</v>
      </c>
      <c r="C25" s="288">
        <f>IF(B30=0,0,C30)</f>
        <v>0</v>
      </c>
      <c r="D25" s="289"/>
      <c r="E25" s="309"/>
      <c r="F25" s="309"/>
      <c r="G25" s="309"/>
      <c r="H25" s="309"/>
      <c r="I25" s="309"/>
      <c r="J25" s="1911"/>
      <c r="K25" s="1209" t="str">
        <f ca="1">项目基本情况!B16&amp;"国有建设用地使用权价格："&amp;O38&amp;"万元"</f>
        <v>划拨国有建设用地使用权价格：1973万元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大写金额：人民币壹仟玖佰柒拾叁万元整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单位面积地价：756元/平方米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楼面地价：756元/平方米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4090" t="s">
        <v>2963</v>
      </c>
      <c r="B31" s="4090"/>
      <c r="C31" s="4090"/>
      <c r="D31" s="4090"/>
      <c r="E31" s="4090"/>
      <c r="F31" s="4090"/>
      <c r="G31" s="4090"/>
      <c r="H31" s="4090"/>
      <c r="I31" s="409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1973</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756</v>
      </c>
      <c r="D33" s="1334" t="s">
        <v>1682</v>
      </c>
      <c r="E33" s="404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756</v>
      </c>
      <c r="D34" s="1336" t="s">
        <v>1682</v>
      </c>
      <c r="E34" s="4048"/>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50</v>
      </c>
      <c r="D35" s="1339" t="s">
        <v>1684</v>
      </c>
      <c r="E35" s="4049"/>
      <c r="F35" s="299" t="s">
        <v>342</v>
      </c>
      <c r="G35" s="970"/>
      <c r="H35" s="969" t="s">
        <v>343</v>
      </c>
      <c r="I35" s="309"/>
      <c r="J35" s="1911"/>
      <c r="K35" s="4053" t="s">
        <v>350</v>
      </c>
      <c r="L35" s="4053" t="s">
        <v>351</v>
      </c>
      <c r="M35" s="1218" t="s">
        <v>352</v>
      </c>
      <c r="N35" s="4053" t="s">
        <v>353</v>
      </c>
      <c r="O35" s="4053" t="s">
        <v>354</v>
      </c>
      <c r="P35" s="1911"/>
      <c r="V35" s="1911"/>
    </row>
    <row r="36" spans="1:26" ht="16.5" customHeight="1">
      <c r="A36" s="301" t="s">
        <v>344</v>
      </c>
      <c r="B36" s="302" t="s">
        <v>333</v>
      </c>
      <c r="C36" s="303" t="s">
        <v>345</v>
      </c>
      <c r="D36" s="303" t="s">
        <v>346</v>
      </c>
      <c r="E36" s="304" t="s">
        <v>347</v>
      </c>
      <c r="F36" s="309"/>
      <c r="G36" s="309"/>
      <c r="H36" s="309"/>
      <c r="I36" s="309"/>
      <c r="J36" s="1913"/>
      <c r="K36" s="4054"/>
      <c r="L36" s="4054"/>
      <c r="M36" s="1220" t="s">
        <v>355</v>
      </c>
      <c r="N36" s="4054"/>
      <c r="O36" s="4054"/>
      <c r="P36" s="1911"/>
      <c r="V36" s="1911"/>
    </row>
    <row r="37" spans="1:26" ht="16.5" customHeight="1" thickBot="1">
      <c r="A37" s="1214" t="s">
        <v>348</v>
      </c>
      <c r="B37" s="305"/>
      <c r="C37" s="292"/>
      <c r="D37" s="292"/>
      <c r="E37" s="293"/>
      <c r="F37" s="309"/>
      <c r="G37" s="309"/>
      <c r="H37" s="309"/>
      <c r="I37" s="309"/>
      <c r="J37" s="1913"/>
      <c r="K37" s="4055"/>
      <c r="L37" s="4055"/>
      <c r="M37" s="1221"/>
      <c r="N37" s="4055"/>
      <c r="O37" s="4055"/>
      <c r="P37" s="1911"/>
      <c r="V37" s="1911"/>
    </row>
    <row r="38" spans="1:26" ht="16.5" customHeight="1" thickBot="1">
      <c r="A38" s="1214" t="s">
        <v>349</v>
      </c>
      <c r="B38" s="305"/>
      <c r="C38" s="292"/>
      <c r="D38" s="292"/>
      <c r="E38" s="293"/>
      <c r="F38" s="309"/>
      <c r="G38" s="309"/>
      <c r="H38" s="309"/>
      <c r="I38" s="309"/>
      <c r="J38" s="1913"/>
      <c r="K38" s="1222">
        <f>'数据-汇总表'!D3</f>
        <v>26088.75</v>
      </c>
      <c r="L38" s="1223">
        <f>'数据-汇总表'!E3</f>
        <v>26088.75</v>
      </c>
      <c r="M38" s="1223">
        <f ca="1">C34</f>
        <v>756</v>
      </c>
      <c r="N38" s="1223">
        <f ca="1">C33</f>
        <v>756</v>
      </c>
      <c r="O38" s="1224">
        <f ca="1">C32</f>
        <v>1973</v>
      </c>
      <c r="P38" s="1911"/>
      <c r="V38" s="1911"/>
    </row>
    <row r="39" spans="1:26" ht="16.5" customHeight="1" thickBot="1">
      <c r="A39" s="1219"/>
      <c r="B39" s="306"/>
      <c r="C39" s="307"/>
      <c r="D39" s="307"/>
      <c r="E39" s="308"/>
      <c r="F39" s="309"/>
      <c r="G39" s="309"/>
      <c r="H39" s="309"/>
      <c r="I39" s="309"/>
      <c r="J39" s="1913"/>
      <c r="K39" s="4066" t="str">
        <f>MID(A44,3,LEN(A44)-2)</f>
        <v/>
      </c>
      <c r="L39" s="4067"/>
      <c r="M39" s="4067"/>
      <c r="N39" s="4068"/>
      <c r="O39" s="1341" t="str">
        <f>C44</f>
        <v>——</v>
      </c>
      <c r="P39" s="1911"/>
      <c r="V39" s="1911"/>
    </row>
    <row r="40" spans="1:26" ht="19.5" thickBot="1">
      <c r="A40" s="104" t="s">
        <v>864</v>
      </c>
      <c r="B40" s="309"/>
      <c r="C40" s="309"/>
      <c r="D40" s="309"/>
      <c r="E40" s="309"/>
      <c r="F40" s="309"/>
      <c r="G40" s="309"/>
      <c r="H40" s="309"/>
      <c r="I40" s="309"/>
      <c r="J40" s="1913"/>
      <c r="K40" s="4066" t="str">
        <f t="shared" ref="K40:K41" si="0">MID(A45,3,LEN(A45)-2)</f>
        <v/>
      </c>
      <c r="L40" s="4067"/>
      <c r="M40" s="4067"/>
      <c r="N40" s="4068"/>
      <c r="O40" s="1341" t="str">
        <f>C45</f>
        <v>——</v>
      </c>
      <c r="P40" s="1911"/>
      <c r="V40" s="1911"/>
    </row>
    <row r="41" spans="1:26" ht="16.5" thickBot="1">
      <c r="A41" s="310" t="s">
        <v>356</v>
      </c>
      <c r="B41" s="311"/>
      <c r="C41" s="312" t="s">
        <v>357</v>
      </c>
      <c r="D41" s="313" t="s">
        <v>358</v>
      </c>
      <c r="E41" s="313" t="s">
        <v>359</v>
      </c>
      <c r="F41" s="314" t="s">
        <v>360</v>
      </c>
      <c r="G41" s="309"/>
      <c r="H41" s="309"/>
      <c r="I41" s="309"/>
      <c r="J41" s="1913"/>
      <c r="K41" s="4066" t="str">
        <f t="shared" si="0"/>
        <v/>
      </c>
      <c r="L41" s="4067"/>
      <c r="M41" s="4067"/>
      <c r="N41" s="4068"/>
      <c r="O41" s="1341" t="str">
        <f>C46</f>
        <v>——</v>
      </c>
      <c r="P41" s="1911"/>
      <c r="V41" s="1911"/>
    </row>
    <row r="42" spans="1:26" ht="29.25">
      <c r="A42" s="4095" t="s">
        <v>2056</v>
      </c>
      <c r="B42" s="4096"/>
      <c r="C42" s="262">
        <f ca="1">C32</f>
        <v>1973</v>
      </c>
      <c r="D42" s="315">
        <f ca="1">C33</f>
        <v>756</v>
      </c>
      <c r="E42" s="315">
        <f ca="1">C34</f>
        <v>756</v>
      </c>
      <c r="F42" s="316">
        <f ca="1">C35</f>
        <v>50</v>
      </c>
      <c r="G42" s="309"/>
      <c r="H42" s="309"/>
      <c r="I42" s="317"/>
      <c r="J42" s="1913"/>
      <c r="K42" s="1225" t="s">
        <v>361</v>
      </c>
      <c r="L42" s="1930" t="s">
        <v>362</v>
      </c>
      <c r="M42" s="1226" t="s">
        <v>363</v>
      </c>
      <c r="N42" s="1931" t="s">
        <v>364</v>
      </c>
      <c r="O42" s="1932" t="s">
        <v>365</v>
      </c>
      <c r="P42" s="1911"/>
      <c r="V42" s="1911"/>
    </row>
    <row r="43" spans="1:26" ht="18">
      <c r="A43" s="4105" t="s">
        <v>2711</v>
      </c>
      <c r="B43" s="4106"/>
      <c r="C43" s="262">
        <f>IF(H33="正常操作",G33+G34+G35,G34+G35)</f>
        <v>0</v>
      </c>
      <c r="D43" s="315" t="s">
        <v>43</v>
      </c>
      <c r="E43" s="315" t="s">
        <v>44</v>
      </c>
      <c r="F43" s="316" t="s">
        <v>44</v>
      </c>
      <c r="G43" s="2583" t="s">
        <v>943</v>
      </c>
      <c r="H43" s="309"/>
      <c r="I43" s="317"/>
      <c r="J43" s="1913"/>
      <c r="K43" s="1227" t="str">
        <f>C4</f>
        <v>基准地价</v>
      </c>
      <c r="L43" s="1228">
        <f ca="1">IF(L42="估价结果/万元",C19,C20)</f>
        <v>1396</v>
      </c>
      <c r="M43" s="1229">
        <f>C18</f>
        <v>0.2</v>
      </c>
      <c r="N43" s="1230">
        <f ca="1">IF(N42="测算结果/万元",G19,G20)</f>
        <v>1973</v>
      </c>
      <c r="O43" s="1231">
        <f ca="1">IF(O42="最终结果/万元",C32,C33)</f>
        <v>1973</v>
      </c>
      <c r="P43" s="1911"/>
      <c r="V43" s="1911"/>
    </row>
    <row r="44" spans="1:26" ht="30.75" thickBot="1">
      <c r="A44" s="4095" t="str">
        <f>IF(OR(项目基本情况!E8="抵押价格",项目基本情况!E8="已注销及未注销"),"3.抵押价格","——")</f>
        <v>——</v>
      </c>
      <c r="B44" s="4096"/>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剩余法-待开发</v>
      </c>
      <c r="L44" s="1233">
        <f ca="1">IF(L42="估价结果/万元",D19,D20)</f>
        <v>2117</v>
      </c>
      <c r="M44" s="1234">
        <f>D18</f>
        <v>0.8</v>
      </c>
      <c r="N44" s="1235"/>
      <c r="O44" s="1236"/>
      <c r="P44" s="1911"/>
      <c r="V44" s="1911"/>
    </row>
    <row r="45" spans="1:26" ht="15">
      <c r="A45" s="4100" t="str">
        <f>IF(项目基本情况!E8="已注销及未注销","4.抵押担保权已注销时的抵押价格",IF(项目基本情况!E8="已注销","3.抵押担保权已注销时的抵押价格","——"))</f>
        <v>——</v>
      </c>
      <c r="B45" s="410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4097" t="str">
        <f>IF(项目基本情况!E9="抵押净值",IF(A45="——","4.抵押净值","5.抵押净值"),"——")</f>
        <v>——</v>
      </c>
      <c r="B46" s="4098"/>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4058" t="s">
        <v>374</v>
      </c>
      <c r="B63" s="4059"/>
      <c r="C63" s="4060"/>
      <c r="D63" s="339">
        <f ca="1">ROUND(C42*F63,0)</f>
        <v>1973</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4102" t="s">
        <v>378</v>
      </c>
      <c r="B64" s="4103"/>
      <c r="C64" s="4103"/>
      <c r="D64" s="4103"/>
      <c r="E64" s="4103"/>
      <c r="F64" s="4103"/>
      <c r="G64" s="410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4099" t="s">
        <v>386</v>
      </c>
      <c r="B66" s="4065"/>
      <c r="C66" s="4065"/>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4026" t="s">
        <v>385</v>
      </c>
      <c r="M66" s="4027"/>
      <c r="N66" s="2312"/>
      <c r="O66" s="2313"/>
      <c r="P66" s="2314"/>
      <c r="Q66" s="1911"/>
      <c r="R66" s="1911"/>
      <c r="S66" s="1911"/>
      <c r="T66" s="1911"/>
      <c r="U66" s="1911"/>
      <c r="V66" s="1911"/>
    </row>
    <row r="67" spans="1:22" ht="25.5" customHeight="1">
      <c r="A67" s="350" t="s">
        <v>389</v>
      </c>
      <c r="B67" s="4077" t="s">
        <v>390</v>
      </c>
      <c r="C67" s="4077"/>
      <c r="D67" s="351">
        <v>0</v>
      </c>
      <c r="E67" s="41" t="s">
        <v>391</v>
      </c>
      <c r="F67" s="62" t="s">
        <v>21</v>
      </c>
      <c r="G67" s="4061"/>
      <c r="H67" s="3006" t="s">
        <v>2964</v>
      </c>
      <c r="I67" s="3008"/>
      <c r="J67" s="1918"/>
      <c r="K67" s="1890">
        <v>2</v>
      </c>
      <c r="L67" s="4031" t="s">
        <v>388</v>
      </c>
      <c r="M67" s="4031"/>
      <c r="N67" s="1279">
        <f>'数据-取费表'!B2</f>
        <v>44268</v>
      </c>
      <c r="O67" s="1279"/>
      <c r="P67" s="1279"/>
      <c r="Q67" s="1911"/>
      <c r="R67" s="1911"/>
      <c r="S67" s="1911"/>
      <c r="T67" s="1911"/>
      <c r="U67" s="1911"/>
      <c r="V67" s="1911"/>
    </row>
    <row r="68" spans="1:22" ht="25.5" customHeight="1">
      <c r="A68" s="352"/>
      <c r="B68" s="4077" t="s">
        <v>393</v>
      </c>
      <c r="C68" s="4077"/>
      <c r="D68" s="353"/>
      <c r="E68" s="77"/>
      <c r="F68" s="354"/>
      <c r="G68" s="4062"/>
      <c r="H68" s="3007" t="s">
        <v>2965</v>
      </c>
      <c r="I68" s="3008"/>
      <c r="J68" s="1918"/>
      <c r="K68" s="1890">
        <v>3</v>
      </c>
      <c r="L68" s="4031" t="s">
        <v>392</v>
      </c>
      <c r="M68" s="4031"/>
      <c r="N68" s="1247">
        <f ca="1">C42</f>
        <v>1973</v>
      </c>
      <c r="O68" s="1247"/>
      <c r="P68" s="1247"/>
      <c r="Q68" s="1911"/>
      <c r="R68" s="1911"/>
      <c r="S68" s="1911"/>
      <c r="T68" s="1911"/>
      <c r="U68" s="1911"/>
      <c r="V68" s="1911"/>
    </row>
    <row r="69" spans="1:22" ht="23.45" customHeight="1">
      <c r="A69" s="355"/>
      <c r="B69" s="4077" t="s">
        <v>394</v>
      </c>
      <c r="C69" s="4077"/>
      <c r="D69" s="356"/>
      <c r="E69" s="73"/>
      <c r="F69" s="354"/>
      <c r="G69" s="4063"/>
      <c r="H69" s="3007" t="s">
        <v>2966</v>
      </c>
      <c r="I69" s="3008"/>
      <c r="J69" s="1918"/>
      <c r="K69" s="1248">
        <v>4</v>
      </c>
      <c r="L69" s="4032" t="s">
        <v>2863</v>
      </c>
      <c r="M69" s="4033"/>
      <c r="N69" s="1249" t="str">
        <f>C44</f>
        <v>——</v>
      </c>
      <c r="O69" s="1249"/>
      <c r="P69" s="1249"/>
      <c r="Q69" s="1911"/>
      <c r="R69" s="1911"/>
      <c r="S69" s="1911"/>
      <c r="T69" s="1911"/>
      <c r="U69" s="1911"/>
      <c r="V69" s="1911"/>
    </row>
    <row r="70" spans="1:22" ht="24" customHeight="1">
      <c r="A70" s="357" t="s">
        <v>395</v>
      </c>
      <c r="B70" s="4077" t="s">
        <v>396</v>
      </c>
      <c r="C70" s="4077"/>
      <c r="D70" s="356">
        <f ca="1">ROUND(D63*'数据-取费表'!B41/(1+'数据-取费表'!C42),0)</f>
        <v>103</v>
      </c>
      <c r="E70" s="17" t="s">
        <v>397</v>
      </c>
      <c r="F70" s="358">
        <f>'数据-取费表'!B41</f>
        <v>5.5000000000000007E-2</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4076" t="s">
        <v>2995</v>
      </c>
      <c r="C71" s="4093"/>
      <c r="D71" s="356">
        <f ca="1">ROUND(D63*'数据-取费表'!B41/(1+'数据-取费表'!C42),0)</f>
        <v>103</v>
      </c>
      <c r="E71" s="17" t="s">
        <v>397</v>
      </c>
      <c r="F71" s="358">
        <f>'数据-取费表'!B41</f>
        <v>5.5000000000000007E-2</v>
      </c>
      <c r="G71" s="359"/>
      <c r="H71" s="309"/>
      <c r="I71" s="1246"/>
      <c r="J71" s="1918"/>
      <c r="K71" s="2764" t="s">
        <v>398</v>
      </c>
      <c r="L71" s="4034" t="s">
        <v>399</v>
      </c>
      <c r="M71" s="4034"/>
      <c r="N71" s="2764" t="s">
        <v>400</v>
      </c>
      <c r="O71" s="2764" t="s">
        <v>401</v>
      </c>
      <c r="P71" s="2764" t="s">
        <v>402</v>
      </c>
      <c r="Q71" s="1911"/>
      <c r="R71" s="1911"/>
      <c r="S71" s="1911"/>
      <c r="T71" s="1911"/>
      <c r="U71" s="1911"/>
      <c r="V71" s="1911"/>
    </row>
    <row r="72" spans="1:22" ht="12" customHeight="1">
      <c r="A72" s="357" t="s">
        <v>405</v>
      </c>
      <c r="B72" s="4076" t="s">
        <v>2996</v>
      </c>
      <c r="C72" s="4093"/>
      <c r="D72" s="356">
        <f ca="1">C86</f>
        <v>103</v>
      </c>
      <c r="E72" s="73" t="s">
        <v>406</v>
      </c>
      <c r="F72" s="358">
        <f>'数据-取费表'!B41</f>
        <v>5.5000000000000007E-2</v>
      </c>
      <c r="G72" s="359"/>
      <c r="H72" s="1252"/>
      <c r="I72" s="1246"/>
      <c r="J72" s="1918"/>
      <c r="K72" s="1890">
        <v>1</v>
      </c>
      <c r="L72" s="4030" t="s">
        <v>404</v>
      </c>
      <c r="M72" s="4030"/>
      <c r="N72" s="1250" t="b">
        <f>D66</f>
        <v>0</v>
      </c>
      <c r="O72" s="1773" t="str">
        <f>E66</f>
        <v>销售额×税（费）率</v>
      </c>
      <c r="P72" s="1251">
        <f>F66</f>
        <v>5.5000000000000007E-2</v>
      </c>
      <c r="Q72" s="1911"/>
      <c r="R72" s="1911"/>
      <c r="S72" s="1911"/>
      <c r="T72" s="1911"/>
      <c r="U72" s="1911"/>
      <c r="V72" s="1911"/>
    </row>
    <row r="73" spans="1:22" ht="24" customHeight="1">
      <c r="A73" s="4064" t="s">
        <v>408</v>
      </c>
      <c r="B73" s="4065"/>
      <c r="C73" s="4065"/>
      <c r="D73" s="360">
        <f ca="1">IF(H73="个人住宅",0,ROUND(D63*I73,0))</f>
        <v>1</v>
      </c>
      <c r="E73" s="17" t="s">
        <v>409</v>
      </c>
      <c r="F73" s="358" t="str">
        <f>IF(H73="正常",I73,"免征")</f>
        <v>免征</v>
      </c>
      <c r="G73" s="359"/>
      <c r="H73" s="189"/>
      <c r="I73" s="358">
        <f>'数据-取费表'!B49</f>
        <v>5.0000000000000001E-4</v>
      </c>
      <c r="J73" s="1918"/>
      <c r="K73" s="1890">
        <v>2</v>
      </c>
      <c r="L73" s="4030" t="s">
        <v>407</v>
      </c>
      <c r="M73" s="4030"/>
      <c r="N73" s="1250">
        <f t="shared" ref="N73:P74" ca="1" si="1">D73</f>
        <v>1</v>
      </c>
      <c r="O73" s="1773" t="str">
        <f t="shared" si="1"/>
        <v>销售额×税（费）率</v>
      </c>
      <c r="P73" s="1251" t="str">
        <f t="shared" si="1"/>
        <v>免征</v>
      </c>
      <c r="Q73" s="1911"/>
      <c r="R73" s="1911"/>
      <c r="S73" s="1911"/>
      <c r="T73" s="1911"/>
      <c r="U73" s="1911"/>
      <c r="V73" s="1911"/>
    </row>
    <row r="74" spans="1:22" ht="24.75">
      <c r="A74" s="4064" t="s">
        <v>411</v>
      </c>
      <c r="B74" s="4065"/>
      <c r="C74" s="4065"/>
      <c r="D74" s="360">
        <f ca="1">IF(H74="个人住宅",D75,D76)</f>
        <v>1119</v>
      </c>
      <c r="E74" s="17" t="s">
        <v>412</v>
      </c>
      <c r="F74" s="358" t="str">
        <f>IF(H74="正常",F76,"免征")</f>
        <v>免征</v>
      </c>
      <c r="G74" s="971" t="s">
        <v>413</v>
      </c>
      <c r="H74" s="361"/>
      <c r="I74" s="42"/>
      <c r="J74" s="1918"/>
      <c r="K74" s="1890">
        <v>3</v>
      </c>
      <c r="L74" s="4030" t="s">
        <v>410</v>
      </c>
      <c r="M74" s="4030"/>
      <c r="N74" s="1250">
        <f t="shared" ca="1" si="1"/>
        <v>1119</v>
      </c>
      <c r="O74" s="1773" t="str">
        <f t="shared" si="1"/>
        <v>增值额×税（费）率</v>
      </c>
      <c r="P74" s="1253" t="str">
        <f t="shared" si="1"/>
        <v>免征</v>
      </c>
      <c r="Q74" s="1911"/>
      <c r="R74" s="1911"/>
      <c r="S74" s="1911"/>
      <c r="T74" s="1911"/>
      <c r="U74" s="1911"/>
      <c r="V74" s="1911"/>
    </row>
    <row r="75" spans="1:22" ht="12.75">
      <c r="A75" s="357" t="s">
        <v>414</v>
      </c>
      <c r="B75" s="4045" t="s">
        <v>415</v>
      </c>
      <c r="C75" s="4046"/>
      <c r="D75" s="362">
        <v>0</v>
      </c>
      <c r="E75" s="41" t="s">
        <v>416</v>
      </c>
      <c r="F75" s="363"/>
      <c r="G75" s="359"/>
      <c r="H75" s="42"/>
      <c r="I75" s="42"/>
      <c r="J75" s="1918"/>
      <c r="K75" s="2758">
        <f>IF(H77="非个人房产","",4)</f>
        <v>4</v>
      </c>
      <c r="L75" s="4030" t="str">
        <f>IF(H77="非个人房产","——","个人所得税")</f>
        <v>个人所得税</v>
      </c>
      <c r="M75" s="4030"/>
      <c r="N75" s="1254">
        <f>D77</f>
        <v>0</v>
      </c>
      <c r="O75" s="1786" t="str">
        <f>E77</f>
        <v>差额计税</v>
      </c>
      <c r="P75" s="1255">
        <f>F77</f>
        <v>0.01</v>
      </c>
      <c r="Q75" s="1911"/>
      <c r="R75" s="1911"/>
      <c r="S75" s="1911"/>
      <c r="T75" s="1911"/>
      <c r="U75" s="1911"/>
      <c r="V75" s="1911"/>
    </row>
    <row r="76" spans="1:22" ht="24.75">
      <c r="A76" s="357" t="s">
        <v>395</v>
      </c>
      <c r="B76" s="4045" t="s">
        <v>418</v>
      </c>
      <c r="C76" s="4087"/>
      <c r="D76" s="360">
        <f ca="1">IF(H76="转让取得",C99,C115)</f>
        <v>1119</v>
      </c>
      <c r="E76" s="17" t="s">
        <v>419</v>
      </c>
      <c r="F76" s="53" t="s">
        <v>21</v>
      </c>
      <c r="G76" s="359"/>
      <c r="H76" s="361"/>
      <c r="I76" s="42"/>
      <c r="J76" s="1918"/>
      <c r="K76" s="2758" t="str">
        <f>IF(项目基本情况!K6="上海银行",IF(K75="",4,K75+1),"")</f>
        <v/>
      </c>
      <c r="L76" s="4041" t="str">
        <f>IF(项目基本情况!K6="上海银行","其他处置费用","")</f>
        <v/>
      </c>
      <c r="M76" s="4042"/>
      <c r="N76" s="1250" t="str">
        <f>IF(项目基本情况!K6="上海银行",N89,"")</f>
        <v/>
      </c>
      <c r="O76" s="4043" t="str">
        <f>IF(项目基本情况!K6="上海银行","包含处置中涉及的律师、诉讼、拍卖、评估等费用","")</f>
        <v/>
      </c>
      <c r="P76" s="4044"/>
      <c r="Q76" s="1911"/>
      <c r="R76" s="1911"/>
      <c r="S76" s="1911"/>
      <c r="T76" s="1911"/>
      <c r="U76" s="1911"/>
      <c r="V76" s="1911"/>
    </row>
    <row r="77" spans="1:22" ht="24.75" thickBot="1">
      <c r="A77" s="4056" t="s">
        <v>421</v>
      </c>
      <c r="B77" s="4057"/>
      <c r="C77" s="4057"/>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4052">
        <f>IF(AND(K75="",K76=""),4,IF(项目基本情况!K6="上海银行",K76+1,K75+1))</f>
        <v>5</v>
      </c>
      <c r="L77" s="4030" t="s">
        <v>2864</v>
      </c>
      <c r="M77" s="2763" t="s">
        <v>417</v>
      </c>
      <c r="N77" s="1256"/>
      <c r="O77" s="1257">
        <f ca="1">SUMIF(N72:N76,"&lt;9e307")</f>
        <v>1120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4052"/>
      <c r="L78" s="4030"/>
      <c r="M78" s="2763" t="s">
        <v>420</v>
      </c>
      <c r="N78" s="1256"/>
      <c r="O78" s="1257" t="str">
        <f ca="1">NUMBERSTRING(INT(O77*10000),2)&amp;"元整"</f>
        <v>壹仟壹佰贰拾万元整</v>
      </c>
      <c r="P78" s="1258"/>
      <c r="Q78" s="1911"/>
      <c r="R78" s="1911"/>
      <c r="S78" s="1911"/>
      <c r="T78" s="1911"/>
      <c r="U78" s="1911"/>
      <c r="V78" s="1911"/>
    </row>
    <row r="79" spans="1:22" ht="13.5" thickBot="1">
      <c r="A79" s="4107" t="s">
        <v>422</v>
      </c>
      <c r="B79" s="4107"/>
      <c r="C79" s="4107"/>
      <c r="D79" s="4107"/>
      <c r="E79" s="4107"/>
      <c r="F79" s="42"/>
      <c r="G79" s="42"/>
      <c r="H79" s="991"/>
      <c r="I79" s="309"/>
      <c r="J79" s="1918"/>
      <c r="K79" s="4028">
        <f>K77+1</f>
        <v>6</v>
      </c>
      <c r="L79" s="4030" t="s">
        <v>2865</v>
      </c>
      <c r="M79" s="2763" t="s">
        <v>417</v>
      </c>
      <c r="N79" s="1256"/>
      <c r="O79" s="1257" t="e">
        <f ca="1">N69-O77</f>
        <v>#VALUE!</v>
      </c>
      <c r="P79" s="1258"/>
      <c r="Q79" s="1911"/>
      <c r="R79" s="1911"/>
      <c r="S79" s="1911"/>
      <c r="T79" s="1911"/>
      <c r="U79" s="1911"/>
      <c r="V79" s="1911"/>
    </row>
    <row r="80" spans="1:22" ht="12.75">
      <c r="A80" s="4038" t="s">
        <v>423</v>
      </c>
      <c r="B80" s="4039"/>
      <c r="C80" s="982"/>
      <c r="D80" s="982" t="s">
        <v>424</v>
      </c>
      <c r="E80" s="364" t="s">
        <v>425</v>
      </c>
      <c r="F80" s="42"/>
      <c r="G80" s="42"/>
      <c r="H80" s="991"/>
      <c r="I80" s="309"/>
      <c r="J80" s="1911"/>
      <c r="K80" s="4029"/>
      <c r="L80" s="403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1879</v>
      </c>
      <c r="D81" s="367"/>
      <c r="E81" s="368"/>
      <c r="F81" s="42"/>
      <c r="G81" s="42"/>
      <c r="H81" s="991"/>
      <c r="I81" s="309"/>
      <c r="J81" s="1911"/>
      <c r="K81" s="2758">
        <f>K79+1</f>
        <v>7</v>
      </c>
      <c r="L81" s="4050" t="s">
        <v>2866</v>
      </c>
      <c r="M81" s="4051"/>
      <c r="N81" s="1260"/>
      <c r="O81" s="1261" t="e">
        <f ca="1">ROUND(O79*10000/'数据-汇总表'!E3,0)</f>
        <v>#VALUE!</v>
      </c>
      <c r="P81" s="1262"/>
      <c r="Q81" s="1911"/>
      <c r="R81" s="1911"/>
      <c r="S81" s="1911"/>
      <c r="T81" s="1911"/>
      <c r="U81" s="1911"/>
      <c r="V81" s="1911"/>
    </row>
    <row r="82" spans="1:26" ht="13.5" thickTop="1">
      <c r="A82" s="369" t="s">
        <v>1815</v>
      </c>
      <c r="B82" s="370" t="s">
        <v>427</v>
      </c>
      <c r="C82" s="371">
        <f ca="1">D63</f>
        <v>1973</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4040"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4040"/>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1879</v>
      </c>
      <c r="D85" s="372" t="s">
        <v>19</v>
      </c>
      <c r="E85" s="373"/>
      <c r="F85" s="42"/>
      <c r="G85" s="42"/>
      <c r="H85" s="991"/>
      <c r="I85" s="309"/>
      <c r="J85" s="1911"/>
      <c r="K85" s="4040"/>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103</v>
      </c>
      <c r="D86" s="383">
        <f>'数据-取费表'!B41</f>
        <v>5.5000000000000007E-2</v>
      </c>
      <c r="E86" s="384"/>
      <c r="F86" s="42"/>
      <c r="G86" s="42"/>
      <c r="H86" s="991"/>
      <c r="I86" s="309"/>
      <c r="J86" s="1911"/>
      <c r="K86" s="4040"/>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4040"/>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4079" t="s">
        <v>432</v>
      </c>
      <c r="B88" s="4080"/>
      <c r="C88" s="4080"/>
      <c r="D88" s="4080"/>
      <c r="E88" s="4080"/>
      <c r="F88" s="4080"/>
      <c r="G88" s="4080"/>
      <c r="H88" s="4080"/>
      <c r="I88" s="1269"/>
      <c r="J88" s="1919"/>
      <c r="K88" s="4040"/>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4038" t="s">
        <v>423</v>
      </c>
      <c r="B89" s="4039"/>
      <c r="C89" s="982"/>
      <c r="D89" s="982" t="s">
        <v>424</v>
      </c>
      <c r="E89" s="385" t="s">
        <v>433</v>
      </c>
      <c r="F89" s="386"/>
      <c r="G89" s="386"/>
      <c r="H89" s="387"/>
      <c r="I89" s="1270"/>
      <c r="J89" s="1921"/>
      <c r="K89" s="4040"/>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1879</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4076" t="s">
        <v>441</v>
      </c>
      <c r="F94" s="4077"/>
      <c r="G94" s="4077"/>
      <c r="H94" s="4078"/>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9</v>
      </c>
      <c r="D96" s="400">
        <f>'数据-取费表'!B43</f>
        <v>5.000000000000001E-3</v>
      </c>
      <c r="E96" s="4035" t="s">
        <v>2413</v>
      </c>
      <c r="F96" s="4036"/>
      <c r="G96" s="4036"/>
      <c r="H96" s="4037"/>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1870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207.77777777777777</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1119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4079" t="s">
        <v>448</v>
      </c>
      <c r="B101" s="4080"/>
      <c r="C101" s="4080"/>
      <c r="D101" s="4080"/>
      <c r="E101" s="4080"/>
      <c r="F101" s="4080"/>
      <c r="G101" s="4080"/>
      <c r="H101" s="4080"/>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4038" t="s">
        <v>423</v>
      </c>
      <c r="B102" s="403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1879</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4091" t="s">
        <v>2959</v>
      </c>
      <c r="H108" s="4092"/>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4069" t="s">
        <v>456</v>
      </c>
      <c r="F109" s="4036"/>
      <c r="G109" s="4036"/>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4069" t="s">
        <v>458</v>
      </c>
      <c r="F110" s="4036"/>
      <c r="G110" s="4036"/>
      <c r="H110" s="4037"/>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9</v>
      </c>
      <c r="D111" s="400">
        <f>'数据-取费表'!B43</f>
        <v>5.000000000000001E-3</v>
      </c>
      <c r="E111" s="4035" t="s">
        <v>2413</v>
      </c>
      <c r="F111" s="4036"/>
      <c r="G111" s="4036"/>
      <c r="H111" s="4037"/>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4069" t="s">
        <v>2436</v>
      </c>
      <c r="F112" s="4036"/>
      <c r="G112" s="4036"/>
      <c r="H112" s="4037"/>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1870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207.77777777777777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1119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"100%,80%,60%,64%"</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dimension ref="A1:L17"/>
  <sheetViews>
    <sheetView topLeftCell="F1" workbookViewId="0">
      <selection activeCell="L15" sqref="L15"/>
    </sheetView>
  </sheetViews>
  <sheetFormatPr defaultColWidth="8.875" defaultRowHeight="13.5"/>
  <cols>
    <col min="1" max="4" width="8.875" style="3284"/>
    <col min="5" max="5" width="13.375" style="3284" customWidth="1"/>
    <col min="6" max="10" width="8.875" style="3284"/>
    <col min="11" max="11" width="9.625" style="3284" bestFit="1" customWidth="1"/>
    <col min="12" max="260" width="8.875" style="3284"/>
    <col min="261" max="261" width="13.375" style="3284" customWidth="1"/>
    <col min="262" max="266" width="8.875" style="3284"/>
    <col min="267" max="267" width="9.625" style="3284" bestFit="1" customWidth="1"/>
    <col min="268" max="516" width="8.875" style="3284"/>
    <col min="517" max="517" width="13.375" style="3284" customWidth="1"/>
    <col min="518" max="522" width="8.875" style="3284"/>
    <col min="523" max="523" width="9.625" style="3284" bestFit="1" customWidth="1"/>
    <col min="524" max="772" width="8.875" style="3284"/>
    <col min="773" max="773" width="13.375" style="3284" customWidth="1"/>
    <col min="774" max="778" width="8.875" style="3284"/>
    <col min="779" max="779" width="9.625" style="3284" bestFit="1" customWidth="1"/>
    <col min="780" max="1028" width="8.875" style="3284"/>
    <col min="1029" max="1029" width="13.375" style="3284" customWidth="1"/>
    <col min="1030" max="1034" width="8.875" style="3284"/>
    <col min="1035" max="1035" width="9.625" style="3284" bestFit="1" customWidth="1"/>
    <col min="1036" max="1284" width="8.875" style="3284"/>
    <col min="1285" max="1285" width="13.375" style="3284" customWidth="1"/>
    <col min="1286" max="1290" width="8.875" style="3284"/>
    <col min="1291" max="1291" width="9.625" style="3284" bestFit="1" customWidth="1"/>
    <col min="1292" max="1540" width="8.875" style="3284"/>
    <col min="1541" max="1541" width="13.375" style="3284" customWidth="1"/>
    <col min="1542" max="1546" width="8.875" style="3284"/>
    <col min="1547" max="1547" width="9.625" style="3284" bestFit="1" customWidth="1"/>
    <col min="1548" max="1796" width="8.875" style="3284"/>
    <col min="1797" max="1797" width="13.375" style="3284" customWidth="1"/>
    <col min="1798" max="1802" width="8.875" style="3284"/>
    <col min="1803" max="1803" width="9.625" style="3284" bestFit="1" customWidth="1"/>
    <col min="1804" max="2052" width="8.875" style="3284"/>
    <col min="2053" max="2053" width="13.375" style="3284" customWidth="1"/>
    <col min="2054" max="2058" width="8.875" style="3284"/>
    <col min="2059" max="2059" width="9.625" style="3284" bestFit="1" customWidth="1"/>
    <col min="2060" max="2308" width="8.875" style="3284"/>
    <col min="2309" max="2309" width="13.375" style="3284" customWidth="1"/>
    <col min="2310" max="2314" width="8.875" style="3284"/>
    <col min="2315" max="2315" width="9.625" style="3284" bestFit="1" customWidth="1"/>
    <col min="2316" max="2564" width="8.875" style="3284"/>
    <col min="2565" max="2565" width="13.375" style="3284" customWidth="1"/>
    <col min="2566" max="2570" width="8.875" style="3284"/>
    <col min="2571" max="2571" width="9.625" style="3284" bestFit="1" customWidth="1"/>
    <col min="2572" max="2820" width="8.875" style="3284"/>
    <col min="2821" max="2821" width="13.375" style="3284" customWidth="1"/>
    <col min="2822" max="2826" width="8.875" style="3284"/>
    <col min="2827" max="2827" width="9.625" style="3284" bestFit="1" customWidth="1"/>
    <col min="2828" max="3076" width="8.875" style="3284"/>
    <col min="3077" max="3077" width="13.375" style="3284" customWidth="1"/>
    <col min="3078" max="3082" width="8.875" style="3284"/>
    <col min="3083" max="3083" width="9.625" style="3284" bestFit="1" customWidth="1"/>
    <col min="3084" max="3332" width="8.875" style="3284"/>
    <col min="3333" max="3333" width="13.375" style="3284" customWidth="1"/>
    <col min="3334" max="3338" width="8.875" style="3284"/>
    <col min="3339" max="3339" width="9.625" style="3284" bestFit="1" customWidth="1"/>
    <col min="3340" max="3588" width="8.875" style="3284"/>
    <col min="3589" max="3589" width="13.375" style="3284" customWidth="1"/>
    <col min="3590" max="3594" width="8.875" style="3284"/>
    <col min="3595" max="3595" width="9.625" style="3284" bestFit="1" customWidth="1"/>
    <col min="3596" max="3844" width="8.875" style="3284"/>
    <col min="3845" max="3845" width="13.375" style="3284" customWidth="1"/>
    <col min="3846" max="3850" width="8.875" style="3284"/>
    <col min="3851" max="3851" width="9.625" style="3284" bestFit="1" customWidth="1"/>
    <col min="3852" max="4100" width="8.875" style="3284"/>
    <col min="4101" max="4101" width="13.375" style="3284" customWidth="1"/>
    <col min="4102" max="4106" width="8.875" style="3284"/>
    <col min="4107" max="4107" width="9.625" style="3284" bestFit="1" customWidth="1"/>
    <col min="4108" max="4356" width="8.875" style="3284"/>
    <col min="4357" max="4357" width="13.375" style="3284" customWidth="1"/>
    <col min="4358" max="4362" width="8.875" style="3284"/>
    <col min="4363" max="4363" width="9.625" style="3284" bestFit="1" customWidth="1"/>
    <col min="4364" max="4612" width="8.875" style="3284"/>
    <col min="4613" max="4613" width="13.375" style="3284" customWidth="1"/>
    <col min="4614" max="4618" width="8.875" style="3284"/>
    <col min="4619" max="4619" width="9.625" style="3284" bestFit="1" customWidth="1"/>
    <col min="4620" max="4868" width="8.875" style="3284"/>
    <col min="4869" max="4869" width="13.375" style="3284" customWidth="1"/>
    <col min="4870" max="4874" width="8.875" style="3284"/>
    <col min="4875" max="4875" width="9.625" style="3284" bestFit="1" customWidth="1"/>
    <col min="4876" max="5124" width="8.875" style="3284"/>
    <col min="5125" max="5125" width="13.375" style="3284" customWidth="1"/>
    <col min="5126" max="5130" width="8.875" style="3284"/>
    <col min="5131" max="5131" width="9.625" style="3284" bestFit="1" customWidth="1"/>
    <col min="5132" max="5380" width="8.875" style="3284"/>
    <col min="5381" max="5381" width="13.375" style="3284" customWidth="1"/>
    <col min="5382" max="5386" width="8.875" style="3284"/>
    <col min="5387" max="5387" width="9.625" style="3284" bestFit="1" customWidth="1"/>
    <col min="5388" max="5636" width="8.875" style="3284"/>
    <col min="5637" max="5637" width="13.375" style="3284" customWidth="1"/>
    <col min="5638" max="5642" width="8.875" style="3284"/>
    <col min="5643" max="5643" width="9.625" style="3284" bestFit="1" customWidth="1"/>
    <col min="5644" max="5892" width="8.875" style="3284"/>
    <col min="5893" max="5893" width="13.375" style="3284" customWidth="1"/>
    <col min="5894" max="5898" width="8.875" style="3284"/>
    <col min="5899" max="5899" width="9.625" style="3284" bestFit="1" customWidth="1"/>
    <col min="5900" max="6148" width="8.875" style="3284"/>
    <col min="6149" max="6149" width="13.375" style="3284" customWidth="1"/>
    <col min="6150" max="6154" width="8.875" style="3284"/>
    <col min="6155" max="6155" width="9.625" style="3284" bestFit="1" customWidth="1"/>
    <col min="6156" max="6404" width="8.875" style="3284"/>
    <col min="6405" max="6405" width="13.375" style="3284" customWidth="1"/>
    <col min="6406" max="6410" width="8.875" style="3284"/>
    <col min="6411" max="6411" width="9.625" style="3284" bestFit="1" customWidth="1"/>
    <col min="6412" max="6660" width="8.875" style="3284"/>
    <col min="6661" max="6661" width="13.375" style="3284" customWidth="1"/>
    <col min="6662" max="6666" width="8.875" style="3284"/>
    <col min="6667" max="6667" width="9.625" style="3284" bestFit="1" customWidth="1"/>
    <col min="6668" max="6916" width="8.875" style="3284"/>
    <col min="6917" max="6917" width="13.375" style="3284" customWidth="1"/>
    <col min="6918" max="6922" width="8.875" style="3284"/>
    <col min="6923" max="6923" width="9.625" style="3284" bestFit="1" customWidth="1"/>
    <col min="6924" max="7172" width="8.875" style="3284"/>
    <col min="7173" max="7173" width="13.375" style="3284" customWidth="1"/>
    <col min="7174" max="7178" width="8.875" style="3284"/>
    <col min="7179" max="7179" width="9.625" style="3284" bestFit="1" customWidth="1"/>
    <col min="7180" max="7428" width="8.875" style="3284"/>
    <col min="7429" max="7429" width="13.375" style="3284" customWidth="1"/>
    <col min="7430" max="7434" width="8.875" style="3284"/>
    <col min="7435" max="7435" width="9.625" style="3284" bestFit="1" customWidth="1"/>
    <col min="7436" max="7684" width="8.875" style="3284"/>
    <col min="7685" max="7685" width="13.375" style="3284" customWidth="1"/>
    <col min="7686" max="7690" width="8.875" style="3284"/>
    <col min="7691" max="7691" width="9.625" style="3284" bestFit="1" customWidth="1"/>
    <col min="7692" max="7940" width="8.875" style="3284"/>
    <col min="7941" max="7941" width="13.375" style="3284" customWidth="1"/>
    <col min="7942" max="7946" width="8.875" style="3284"/>
    <col min="7947" max="7947" width="9.625" style="3284" bestFit="1" customWidth="1"/>
    <col min="7948" max="8196" width="8.875" style="3284"/>
    <col min="8197" max="8197" width="13.375" style="3284" customWidth="1"/>
    <col min="8198" max="8202" width="8.875" style="3284"/>
    <col min="8203" max="8203" width="9.625" style="3284" bestFit="1" customWidth="1"/>
    <col min="8204" max="8452" width="8.875" style="3284"/>
    <col min="8453" max="8453" width="13.375" style="3284" customWidth="1"/>
    <col min="8454" max="8458" width="8.875" style="3284"/>
    <col min="8459" max="8459" width="9.625" style="3284" bestFit="1" customWidth="1"/>
    <col min="8460" max="8708" width="8.875" style="3284"/>
    <col min="8709" max="8709" width="13.375" style="3284" customWidth="1"/>
    <col min="8710" max="8714" width="8.875" style="3284"/>
    <col min="8715" max="8715" width="9.625" style="3284" bestFit="1" customWidth="1"/>
    <col min="8716" max="8964" width="8.875" style="3284"/>
    <col min="8965" max="8965" width="13.375" style="3284" customWidth="1"/>
    <col min="8966" max="8970" width="8.875" style="3284"/>
    <col min="8971" max="8971" width="9.625" style="3284" bestFit="1" customWidth="1"/>
    <col min="8972" max="9220" width="8.875" style="3284"/>
    <col min="9221" max="9221" width="13.375" style="3284" customWidth="1"/>
    <col min="9222" max="9226" width="8.875" style="3284"/>
    <col min="9227" max="9227" width="9.625" style="3284" bestFit="1" customWidth="1"/>
    <col min="9228" max="9476" width="8.875" style="3284"/>
    <col min="9477" max="9477" width="13.375" style="3284" customWidth="1"/>
    <col min="9478" max="9482" width="8.875" style="3284"/>
    <col min="9483" max="9483" width="9.625" style="3284" bestFit="1" customWidth="1"/>
    <col min="9484" max="9732" width="8.875" style="3284"/>
    <col min="9733" max="9733" width="13.375" style="3284" customWidth="1"/>
    <col min="9734" max="9738" width="8.875" style="3284"/>
    <col min="9739" max="9739" width="9.625" style="3284" bestFit="1" customWidth="1"/>
    <col min="9740" max="9988" width="8.875" style="3284"/>
    <col min="9989" max="9989" width="13.375" style="3284" customWidth="1"/>
    <col min="9990" max="9994" width="8.875" style="3284"/>
    <col min="9995" max="9995" width="9.625" style="3284" bestFit="1" customWidth="1"/>
    <col min="9996" max="10244" width="8.875" style="3284"/>
    <col min="10245" max="10245" width="13.375" style="3284" customWidth="1"/>
    <col min="10246" max="10250" width="8.875" style="3284"/>
    <col min="10251" max="10251" width="9.625" style="3284" bestFit="1" customWidth="1"/>
    <col min="10252" max="10500" width="8.875" style="3284"/>
    <col min="10501" max="10501" width="13.375" style="3284" customWidth="1"/>
    <col min="10502" max="10506" width="8.875" style="3284"/>
    <col min="10507" max="10507" width="9.625" style="3284" bestFit="1" customWidth="1"/>
    <col min="10508" max="10756" width="8.875" style="3284"/>
    <col min="10757" max="10757" width="13.375" style="3284" customWidth="1"/>
    <col min="10758" max="10762" width="8.875" style="3284"/>
    <col min="10763" max="10763" width="9.625" style="3284" bestFit="1" customWidth="1"/>
    <col min="10764" max="11012" width="8.875" style="3284"/>
    <col min="11013" max="11013" width="13.375" style="3284" customWidth="1"/>
    <col min="11014" max="11018" width="8.875" style="3284"/>
    <col min="11019" max="11019" width="9.625" style="3284" bestFit="1" customWidth="1"/>
    <col min="11020" max="11268" width="8.875" style="3284"/>
    <col min="11269" max="11269" width="13.375" style="3284" customWidth="1"/>
    <col min="11270" max="11274" width="8.875" style="3284"/>
    <col min="11275" max="11275" width="9.625" style="3284" bestFit="1" customWidth="1"/>
    <col min="11276" max="11524" width="8.875" style="3284"/>
    <col min="11525" max="11525" width="13.375" style="3284" customWidth="1"/>
    <col min="11526" max="11530" width="8.875" style="3284"/>
    <col min="11531" max="11531" width="9.625" style="3284" bestFit="1" customWidth="1"/>
    <col min="11532" max="11780" width="8.875" style="3284"/>
    <col min="11781" max="11781" width="13.375" style="3284" customWidth="1"/>
    <col min="11782" max="11786" width="8.875" style="3284"/>
    <col min="11787" max="11787" width="9.625" style="3284" bestFit="1" customWidth="1"/>
    <col min="11788" max="12036" width="8.875" style="3284"/>
    <col min="12037" max="12037" width="13.375" style="3284" customWidth="1"/>
    <col min="12038" max="12042" width="8.875" style="3284"/>
    <col min="12043" max="12043" width="9.625" style="3284" bestFit="1" customWidth="1"/>
    <col min="12044" max="12292" width="8.875" style="3284"/>
    <col min="12293" max="12293" width="13.375" style="3284" customWidth="1"/>
    <col min="12294" max="12298" width="8.875" style="3284"/>
    <col min="12299" max="12299" width="9.625" style="3284" bestFit="1" customWidth="1"/>
    <col min="12300" max="12548" width="8.875" style="3284"/>
    <col min="12549" max="12549" width="13.375" style="3284" customWidth="1"/>
    <col min="12550" max="12554" width="8.875" style="3284"/>
    <col min="12555" max="12555" width="9.625" style="3284" bestFit="1" customWidth="1"/>
    <col min="12556" max="12804" width="8.875" style="3284"/>
    <col min="12805" max="12805" width="13.375" style="3284" customWidth="1"/>
    <col min="12806" max="12810" width="8.875" style="3284"/>
    <col min="12811" max="12811" width="9.625" style="3284" bestFit="1" customWidth="1"/>
    <col min="12812" max="13060" width="8.875" style="3284"/>
    <col min="13061" max="13061" width="13.375" style="3284" customWidth="1"/>
    <col min="13062" max="13066" width="8.875" style="3284"/>
    <col min="13067" max="13067" width="9.625" style="3284" bestFit="1" customWidth="1"/>
    <col min="13068" max="13316" width="8.875" style="3284"/>
    <col min="13317" max="13317" width="13.375" style="3284" customWidth="1"/>
    <col min="13318" max="13322" width="8.875" style="3284"/>
    <col min="13323" max="13323" width="9.625" style="3284" bestFit="1" customWidth="1"/>
    <col min="13324" max="13572" width="8.875" style="3284"/>
    <col min="13573" max="13573" width="13.375" style="3284" customWidth="1"/>
    <col min="13574" max="13578" width="8.875" style="3284"/>
    <col min="13579" max="13579" width="9.625" style="3284" bestFit="1" customWidth="1"/>
    <col min="13580" max="13828" width="8.875" style="3284"/>
    <col min="13829" max="13829" width="13.375" style="3284" customWidth="1"/>
    <col min="13830" max="13834" width="8.875" style="3284"/>
    <col min="13835" max="13835" width="9.625" style="3284" bestFit="1" customWidth="1"/>
    <col min="13836" max="14084" width="8.875" style="3284"/>
    <col min="14085" max="14085" width="13.375" style="3284" customWidth="1"/>
    <col min="14086" max="14090" width="8.875" style="3284"/>
    <col min="14091" max="14091" width="9.625" style="3284" bestFit="1" customWidth="1"/>
    <col min="14092" max="14340" width="8.875" style="3284"/>
    <col min="14341" max="14341" width="13.375" style="3284" customWidth="1"/>
    <col min="14342" max="14346" width="8.875" style="3284"/>
    <col min="14347" max="14347" width="9.625" style="3284" bestFit="1" customWidth="1"/>
    <col min="14348" max="14596" width="8.875" style="3284"/>
    <col min="14597" max="14597" width="13.375" style="3284" customWidth="1"/>
    <col min="14598" max="14602" width="8.875" style="3284"/>
    <col min="14603" max="14603" width="9.625" style="3284" bestFit="1" customWidth="1"/>
    <col min="14604" max="14852" width="8.875" style="3284"/>
    <col min="14853" max="14853" width="13.375" style="3284" customWidth="1"/>
    <col min="14854" max="14858" width="8.875" style="3284"/>
    <col min="14859" max="14859" width="9.625" style="3284" bestFit="1" customWidth="1"/>
    <col min="14860" max="15108" width="8.875" style="3284"/>
    <col min="15109" max="15109" width="13.375" style="3284" customWidth="1"/>
    <col min="15110" max="15114" width="8.875" style="3284"/>
    <col min="15115" max="15115" width="9.625" style="3284" bestFit="1" customWidth="1"/>
    <col min="15116" max="15364" width="8.875" style="3284"/>
    <col min="15365" max="15365" width="13.375" style="3284" customWidth="1"/>
    <col min="15366" max="15370" width="8.875" style="3284"/>
    <col min="15371" max="15371" width="9.625" style="3284" bestFit="1" customWidth="1"/>
    <col min="15372" max="15620" width="8.875" style="3284"/>
    <col min="15621" max="15621" width="13.375" style="3284" customWidth="1"/>
    <col min="15622" max="15626" width="8.875" style="3284"/>
    <col min="15627" max="15627" width="9.625" style="3284" bestFit="1" customWidth="1"/>
    <col min="15628" max="15876" width="8.875" style="3284"/>
    <col min="15877" max="15877" width="13.375" style="3284" customWidth="1"/>
    <col min="15878" max="15882" width="8.875" style="3284"/>
    <col min="15883" max="15883" width="9.625" style="3284" bestFit="1" customWidth="1"/>
    <col min="15884" max="16132" width="8.875" style="3284"/>
    <col min="16133" max="16133" width="13.375" style="3284" customWidth="1"/>
    <col min="16134" max="16138" width="8.875" style="3284"/>
    <col min="16139" max="16139" width="9.625" style="3284" bestFit="1" customWidth="1"/>
    <col min="16140" max="16384" width="8.875" style="3284"/>
  </cols>
  <sheetData>
    <row r="1" spans="1:12" ht="14.25" thickBot="1">
      <c r="A1" s="4113" t="s">
        <v>2360</v>
      </c>
      <c r="B1" s="4114" t="s">
        <v>2019</v>
      </c>
      <c r="C1" s="3323" t="s">
        <v>3177</v>
      </c>
      <c r="D1" s="4114" t="s">
        <v>3178</v>
      </c>
      <c r="E1" s="4114" t="s">
        <v>3179</v>
      </c>
      <c r="F1" s="3323" t="s">
        <v>3180</v>
      </c>
      <c r="G1" s="4114" t="s">
        <v>3181</v>
      </c>
      <c r="H1" s="4114" t="s">
        <v>3182</v>
      </c>
      <c r="I1" s="4111" t="s">
        <v>3183</v>
      </c>
    </row>
    <row r="2" spans="1:12" ht="14.25" thickBot="1">
      <c r="A2" s="4113"/>
      <c r="B2" s="4114"/>
      <c r="C2" s="3324" t="s">
        <v>3184</v>
      </c>
      <c r="D2" s="4114"/>
      <c r="E2" s="4114"/>
      <c r="F2" s="3324" t="s">
        <v>3185</v>
      </c>
      <c r="G2" s="4114"/>
      <c r="H2" s="4114"/>
      <c r="I2" s="4111"/>
    </row>
    <row r="3" spans="1:12" ht="14.25" thickBot="1">
      <c r="A3" s="4113"/>
      <c r="B3" s="4114"/>
      <c r="C3" s="3325" t="s">
        <v>3186</v>
      </c>
      <c r="D3" s="4114"/>
      <c r="E3" s="4114"/>
      <c r="F3" s="3326"/>
      <c r="G3" s="4114"/>
      <c r="H3" s="4114"/>
      <c r="I3" s="4111"/>
    </row>
    <row r="4" spans="1:12" ht="57" thickBot="1">
      <c r="A4" s="3327">
        <v>1</v>
      </c>
      <c r="B4" s="3328" t="s">
        <v>3187</v>
      </c>
      <c r="C4" s="3328">
        <v>166468</v>
      </c>
      <c r="D4" s="3328" t="s">
        <v>3188</v>
      </c>
      <c r="E4" s="3329">
        <v>43637</v>
      </c>
      <c r="F4" s="3328">
        <v>363600</v>
      </c>
      <c r="G4" s="3328">
        <v>317726.36910000001</v>
      </c>
      <c r="H4" s="3328">
        <v>45873.630899999996</v>
      </c>
      <c r="I4" s="3330">
        <v>0.12619999999999998</v>
      </c>
    </row>
    <row r="5" spans="1:12" ht="90.75" thickBot="1">
      <c r="A5" s="3327">
        <v>2</v>
      </c>
      <c r="B5" s="3328" t="s">
        <v>3189</v>
      </c>
      <c r="C5" s="3328">
        <v>68836</v>
      </c>
      <c r="D5" s="3328" t="s">
        <v>3190</v>
      </c>
      <c r="E5" s="3329">
        <v>43818</v>
      </c>
      <c r="F5" s="3328">
        <v>161000</v>
      </c>
      <c r="G5" s="3328">
        <v>140840.39000000001</v>
      </c>
      <c r="H5" s="3328">
        <v>20159.61</v>
      </c>
      <c r="I5" s="3330">
        <v>0.12520000000000001</v>
      </c>
      <c r="K5" s="3331">
        <f>(I4+I5+I8+I7)/4</f>
        <v>0.153225</v>
      </c>
    </row>
    <row r="6" spans="1:12" ht="79.5" thickBot="1">
      <c r="A6" s="3332">
        <v>3</v>
      </c>
      <c r="B6" s="3333" t="s">
        <v>3191</v>
      </c>
      <c r="C6" s="3333">
        <v>83198</v>
      </c>
      <c r="D6" s="3333" t="s">
        <v>3192</v>
      </c>
      <c r="E6" s="3334">
        <v>43731</v>
      </c>
      <c r="F6" s="3333">
        <v>85861.176900000006</v>
      </c>
      <c r="G6" s="3333">
        <v>12196.42</v>
      </c>
      <c r="H6" s="3333">
        <v>73664.756899999993</v>
      </c>
      <c r="I6" s="3335">
        <v>0.85799999999999998</v>
      </c>
    </row>
    <row r="7" spans="1:12" ht="68.25" thickBot="1">
      <c r="A7" s="3327">
        <v>4</v>
      </c>
      <c r="B7" s="3328" t="s">
        <v>3193</v>
      </c>
      <c r="C7" s="3328">
        <v>67633</v>
      </c>
      <c r="D7" s="3328" t="s">
        <v>3194</v>
      </c>
      <c r="E7" s="3329">
        <v>43493</v>
      </c>
      <c r="F7" s="3328">
        <v>79200</v>
      </c>
      <c r="G7" s="3328">
        <v>64607.199999999997</v>
      </c>
      <c r="H7" s="3328">
        <v>14592.8</v>
      </c>
      <c r="I7" s="3330">
        <v>0.18429999999999999</v>
      </c>
    </row>
    <row r="8" spans="1:12" ht="45.75" thickBot="1">
      <c r="A8" s="3327">
        <v>5</v>
      </c>
      <c r="B8" s="3328" t="s">
        <v>3195</v>
      </c>
      <c r="C8" s="3328">
        <v>176111</v>
      </c>
      <c r="D8" s="3328" t="s">
        <v>3196</v>
      </c>
      <c r="E8" s="3329">
        <v>43458</v>
      </c>
      <c r="F8" s="3328">
        <v>255500</v>
      </c>
      <c r="G8" s="3328">
        <v>210234.44339999999</v>
      </c>
      <c r="H8" s="3328">
        <v>45265.556600000004</v>
      </c>
      <c r="I8" s="3330">
        <v>0.1772</v>
      </c>
      <c r="L8" s="3346">
        <v>0.12</v>
      </c>
    </row>
    <row r="9" spans="1:12" ht="14.25" thickBot="1">
      <c r="A9" s="4112" t="s">
        <v>3197</v>
      </c>
      <c r="B9" s="4112"/>
      <c r="C9" s="4112"/>
      <c r="D9" s="4112"/>
      <c r="E9" s="4112"/>
      <c r="F9" s="4112"/>
      <c r="G9" s="4112"/>
      <c r="H9" s="4112"/>
      <c r="I9" s="3330">
        <v>0.29420000000000002</v>
      </c>
    </row>
    <row r="11" spans="1:12" ht="14.25" thickBot="1"/>
    <row r="12" spans="1:12" ht="51.75" thickBot="1">
      <c r="A12" s="3885" t="s">
        <v>2360</v>
      </c>
      <c r="B12" s="3886" t="s">
        <v>2019</v>
      </c>
      <c r="C12" s="3886" t="s">
        <v>4256</v>
      </c>
      <c r="D12" s="3886" t="s">
        <v>3178</v>
      </c>
      <c r="E12" s="3886" t="s">
        <v>2021</v>
      </c>
      <c r="F12" s="3886" t="s">
        <v>3179</v>
      </c>
      <c r="G12" s="3886" t="s">
        <v>4257</v>
      </c>
      <c r="H12" s="3886" t="s">
        <v>3181</v>
      </c>
      <c r="I12" s="3886" t="s">
        <v>3182</v>
      </c>
      <c r="J12" s="3886" t="s">
        <v>4258</v>
      </c>
      <c r="K12" s="3886" t="s">
        <v>4259</v>
      </c>
      <c r="L12" s="3886" t="s">
        <v>4260</v>
      </c>
    </row>
    <row r="13" spans="1:12" ht="78.75" thickBot="1">
      <c r="A13" s="3887">
        <v>1</v>
      </c>
      <c r="B13" s="3888" t="s">
        <v>4261</v>
      </c>
      <c r="C13" s="3889" t="s">
        <v>4262</v>
      </c>
      <c r="D13" s="3888" t="s">
        <v>972</v>
      </c>
      <c r="E13" s="3889">
        <v>1</v>
      </c>
      <c r="F13" s="3890">
        <v>43878</v>
      </c>
      <c r="G13" s="3889">
        <v>2817.03</v>
      </c>
      <c r="H13" s="3889">
        <v>2421</v>
      </c>
      <c r="I13" s="3889">
        <v>396.03</v>
      </c>
      <c r="J13" s="3889">
        <v>932</v>
      </c>
      <c r="K13" s="3889">
        <v>932</v>
      </c>
      <c r="L13" s="3891">
        <v>0.14000000000000001</v>
      </c>
    </row>
    <row r="14" spans="1:12" ht="66" thickBot="1">
      <c r="A14" s="3887">
        <v>2</v>
      </c>
      <c r="B14" s="3888" t="s">
        <v>4263</v>
      </c>
      <c r="C14" s="3889" t="s">
        <v>4264</v>
      </c>
      <c r="D14" s="3888" t="s">
        <v>972</v>
      </c>
      <c r="E14" s="3889">
        <v>1</v>
      </c>
      <c r="F14" s="3890">
        <v>43797</v>
      </c>
      <c r="G14" s="3889">
        <v>3408.24</v>
      </c>
      <c r="H14" s="3889">
        <v>2951.3</v>
      </c>
      <c r="I14" s="3889">
        <v>456.94</v>
      </c>
      <c r="J14" s="3889">
        <v>985</v>
      </c>
      <c r="K14" s="3889">
        <v>985</v>
      </c>
      <c r="L14" s="3891">
        <v>0.13</v>
      </c>
    </row>
    <row r="15" spans="1:12" ht="78" thickBot="1">
      <c r="A15" s="3887">
        <v>3</v>
      </c>
      <c r="B15" s="3888" t="s">
        <v>4265</v>
      </c>
      <c r="C15" s="3889" t="s">
        <v>4266</v>
      </c>
      <c r="D15" s="3888" t="s">
        <v>972</v>
      </c>
      <c r="E15" s="3889">
        <v>1</v>
      </c>
      <c r="F15" s="3890">
        <v>43468</v>
      </c>
      <c r="G15" s="3889">
        <v>1658.02</v>
      </c>
      <c r="H15" s="3889">
        <v>1477.76</v>
      </c>
      <c r="I15" s="3889">
        <v>180.26</v>
      </c>
      <c r="J15" s="3889">
        <v>957</v>
      </c>
      <c r="K15" s="3889">
        <v>957</v>
      </c>
      <c r="L15" s="3891">
        <v>0.11</v>
      </c>
    </row>
    <row r="16" spans="1:12" ht="78" thickBot="1">
      <c r="A16" s="3887">
        <v>4</v>
      </c>
      <c r="B16" s="3888" t="s">
        <v>4267</v>
      </c>
      <c r="C16" s="3889" t="s">
        <v>4266</v>
      </c>
      <c r="D16" s="3888" t="s">
        <v>972</v>
      </c>
      <c r="E16" s="3889">
        <v>1</v>
      </c>
      <c r="F16" s="3890">
        <v>43468</v>
      </c>
      <c r="G16" s="3889">
        <v>1659.76</v>
      </c>
      <c r="H16" s="3889">
        <v>1477.76</v>
      </c>
      <c r="I16" s="3889">
        <v>182</v>
      </c>
      <c r="J16" s="3889">
        <v>958</v>
      </c>
      <c r="K16" s="3889">
        <v>958</v>
      </c>
      <c r="L16" s="3891">
        <v>0.11</v>
      </c>
    </row>
    <row r="17" spans="1:12" ht="14.25" thickBot="1">
      <c r="A17" s="4108" t="s">
        <v>4268</v>
      </c>
      <c r="B17" s="4109"/>
      <c r="C17" s="4109"/>
      <c r="D17" s="4109"/>
      <c r="E17" s="4109"/>
      <c r="F17" s="4109"/>
      <c r="G17" s="4109"/>
      <c r="H17" s="4109"/>
      <c r="I17" s="4109"/>
      <c r="J17" s="4109"/>
      <c r="K17" s="4110"/>
      <c r="L17" s="3891">
        <v>0.12</v>
      </c>
    </row>
  </sheetData>
  <mergeCells count="9">
    <mergeCell ref="A17:K17"/>
    <mergeCell ref="I1:I3"/>
    <mergeCell ref="A9:H9"/>
    <mergeCell ref="A1:A3"/>
    <mergeCell ref="B1:B3"/>
    <mergeCell ref="D1:D3"/>
    <mergeCell ref="E1:E3"/>
    <mergeCell ref="G1:G3"/>
    <mergeCell ref="H1:H3"/>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AR118"/>
  <sheetViews>
    <sheetView view="pageBreakPreview" topLeftCell="A10" zoomScale="80" zoomScaleNormal="60" zoomScaleSheetLayoutView="80" workbookViewId="0">
      <selection activeCell="G20" sqref="G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26088.75</v>
      </c>
      <c r="E1" s="1355" t="s">
        <v>2412</v>
      </c>
      <c r="F1" s="2307">
        <f>'数据-基础表'!A3</f>
        <v>26088.75</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1396</v>
      </c>
      <c r="C2" s="1356" t="s">
        <v>912</v>
      </c>
      <c r="D2" s="1357" t="s">
        <v>913</v>
      </c>
      <c r="E2" s="1358" t="s">
        <v>972</v>
      </c>
      <c r="F2" s="1357" t="s">
        <v>915</v>
      </c>
      <c r="G2" s="1581" t="str">
        <f>IF(E2="商业",项目基本情况!B43,IF(E2="办公",项目基本情况!C43,IF(E2="住宅",项目基本情况!D43,项目基本情况!E43)))</f>
        <v>十二级</v>
      </c>
      <c r="H2" s="1357" t="s">
        <v>917</v>
      </c>
      <c r="I2" s="1582" t="str">
        <f>IF(E2="商业",项目基本情况!B44,IF(E2="办公",项目基本情况!C44,IF(E2="住宅",项目基本情况!D44,项目基本情况!E44)))</f>
        <v>Ⅻ-怀1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1040</v>
      </c>
      <c r="U2" s="2643"/>
      <c r="V2" s="2654">
        <f ca="1">ROUND(T2*U2/10000,0)</f>
        <v>0</v>
      </c>
      <c r="W2" s="2070"/>
      <c r="X2" s="2070"/>
      <c r="Y2" s="2070"/>
      <c r="Z2" s="2070"/>
      <c r="AA2" s="2070"/>
      <c r="AB2" s="2070"/>
      <c r="AC2" s="2071"/>
    </row>
    <row r="3" spans="1:39" ht="15.75">
      <c r="A3" s="1360" t="s">
        <v>1678</v>
      </c>
      <c r="B3" s="1025">
        <f ca="1">ROUND(B2*10000/D1,0)</f>
        <v>535</v>
      </c>
      <c r="C3" s="1356" t="s">
        <v>918</v>
      </c>
      <c r="D3" s="1357" t="s">
        <v>919</v>
      </c>
      <c r="E3" s="1361" t="s">
        <v>3080</v>
      </c>
      <c r="F3" s="1362" t="s">
        <v>3081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685</v>
      </c>
      <c r="U3" s="2643"/>
      <c r="V3" s="2654">
        <f t="shared" ref="V3:V16" ca="1" si="1">ROUND(T3*U3/10000,0)</f>
        <v>0</v>
      </c>
      <c r="W3" s="2070"/>
      <c r="X3" s="2070"/>
      <c r="Y3" s="2070"/>
      <c r="Z3" s="2070"/>
      <c r="AA3" s="2070"/>
      <c r="AB3" s="2070"/>
      <c r="AC3" s="2071"/>
    </row>
    <row r="4" spans="1:39" ht="28.5">
      <c r="A4" s="1805" t="s">
        <v>2268</v>
      </c>
      <c r="B4" s="2308">
        <f ca="1">ROUND(B2*10000/F1,0)</f>
        <v>535</v>
      </c>
      <c r="C4" s="1808" t="s">
        <v>2243</v>
      </c>
      <c r="D4" s="1808">
        <f ca="1">ROUND(B2/(F1/666.67),0)</f>
        <v>36</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539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370</v>
      </c>
      <c r="D5" s="2793">
        <f>ROUND(C6+C16,0)</f>
        <v>370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403</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370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303</v>
      </c>
      <c r="U6" s="2643"/>
      <c r="V6" s="2654">
        <f t="shared" ca="1" si="1"/>
        <v>0</v>
      </c>
      <c r="W6" s="2070"/>
      <c r="X6" s="2070"/>
      <c r="Y6" s="2070"/>
      <c r="Z6" s="2070"/>
      <c r="AA6" s="2070"/>
      <c r="AB6" s="2070"/>
      <c r="AC6" s="2072"/>
      <c r="AD6" s="1368"/>
      <c r="AE6" s="1368"/>
      <c r="AF6" s="1368"/>
      <c r="AG6" s="1368"/>
      <c r="AH6" s="1368"/>
      <c r="AI6" s="1368"/>
      <c r="AJ6" s="1369"/>
    </row>
    <row r="7" spans="1:39" ht="24">
      <c r="A7" s="4116" t="str">
        <f>IF(E2="商业",IF(C8="不临58条商业街","",2),"")</f>
        <v/>
      </c>
      <c r="B7" s="1376" t="s">
        <v>923</v>
      </c>
      <c r="C7" s="1030">
        <f>IF(C8="不临58条商业街",1,ROUND(1+(1.6*E8+1.2*E9+0.8*E10+0.4*E11)*C9,4))</f>
        <v>1</v>
      </c>
      <c r="D7" s="1377" t="s">
        <v>924</v>
      </c>
      <c r="E7" s="1031">
        <v>6</v>
      </c>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242</v>
      </c>
      <c r="U7" s="2643"/>
      <c r="V7" s="2654">
        <f t="shared" ca="1" si="1"/>
        <v>0</v>
      </c>
      <c r="W7" s="2652" t="s">
        <v>2745</v>
      </c>
      <c r="X7" s="2644" t="str">
        <f>G2</f>
        <v>十二级</v>
      </c>
      <c r="Y7" s="2644" t="s">
        <v>2746</v>
      </c>
      <c r="Z7" s="2645">
        <f>G3</f>
        <v>1</v>
      </c>
      <c r="AA7" s="2073"/>
      <c r="AB7" s="2073"/>
      <c r="AC7" s="2074"/>
      <c r="AD7" s="2646"/>
      <c r="AE7" s="2646"/>
      <c r="AF7" s="2646"/>
      <c r="AG7" s="2646"/>
      <c r="AH7" s="2646"/>
      <c r="AI7" s="2646"/>
      <c r="AJ7" s="2647"/>
    </row>
    <row r="8" spans="1:39" ht="25.5">
      <c r="A8" s="4117"/>
      <c r="B8" s="1363" t="s">
        <v>925</v>
      </c>
      <c r="C8" s="1469" t="s">
        <v>3082</v>
      </c>
      <c r="D8" s="1032" t="s">
        <v>926</v>
      </c>
      <c r="E8" s="1033">
        <f>ROUND(C11/E7,4)</f>
        <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4127" t="s">
        <v>2763</v>
      </c>
      <c r="X8" s="4128"/>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4117"/>
      <c r="B9" s="1363" t="s">
        <v>928</v>
      </c>
      <c r="C9" s="1034">
        <f>SUMIF(修正!C59:C119,C8,修正!E59:E119)</f>
        <v>0</v>
      </c>
      <c r="D9" s="1035" t="s">
        <v>929</v>
      </c>
      <c r="E9" s="1035">
        <f>ROUND(C11/E7,4)</f>
        <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4126"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4117"/>
      <c r="B10" s="1363" t="s">
        <v>931</v>
      </c>
      <c r="C10" s="1035">
        <f>SUMIF(修正!C59:C119,C8,修正!F59:F119)</f>
        <v>0</v>
      </c>
      <c r="D10" s="1035" t="s">
        <v>932</v>
      </c>
      <c r="E10" s="1035">
        <f>ROUND(C11/E7,4)</f>
        <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4126"/>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4117"/>
      <c r="B11" s="1384" t="s">
        <v>934</v>
      </c>
      <c r="C11" s="1036">
        <f>C10/4</f>
        <v>0</v>
      </c>
      <c r="D11" s="1036" t="s">
        <v>935</v>
      </c>
      <c r="E11" s="1036">
        <f>ROUND(C11/E7,4)</f>
        <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4126"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4116"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370</v>
      </c>
      <c r="N12" s="1804">
        <f>SUMPRODUCT((因素修正幅度!B338:B344=I2)*(因素修正幅度!C3:F3=E2)*(因素修正幅度!C338:F344))</f>
        <v>0.15</v>
      </c>
      <c r="O12" s="3235"/>
      <c r="P12" s="2070"/>
      <c r="Q12" s="2070"/>
      <c r="R12" s="2654">
        <v>11</v>
      </c>
      <c r="S12" s="2643"/>
      <c r="T12" s="2654">
        <f t="shared" ca="1" si="0"/>
        <v>0</v>
      </c>
      <c r="U12" s="2643"/>
      <c r="V12" s="2654">
        <f t="shared" ca="1" si="1"/>
        <v>0</v>
      </c>
      <c r="W12" s="4126"/>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4118"/>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4126"/>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4118"/>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4119"/>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4116" t="s">
        <v>1829</v>
      </c>
      <c r="B16" s="1376" t="s">
        <v>941</v>
      </c>
      <c r="C16" s="1039">
        <f>ROUND(IF(F17="与级别开发程度一致",0,(G17-E17)/C17),0)</f>
        <v>0</v>
      </c>
      <c r="D16" s="4134" t="s">
        <v>945</v>
      </c>
      <c r="E16" s="4135"/>
      <c r="F16" s="4134" t="s">
        <v>942</v>
      </c>
      <c r="G16" s="4135"/>
      <c r="H16" s="1408" t="s">
        <v>3083</v>
      </c>
      <c r="I16" s="1408" t="s">
        <v>3084</v>
      </c>
      <c r="J16" s="1408" t="s">
        <v>3085</v>
      </c>
      <c r="K16" s="1408" t="s">
        <v>3086</v>
      </c>
      <c r="L16" s="1408" t="s">
        <v>3087</v>
      </c>
      <c r="M16" s="1408" t="s">
        <v>3088</v>
      </c>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4120"/>
      <c r="B17" s="2854" t="s">
        <v>944</v>
      </c>
      <c r="C17" s="2855">
        <f>SUMPRODUCT((修正!A2:A5=E2)*(修正!B1:M1=G2)*(修正!B2:M5))</f>
        <v>1</v>
      </c>
      <c r="D17" s="2856" t="str">
        <f>IF(OR(G2="八级",G2="九级",G2="十级",G2="十一级",G2="十二级"),"五通一平","七通一平")</f>
        <v>五通一平</v>
      </c>
      <c r="E17" s="2846">
        <f>SUMPRODUCT((修正!B1:M1=G2)*(修正!B15:M15))</f>
        <v>155</v>
      </c>
      <c r="F17" s="2847" t="s">
        <v>3089</v>
      </c>
      <c r="G17" s="2846">
        <f>SUM(H17:O17)</f>
        <v>155</v>
      </c>
      <c r="H17" s="1038">
        <f>SUMPRODUCT((七通一平=H16)*(修正!B1:M1=G2)*(修正!B6:M14))</f>
        <v>50</v>
      </c>
      <c r="I17" s="1038">
        <f>SUMPRODUCT((七通一平=I16)*(修正!B1:M1=G2)*(修正!B6:M14))</f>
        <v>40</v>
      </c>
      <c r="J17" s="1038">
        <f>SUMPRODUCT((七通一平=J16)*(修正!B1:M1=G2)*(修正!B6:M14))</f>
        <v>10</v>
      </c>
      <c r="K17" s="1038">
        <f>SUMPRODUCT((七通一平=K16)*(修正!B1:M1=G2)*(修正!B6:M14))</f>
        <v>20</v>
      </c>
      <c r="L17" s="1038">
        <f>SUMPRODUCT((七通一平=L16)*(修正!B1:M1=G2)*(修正!B6:M14))</f>
        <v>25</v>
      </c>
      <c r="M17" s="1038">
        <f>SUMPRODUCT((七通一平=M16)*(修正!B1:M1=G2)*(修正!B6:M14))</f>
        <v>10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1.4458</v>
      </c>
      <c r="D19" s="1415" t="s">
        <v>948</v>
      </c>
      <c r="E19" s="1041">
        <v>41640</v>
      </c>
      <c r="F19" s="1415" t="s">
        <v>949</v>
      </c>
      <c r="G19" s="1042">
        <f>'数据-取费表'!B2</f>
        <v>44268</v>
      </c>
      <c r="H19" s="1416" t="s">
        <v>3090</v>
      </c>
      <c r="I19" s="2503" t="str">
        <f>IF(H19="季度增幅（自定义）",SUMIF(N21:N24,E2,O21:O24),"")</f>
        <v/>
      </c>
      <c r="J19" s="1412"/>
      <c r="K19" s="3234"/>
      <c r="L19" s="2753" t="s">
        <v>2821</v>
      </c>
      <c r="M19" s="2754">
        <f>ROUND(SUMIF(地价!B2:F2,E2,地价!B33:F33),0)</f>
        <v>230</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4.8000000000000001E-2</v>
      </c>
      <c r="H20" s="2500" t="s">
        <v>965</v>
      </c>
      <c r="I20" s="2496">
        <f>SUMIF('数据-取费表'!C6:C15,E2,'数据-取费表'!F6:F15)/COUNTIF('数据-取费表'!C6:C15,E2)</f>
        <v>50</v>
      </c>
      <c r="J20" s="2502">
        <f>IF(E2="住宅",70,IF(E2="商业",40,50))</f>
        <v>50</v>
      </c>
      <c r="K20" s="2844"/>
      <c r="L20" s="2755" t="s">
        <v>2822</v>
      </c>
      <c r="M20" s="2837">
        <f>ROUND(SUMPRODUCT((地价!A4:A33=YEAR(G19)&amp;"-"&amp;ROUNDUP(MONTH(G19)/3,0))*(地价!B2:F2=E2)*(地价!B4:F33)),0)</f>
        <v>328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3091</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1.0007999999999999</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1396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535</v>
      </c>
      <c r="D29" s="1444">
        <f>'数据-汇总表'!E3</f>
        <v>26088.75</v>
      </c>
      <c r="E29" s="1763">
        <f ca="1">ROUND(C29*D29/10000,0)</f>
        <v>1396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80</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4123"/>
      <c r="B33" s="1464" t="s">
        <v>990</v>
      </c>
      <c r="C33" s="1046">
        <f ca="1">ROUND(D5*C19*C20*C24*F33,0)</f>
        <v>321</v>
      </c>
      <c r="D33" s="1477"/>
      <c r="E33" s="1035">
        <f ca="1">ROUND(C33*D33/10000,0)</f>
        <v>0</v>
      </c>
      <c r="F33" s="1035">
        <f>SUMIF(修正!A45:A56,G2,修正!B45:B56)</f>
        <v>0.6</v>
      </c>
      <c r="G33" s="1035">
        <f t="shared" ref="G33" ca="1" si="6">ROUND(IF(E2="工业",C33*$M$39,C33*$M$38),0)</f>
        <v>48</v>
      </c>
      <c r="H33" s="1035">
        <f>D33</f>
        <v>0</v>
      </c>
      <c r="I33" s="1035">
        <f ca="1">ROUND(G33*H33/10000,0)</f>
        <v>0</v>
      </c>
      <c r="J33" s="4123"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4124"/>
      <c r="B34" s="1394" t="s">
        <v>991</v>
      </c>
      <c r="C34" s="1046">
        <f ca="1">ROUND(D5*C19*C20*C24*F34,0)</f>
        <v>161</v>
      </c>
      <c r="D34" s="1477"/>
      <c r="E34" s="1035">
        <f t="shared" ref="E34:E39" ca="1" si="7">ROUND(C34*D34/10000,0)</f>
        <v>0</v>
      </c>
      <c r="F34" s="1035">
        <f>SUMIF(修正!A45:A56,G2,修正!C45:C56)</f>
        <v>0.3</v>
      </c>
      <c r="G34" s="1035">
        <f ca="1">ROUND(IF(E2="工业",C34*$M$39,C34*$M$38),0)</f>
        <v>24</v>
      </c>
      <c r="H34" s="1035">
        <f t="shared" ref="H34:H39" si="8">D34</f>
        <v>0</v>
      </c>
      <c r="I34" s="1035">
        <f t="shared" ref="I34:I39" ca="1" si="9">ROUND(G34*H34/10000,0)</f>
        <v>0</v>
      </c>
      <c r="J34" s="4124"/>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4124"/>
      <c r="B35" s="1394" t="s">
        <v>992</v>
      </c>
      <c r="C35" s="1046">
        <f ca="1">ROUND(D5*C19*C20*C24*F35,0)</f>
        <v>107</v>
      </c>
      <c r="D35" s="1477"/>
      <c r="E35" s="1035">
        <f t="shared" ca="1" si="7"/>
        <v>0</v>
      </c>
      <c r="F35" s="1035">
        <f>SUMIF(修正!A45:A56,G2,修正!D45:D56)</f>
        <v>0.2</v>
      </c>
      <c r="G35" s="1035">
        <f ca="1">ROUND(IF(E2="工业",C35*$M$39,C35*$M$38),0)</f>
        <v>16</v>
      </c>
      <c r="H35" s="1035">
        <f t="shared" si="8"/>
        <v>0</v>
      </c>
      <c r="I35" s="1035">
        <f t="shared" ca="1" si="9"/>
        <v>0</v>
      </c>
      <c r="J35" s="4124"/>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4125"/>
      <c r="B36" s="1394" t="s">
        <v>993</v>
      </c>
      <c r="C36" s="1046">
        <f ca="1">ROUND(D5*C19*C20*C24*F36,0)</f>
        <v>107</v>
      </c>
      <c r="D36" s="1477"/>
      <c r="E36" s="1035">
        <f t="shared" ca="1" si="7"/>
        <v>0</v>
      </c>
      <c r="F36" s="1035">
        <f>SUMIF(修正!A45:A56,G2,修正!E45:E56)</f>
        <v>0.2</v>
      </c>
      <c r="G36" s="1035">
        <f ca="1">ROUND(IF(E2="工业",C36*$M$39,C36*$M$38),0)</f>
        <v>16</v>
      </c>
      <c r="H36" s="1035">
        <f t="shared" si="8"/>
        <v>0</v>
      </c>
      <c r="I36" s="1035">
        <f t="shared" ca="1" si="9"/>
        <v>0</v>
      </c>
      <c r="J36" s="4125"/>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107</v>
      </c>
      <c r="D37" s="1477"/>
      <c r="E37" s="1035">
        <f t="shared" ca="1" si="7"/>
        <v>0</v>
      </c>
      <c r="F37" s="1046">
        <f>SUMIF(修正!A45:A56,G2,修正!F45:F56)</f>
        <v>0.2</v>
      </c>
      <c r="G37" s="1035">
        <f ca="1">ROUND(IF(E2="工业",C37*$M$39,C37*$M$38),0)</f>
        <v>16</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4.8000000000000001E-2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hidden="1">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hidden="1">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hidden="1">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hidden="1">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hidden="1">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hidden="1">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hidden="1">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hidden="1">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hidden="1">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hidden="1">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hidden="1"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hidden="1">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hidden="1">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hidden="1">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hidden="1">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hidden="1">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hidden="1">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hidden="1">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hidden="1">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hidden="1">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hidden="1">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hidden="1"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hidden="1">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hidden="1">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hidden="1">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hidden="1">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hidden="1">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hidden="1">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hidden="1">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hidden="1">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hidden="1">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hidden="1">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hidden="1"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1.0007999999999999</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t="s">
        <v>3092</v>
      </c>
      <c r="D80" s="2272">
        <f t="shared" ref="D80:D87" si="25">SUMIF($J$79:$N$79,C80,J80:N80)</f>
        <v>0</v>
      </c>
      <c r="E80" s="2291">
        <f>ROUND(SUM(D80:D87),4)</f>
        <v>8.0000000000000004E-4</v>
      </c>
      <c r="F80" s="2292">
        <f>IF(E2="工业",SUMIF(L1:L12,G2,N1:N12),"——")</f>
        <v>0.15</v>
      </c>
      <c r="G80" s="2270">
        <f>H80</f>
        <v>1.95E-2</v>
      </c>
      <c r="H80" s="2315">
        <f t="shared" ref="H80:H87" si="26">IFERROR(ROUNDDOWN($F$80*I80/2,4),"——")</f>
        <v>1.95E-2</v>
      </c>
      <c r="I80" s="2290">
        <v>0.26</v>
      </c>
      <c r="J80" s="2293">
        <f t="shared" ref="J80:J87" si="27">K80+$G80</f>
        <v>3.9E-2</v>
      </c>
      <c r="K80" s="2293">
        <f t="shared" ref="K80:K87" si="28">$L80+$G80</f>
        <v>1.95E-2</v>
      </c>
      <c r="L80" s="2293">
        <v>0</v>
      </c>
      <c r="M80" s="2293">
        <f t="shared" ref="M80:N87" si="29">L80-$G80</f>
        <v>-1.95E-2</v>
      </c>
      <c r="N80" s="2293">
        <f t="shared" si="29"/>
        <v>-3.9E-2</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t="s">
        <v>3092</v>
      </c>
      <c r="D81" s="2272">
        <f t="shared" si="25"/>
        <v>0</v>
      </c>
      <c r="E81" s="2300"/>
      <c r="F81" s="2301"/>
      <c r="G81" s="2270">
        <f t="shared" ref="G81:G87" si="30">H81</f>
        <v>2.47E-2</v>
      </c>
      <c r="H81" s="2315">
        <f t="shared" si="26"/>
        <v>2.47E-2</v>
      </c>
      <c r="I81" s="2290">
        <v>0.33</v>
      </c>
      <c r="J81" s="2293">
        <f t="shared" si="27"/>
        <v>4.9399999999999999E-2</v>
      </c>
      <c r="K81" s="2293">
        <f t="shared" si="28"/>
        <v>2.47E-2</v>
      </c>
      <c r="L81" s="2293">
        <v>0</v>
      </c>
      <c r="M81" s="2293">
        <f t="shared" si="29"/>
        <v>-2.47E-2</v>
      </c>
      <c r="N81" s="2293">
        <f t="shared" si="29"/>
        <v>-4.9399999999999999E-2</v>
      </c>
      <c r="AC81" s="1354"/>
      <c r="AD81" s="1353"/>
      <c r="AJ81" s="1352"/>
      <c r="AN81" s="1353"/>
    </row>
    <row r="82" spans="1:40" ht="24">
      <c r="A82" s="1050" t="s">
        <v>1013</v>
      </c>
      <c r="B82" s="2263">
        <f>估价对象房地状况!G17</f>
        <v>0</v>
      </c>
      <c r="C82" s="1037" t="s">
        <v>3092</v>
      </c>
      <c r="D82" s="2272">
        <f t="shared" si="25"/>
        <v>0</v>
      </c>
      <c r="E82" s="2300"/>
      <c r="F82" s="2301"/>
      <c r="G82" s="2270">
        <f t="shared" si="30"/>
        <v>3.7000000000000002E-3</v>
      </c>
      <c r="H82" s="2315">
        <f t="shared" si="26"/>
        <v>3.7000000000000002E-3</v>
      </c>
      <c r="I82" s="2290">
        <v>0.05</v>
      </c>
      <c r="J82" s="2293">
        <f t="shared" si="27"/>
        <v>7.4000000000000003E-3</v>
      </c>
      <c r="K82" s="2293">
        <f t="shared" si="28"/>
        <v>3.7000000000000002E-3</v>
      </c>
      <c r="L82" s="2293">
        <v>0</v>
      </c>
      <c r="M82" s="2293">
        <f t="shared" si="29"/>
        <v>-3.7000000000000002E-3</v>
      </c>
      <c r="N82" s="2293">
        <f t="shared" si="29"/>
        <v>-7.4000000000000003E-3</v>
      </c>
      <c r="AC82" s="1354"/>
      <c r="AD82" s="1353"/>
      <c r="AJ82" s="1352"/>
      <c r="AN82" s="1353"/>
    </row>
    <row r="83" spans="1:40" ht="14.25">
      <c r="A83" s="1050" t="s">
        <v>1025</v>
      </c>
      <c r="B83" s="2263">
        <f>估价对象房地状况!G22</f>
        <v>0</v>
      </c>
      <c r="C83" s="1037" t="s">
        <v>3092</v>
      </c>
      <c r="D83" s="2272">
        <f t="shared" si="25"/>
        <v>0</v>
      </c>
      <c r="E83" s="2300"/>
      <c r="F83" s="2301"/>
      <c r="G83" s="2270">
        <f t="shared" si="30"/>
        <v>3.0000000000000001E-3</v>
      </c>
      <c r="H83" s="2315">
        <f t="shared" si="26"/>
        <v>3.0000000000000001E-3</v>
      </c>
      <c r="I83" s="2290">
        <v>0.04</v>
      </c>
      <c r="J83" s="2293">
        <f t="shared" si="27"/>
        <v>6.0000000000000001E-3</v>
      </c>
      <c r="K83" s="2293">
        <f t="shared" si="28"/>
        <v>3.0000000000000001E-3</v>
      </c>
      <c r="L83" s="2293">
        <v>0</v>
      </c>
      <c r="M83" s="2293">
        <f t="shared" si="29"/>
        <v>-3.0000000000000001E-3</v>
      </c>
      <c r="N83" s="2293">
        <f t="shared" si="29"/>
        <v>-6.0000000000000001E-3</v>
      </c>
      <c r="AC83" s="1354"/>
      <c r="AD83" s="1353"/>
      <c r="AJ83" s="1352"/>
      <c r="AN83" s="1353"/>
    </row>
    <row r="84" spans="1:40" ht="24">
      <c r="A84" s="1050" t="s">
        <v>1017</v>
      </c>
      <c r="B84" s="2264" t="str">
        <f>估价对象房地状况!G19</f>
        <v>估价对象所在区域公共配套设施齐备情况</v>
      </c>
      <c r="C84" s="1037" t="s">
        <v>3092</v>
      </c>
      <c r="D84" s="2272">
        <f t="shared" si="25"/>
        <v>0</v>
      </c>
      <c r="E84" s="2300"/>
      <c r="F84" s="2301"/>
      <c r="G84" s="2270">
        <f t="shared" si="30"/>
        <v>4.4999999999999997E-3</v>
      </c>
      <c r="H84" s="2315">
        <f t="shared" si="26"/>
        <v>4.4999999999999997E-3</v>
      </c>
      <c r="I84" s="2290">
        <v>0.06</v>
      </c>
      <c r="J84" s="2293">
        <f t="shared" si="27"/>
        <v>8.9999999999999993E-3</v>
      </c>
      <c r="K84" s="2293">
        <f t="shared" si="28"/>
        <v>4.4999999999999997E-3</v>
      </c>
      <c r="L84" s="2293">
        <v>0</v>
      </c>
      <c r="M84" s="2293">
        <f t="shared" si="29"/>
        <v>-4.4999999999999997E-3</v>
      </c>
      <c r="N84" s="2293">
        <f t="shared" si="29"/>
        <v>-8.9999999999999993E-3</v>
      </c>
      <c r="AC84" s="1354"/>
      <c r="AD84" s="1353"/>
      <c r="AJ84" s="1352"/>
      <c r="AN84" s="1353"/>
    </row>
    <row r="85" spans="1:40" ht="24">
      <c r="A85" s="1050" t="s">
        <v>1018</v>
      </c>
      <c r="B85" s="2264" t="str">
        <f>估价对象房地状况!G20</f>
        <v>估价对象所在区域基础设施水平</v>
      </c>
      <c r="C85" s="1037" t="s">
        <v>3092</v>
      </c>
      <c r="D85" s="2272">
        <f t="shared" si="25"/>
        <v>0</v>
      </c>
      <c r="E85" s="2300"/>
      <c r="F85" s="2301"/>
      <c r="G85" s="2270">
        <f t="shared" si="30"/>
        <v>1.12E-2</v>
      </c>
      <c r="H85" s="2315">
        <f t="shared" si="26"/>
        <v>1.12E-2</v>
      </c>
      <c r="I85" s="2290">
        <v>0.15</v>
      </c>
      <c r="J85" s="2293">
        <f t="shared" si="27"/>
        <v>2.24E-2</v>
      </c>
      <c r="K85" s="2293">
        <f t="shared" si="28"/>
        <v>1.12E-2</v>
      </c>
      <c r="L85" s="2293">
        <v>0</v>
      </c>
      <c r="M85" s="2293">
        <f t="shared" si="29"/>
        <v>-1.12E-2</v>
      </c>
      <c r="N85" s="2293">
        <f t="shared" si="29"/>
        <v>-2.24E-2</v>
      </c>
      <c r="AC85" s="1354"/>
      <c r="AD85" s="1353"/>
      <c r="AJ85" s="1352"/>
      <c r="AN85" s="1353"/>
    </row>
    <row r="86" spans="1:40" ht="24">
      <c r="A86" s="1050" t="s">
        <v>1016</v>
      </c>
      <c r="B86" s="2784" t="s">
        <v>2904</v>
      </c>
      <c r="C86" s="1037" t="s">
        <v>3093</v>
      </c>
      <c r="D86" s="2272">
        <f t="shared" si="25"/>
        <v>-3.7000000000000002E-3</v>
      </c>
      <c r="E86" s="2300"/>
      <c r="F86" s="2301"/>
      <c r="G86" s="2270">
        <f t="shared" si="30"/>
        <v>3.7000000000000002E-3</v>
      </c>
      <c r="H86" s="2315">
        <f t="shared" si="26"/>
        <v>3.7000000000000002E-3</v>
      </c>
      <c r="I86" s="2290">
        <v>0.05</v>
      </c>
      <c r="J86" s="2293">
        <f t="shared" si="27"/>
        <v>7.4000000000000003E-3</v>
      </c>
      <c r="K86" s="2293">
        <f t="shared" si="28"/>
        <v>3.7000000000000002E-3</v>
      </c>
      <c r="L86" s="2293">
        <v>0</v>
      </c>
      <c r="M86" s="2293">
        <f t="shared" si="29"/>
        <v>-3.7000000000000002E-3</v>
      </c>
      <c r="N86" s="2293">
        <f t="shared" si="29"/>
        <v>-7.4000000000000003E-3</v>
      </c>
      <c r="AC86" s="1354"/>
      <c r="AD86" s="1353"/>
      <c r="AJ86" s="1352"/>
      <c r="AN86" s="1353"/>
    </row>
    <row r="87" spans="1:40" ht="36.75" thickBot="1">
      <c r="A87" s="2296" t="s">
        <v>1029</v>
      </c>
      <c r="B87" s="2265" t="str">
        <f>估价对象房地状况!G18</f>
        <v>该园区内是否有污染型企业，绿化情况，卫生条件，整体环境状况判断</v>
      </c>
      <c r="C87" s="1037" t="s">
        <v>3094</v>
      </c>
      <c r="D87" s="2272">
        <f t="shared" si="25"/>
        <v>4.4999999999999997E-3</v>
      </c>
      <c r="E87" s="2302"/>
      <c r="F87" s="2301"/>
      <c r="G87" s="2270">
        <f t="shared" si="30"/>
        <v>4.4999999999999997E-3</v>
      </c>
      <c r="H87" s="2315">
        <f t="shared" si="26"/>
        <v>4.4999999999999997E-3</v>
      </c>
      <c r="I87" s="2297">
        <v>0.06</v>
      </c>
      <c r="J87" s="2293">
        <f t="shared" si="27"/>
        <v>8.9999999999999993E-3</v>
      </c>
      <c r="K87" s="2293">
        <f t="shared" si="28"/>
        <v>4.4999999999999997E-3</v>
      </c>
      <c r="L87" s="2293">
        <v>0</v>
      </c>
      <c r="M87" s="2293">
        <f t="shared" si="29"/>
        <v>-4.4999999999999997E-3</v>
      </c>
      <c r="N87" s="2293">
        <f t="shared" si="29"/>
        <v>-8.9999999999999993E-3</v>
      </c>
      <c r="AC87" s="1354"/>
      <c r="AD87" s="1353"/>
      <c r="AJ87" s="1352"/>
      <c r="AN87" s="1353"/>
    </row>
    <row r="90" spans="1:40">
      <c r="A90" s="4121" t="s">
        <v>1624</v>
      </c>
      <c r="B90" s="4121"/>
      <c r="C90" s="4121"/>
      <c r="D90" s="4121"/>
      <c r="E90" s="4121"/>
      <c r="F90" s="4121"/>
      <c r="G90" s="4121"/>
      <c r="H90" s="4121"/>
      <c r="I90" s="4121"/>
      <c r="J90" s="4121"/>
      <c r="K90" s="2305"/>
      <c r="L90" s="2305"/>
      <c r="M90" s="2305"/>
      <c r="N90" s="2305"/>
    </row>
    <row r="91" spans="1:40">
      <c r="A91" s="4122" t="s">
        <v>1434</v>
      </c>
      <c r="B91" s="4122" t="s">
        <v>1625</v>
      </c>
      <c r="C91" s="1123" t="s">
        <v>1626</v>
      </c>
      <c r="D91" s="1124"/>
      <c r="E91" s="1124"/>
      <c r="F91" s="1124"/>
      <c r="G91" s="1124"/>
      <c r="H91" s="1124"/>
      <c r="I91" s="1124"/>
      <c r="J91" s="1125"/>
      <c r="K91" s="1117"/>
      <c r="L91" s="1117"/>
      <c r="M91" s="1117"/>
      <c r="N91" s="1117"/>
    </row>
    <row r="92" spans="1:40">
      <c r="A92" s="4122"/>
      <c r="B92" s="4122"/>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4129"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4130"/>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4130"/>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4130"/>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4130"/>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4130"/>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4130"/>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4131"/>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4129" t="s">
        <v>1628</v>
      </c>
      <c r="B101" s="1130" t="s">
        <v>897</v>
      </c>
      <c r="C101" s="1131">
        <f>$G$3</f>
        <v>1</v>
      </c>
      <c r="D101" s="1131">
        <f t="shared" ref="D101:N101" si="32">$G$3</f>
        <v>1</v>
      </c>
      <c r="E101" s="1131">
        <f t="shared" si="32"/>
        <v>1</v>
      </c>
      <c r="F101" s="1131">
        <f t="shared" si="32"/>
        <v>1</v>
      </c>
      <c r="G101" s="1131">
        <f t="shared" si="32"/>
        <v>1</v>
      </c>
      <c r="H101" s="1131">
        <f t="shared" si="32"/>
        <v>1</v>
      </c>
      <c r="I101" s="1131">
        <f t="shared" si="32"/>
        <v>1</v>
      </c>
      <c r="J101" s="1131">
        <f t="shared" si="32"/>
        <v>1</v>
      </c>
      <c r="K101" s="1131">
        <f t="shared" si="32"/>
        <v>1</v>
      </c>
      <c r="L101" s="1131">
        <f t="shared" si="32"/>
        <v>1</v>
      </c>
      <c r="M101" s="1131">
        <f t="shared" si="32"/>
        <v>1</v>
      </c>
      <c r="N101" s="1131">
        <f t="shared" si="32"/>
        <v>1</v>
      </c>
    </row>
    <row r="102" spans="1:14">
      <c r="A102" s="4130"/>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4130"/>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4130"/>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4130"/>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4130"/>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4130"/>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4130"/>
      <c r="B108" s="4132"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4131"/>
      <c r="B109" s="4133"/>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4115" t="s">
        <v>1630</v>
      </c>
      <c r="B110" s="4115"/>
      <c r="C110" s="4115"/>
      <c r="D110" s="4115"/>
      <c r="E110" s="4115"/>
      <c r="F110" s="4115"/>
      <c r="G110" s="4115"/>
      <c r="H110" s="4115"/>
      <c r="I110" s="4115"/>
      <c r="J110" s="4115"/>
      <c r="K110" s="2303"/>
      <c r="L110" s="2303"/>
      <c r="M110" s="2303"/>
      <c r="N110" s="2303"/>
    </row>
    <row r="112" spans="1:14" ht="12.75" thickBot="1"/>
    <row r="113" spans="1:13" ht="25.5" thickBot="1">
      <c r="A113" s="1003" t="s">
        <v>887</v>
      </c>
      <c r="B113" s="2306">
        <f>G3</f>
        <v>1</v>
      </c>
      <c r="C113" s="1004" t="s">
        <v>888</v>
      </c>
      <c r="D113" s="1005">
        <f>SUMPRODUCT((A115:A118=F113)*(B114:M114=H113)*B115:M118)</f>
        <v>0.55310000000000004</v>
      </c>
      <c r="E113" s="1006" t="s">
        <v>889</v>
      </c>
      <c r="F113" s="1007" t="str">
        <f>E2</f>
        <v>工业</v>
      </c>
      <c r="G113" s="1006" t="s">
        <v>890</v>
      </c>
      <c r="H113" s="1007" t="str">
        <f>G2</f>
        <v>十二级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4">I115</f>
        <v>0.67349999999999999</v>
      </c>
      <c r="K115" s="1017">
        <f t="shared" si="34"/>
        <v>0.67349999999999999</v>
      </c>
      <c r="L115" s="1017">
        <f t="shared" si="34"/>
        <v>0.67349999999999999</v>
      </c>
      <c r="M115" s="1018">
        <f t="shared" si="34"/>
        <v>0.67349999999999999</v>
      </c>
    </row>
    <row r="116" spans="1:13" ht="12.75">
      <c r="A116" s="1016" t="s">
        <v>892</v>
      </c>
      <c r="B116" s="1017">
        <f>ROUND(0.949-0.012*B113,4)</f>
        <v>0.93700000000000006</v>
      </c>
      <c r="C116" s="1017">
        <f>B116</f>
        <v>0.93700000000000006</v>
      </c>
      <c r="D116" s="1017">
        <f>ROUND(0.8567-0.013*B113,4)</f>
        <v>0.84370000000000001</v>
      </c>
      <c r="E116" s="1017">
        <f t="shared" ref="E116:H117" si="35">D116</f>
        <v>0.84370000000000001</v>
      </c>
      <c r="F116" s="1017">
        <f t="shared" si="35"/>
        <v>0.84370000000000001</v>
      </c>
      <c r="G116" s="1017">
        <f t="shared" si="35"/>
        <v>0.84370000000000001</v>
      </c>
      <c r="H116" s="1017">
        <f t="shared" si="35"/>
        <v>0.84370000000000001</v>
      </c>
      <c r="I116" s="1017">
        <f>ROUND(0.7694-0.014*B113,4)</f>
        <v>0.75539999999999996</v>
      </c>
      <c r="J116" s="1017">
        <f t="shared" si="34"/>
        <v>0.75539999999999996</v>
      </c>
      <c r="K116" s="1017">
        <f t="shared" si="34"/>
        <v>0.75539999999999996</v>
      </c>
      <c r="L116" s="1017">
        <f t="shared" si="34"/>
        <v>0.75539999999999996</v>
      </c>
      <c r="M116" s="1018">
        <f t="shared" si="34"/>
        <v>0.75539999999999996</v>
      </c>
    </row>
    <row r="117" spans="1:13" ht="12.75">
      <c r="A117" s="1019" t="s">
        <v>893</v>
      </c>
      <c r="B117" s="1017">
        <f>ROUND(0.8808-0.006*B113,4)</f>
        <v>0.87480000000000002</v>
      </c>
      <c r="C117" s="1017">
        <f>B117</f>
        <v>0.87480000000000002</v>
      </c>
      <c r="D117" s="1017">
        <f>ROUND(0.8748-0.008*B113,4)</f>
        <v>0.86680000000000001</v>
      </c>
      <c r="E117" s="1017">
        <f t="shared" si="35"/>
        <v>0.86680000000000001</v>
      </c>
      <c r="F117" s="1017">
        <f t="shared" si="35"/>
        <v>0.86680000000000001</v>
      </c>
      <c r="G117" s="1017">
        <f t="shared" si="35"/>
        <v>0.86680000000000001</v>
      </c>
      <c r="H117" s="1017">
        <f t="shared" si="35"/>
        <v>0.86680000000000001</v>
      </c>
      <c r="I117" s="1017">
        <f>ROUND(0.7412-0.0095*B113,4)</f>
        <v>0.73170000000000002</v>
      </c>
      <c r="J117" s="1017">
        <f t="shared" si="34"/>
        <v>0.73170000000000002</v>
      </c>
      <c r="K117" s="1017">
        <f t="shared" si="34"/>
        <v>0.73170000000000002</v>
      </c>
      <c r="L117" s="1017">
        <f t="shared" si="34"/>
        <v>0.73170000000000002</v>
      </c>
      <c r="M117" s="1018">
        <f t="shared" si="34"/>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4"/>
        <v>0.55310000000000004</v>
      </c>
      <c r="K118" s="1021">
        <f t="shared" si="34"/>
        <v>0.55310000000000004</v>
      </c>
      <c r="L118" s="1021">
        <f t="shared" si="34"/>
        <v>0.55310000000000004</v>
      </c>
      <c r="M118" s="1022">
        <f t="shared" si="34"/>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7" priority="5" stopIfTrue="1" operator="notEqual">
      <formula>"——"</formula>
    </cfRule>
  </conditionalFormatting>
  <conditionalFormatting sqref="F58">
    <cfRule type="cellIs" dxfId="166" priority="4" stopIfTrue="1" operator="notEqual">
      <formula>"——"</formula>
    </cfRule>
  </conditionalFormatting>
  <conditionalFormatting sqref="F69">
    <cfRule type="cellIs" dxfId="165" priority="3" stopIfTrue="1" operator="notEqual">
      <formula>"——"</formula>
    </cfRule>
  </conditionalFormatting>
  <conditionalFormatting sqref="F80">
    <cfRule type="cellIs" dxfId="164" priority="2" stopIfTrue="1" operator="notEqual">
      <formula>"——"</formula>
    </cfRule>
  </conditionalFormatting>
  <conditionalFormatting sqref="H58:H66 H47:H55 H69:H77 H80:H87">
    <cfRule type="cellIs" dxfId="163" priority="1" operator="notEqual">
      <formula>"——"</formula>
    </cfRule>
  </conditionalFormatting>
  <dataValidations count="11">
    <dataValidation type="list" allowBlank="1" showInputMessage="1" showErrorMessage="1" sqref="E2" xr:uid="{00000000-0002-0000-1100-000000000000}">
      <formula1>"商业,办公,住宅,工业"</formula1>
    </dataValidation>
    <dataValidation type="list" allowBlank="1" showInputMessage="1" showErrorMessage="1" sqref="F17" xr:uid="{00000000-0002-0000-1100-000001000000}">
      <formula1>"与级别开发程度一致,与级别开发程度不一致"</formula1>
    </dataValidation>
    <dataValidation type="list" allowBlank="1" showInputMessage="1" showErrorMessage="1" sqref="B21" xr:uid="{00000000-0002-0000-1100-000002000000}">
      <formula1>"容积率修正,楼层修正"</formula1>
    </dataValidation>
    <dataValidation type="list" allowBlank="1" showInputMessage="1" showErrorMessage="1" sqref="C14:E14" xr:uid="{00000000-0002-0000-1100-000003000000}">
      <formula1>"有,无"</formula1>
    </dataValidation>
    <dataValidation type="list" allowBlank="1" showInputMessage="1" showErrorMessage="1" sqref="F14" xr:uid="{00000000-0002-0000-1100-000004000000}">
      <formula1>"500米范围内,500-1000米,1000米以外"</formula1>
    </dataValidation>
    <dataValidation type="list" allowBlank="1" showInputMessage="1" showErrorMessage="1" sqref="H19"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69:C77 C80:C87 C47:C55 C58:C66" xr:uid="{00000000-0002-0000-1100-000009000000}">
      <formula1>五等判定</formula1>
    </dataValidation>
    <dataValidation type="list" allowBlank="1" showInputMessage="1" showErrorMessage="1" sqref="H16:O16" xr:uid="{00000000-0002-0000-1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E490"/>
  <sheetViews>
    <sheetView view="pageBreakPreview" topLeftCell="A13" zoomScale="90" zoomScaleNormal="80" zoomScaleSheetLayoutView="90" workbookViewId="0">
      <selection activeCell="B34" sqref="B34"/>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t="s">
        <v>972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31" s="1924" customFormat="1" ht="18" customHeight="1">
      <c r="A2" s="1983" t="s">
        <v>461</v>
      </c>
      <c r="B2" s="1987">
        <f ca="1">C36</f>
        <v>2117</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811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811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54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9474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972</v>
      </c>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26088.75</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 ca="1">不动产收益法!B2</f>
        <v>9474</v>
      </c>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4696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141</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522</v>
      </c>
      <c r="D16" s="2561">
        <f ca="1">IF(B1="",'数据-汇总表'!E3,INDIRECT("'数据-取费表'!K"&amp;$K$1)+INDIRECT("'数据-取费表'!S"&amp;$K$1))</f>
        <v>26088.75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5429</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26088.75</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522</v>
      </c>
      <c r="D20" s="2571"/>
      <c r="E20" s="2525"/>
      <c r="F20" s="2572"/>
      <c r="G20" s="2776" t="s">
        <v>3079</v>
      </c>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522</v>
      </c>
      <c r="D22" s="2561">
        <f ca="1">IF(B1="",'数据-汇总表'!E6,IF(INDIRECT("'数据-取费表'!c"&amp;$K$1)="住宅",INDIRECT("'数据-取费表'!s"&amp;$K$1),INDIRECT("'数据-取费表'!k"&amp;$K$1)+INDIRECT("'数据-取费表'!s"&amp;$K$1)))</f>
        <v>26088.75</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119</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 ca="1">ROUND(C6*F24,0)</f>
        <v>189</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3.0499999999999999E-2</v>
      </c>
      <c r="D25" s="456" t="s">
        <v>2809</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68</v>
      </c>
      <c r="D26" s="461">
        <f ca="1">C27</f>
        <v>2.24E-2</v>
      </c>
      <c r="E26" s="463" t="s">
        <v>489</v>
      </c>
      <c r="F26" s="465">
        <f ca="1">'数据-取费表'!B40</f>
        <v>4.3499999999999997E-2</v>
      </c>
      <c r="G26" s="2424" t="str">
        <f>IF('数据-取费表'!B22&lt;=1,"单利计息。","复利计息。")&amp;"后续开发成本、管理费用及销售费用产生的利息。"</f>
        <v>单利计息。后续开发成本、管理费用及销售费用产生的利息。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2.24E-2</v>
      </c>
      <c r="D27" s="466"/>
      <c r="E27" s="467"/>
      <c r="F27" s="468"/>
      <c r="G27" s="2424" t="str">
        <f>IF('数据-取费表'!B22&lt;=1,"（1+取得税费率/(1+5%)）×年利率×建设期","（1+取得税费率）/(1+5%)×((1+年利率)^建设期-1)")</f>
        <v>（1+取得税费率/(1+5%)）×年利率×建设期</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68</v>
      </c>
      <c r="D28" s="466"/>
      <c r="E28" s="467"/>
      <c r="F28" s="468"/>
      <c r="G28" s="2424" t="str">
        <f>IF('数据-取费表'!B22&lt;=1,"（1）-（4）项×年利率×建设期÷2","（1）-（4）项×((1+年利率)^(建设期÷2)-1)")</f>
        <v>（1）-（4）项×年利率×建设期÷2</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496</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6823</v>
      </c>
      <c r="D30" s="471">
        <f ca="1">C32</f>
        <v>5.2900000000000003E-2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6823</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5.2900000000000003E-2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f ca="1">C35</f>
        <v>313</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f ca="1">ROUND((C18+C19+C20+C23+C24)*F33,0)</f>
        <v>313</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2117</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200-000000000000}">
      <formula1>项目类型</formula1>
    </dataValidation>
    <dataValidation type="list" allowBlank="1" showInputMessage="1" showErrorMessage="1" sqref="G20" xr:uid="{00000000-0002-0000-12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935" t="str">
        <f>项目基本情况!B1</f>
        <v>北京市划拨国有建设用地使用权市场价格预评估</v>
      </c>
      <c r="C37" s="3935"/>
      <c r="D37" s="3935"/>
      <c r="E37" s="3935"/>
      <c r="F37" s="3935"/>
      <c r="G37" s="3935"/>
      <c r="H37" s="3935"/>
      <c r="I37" s="3935"/>
    </row>
    <row r="38" spans="1:9">
      <c r="A38" s="1585"/>
      <c r="B38" s="1585"/>
    </row>
    <row r="39" spans="1:9">
      <c r="A39" s="1583" t="s">
        <v>1892</v>
      </c>
      <c r="B39" s="1583" t="s">
        <v>2035</v>
      </c>
    </row>
    <row r="40" spans="1:9">
      <c r="A40" s="1583"/>
      <c r="B40" s="1583" t="str">
        <f>项目基本情况!B5</f>
        <v>金隅</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叶凌、陈颖</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4696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141</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522</v>
      </c>
      <c r="D16" s="445">
        <f ca="1">IF(B1="",'数据-汇总表'!E3,INDIRECT("'数据-取费表'!K"&amp;$K$1)+INDIRECT("'数据-取费表'!S"&amp;$K$1))</f>
        <v>26088.75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70</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5429</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109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60</v>
      </c>
      <c r="D21" s="461">
        <f ca="1">C23</f>
        <v>2.0000000000000001E-4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60</v>
      </c>
      <c r="D22" s="466"/>
      <c r="E22" s="467"/>
      <c r="F22" s="468"/>
      <c r="G22" s="2420"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f ca="1">C25</f>
        <v>277</v>
      </c>
      <c r="D24" s="483">
        <f ca="1">C26</f>
        <v>1E-3</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277</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2810</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6342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3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4158" t="s">
        <v>516</v>
      </c>
      <c r="D6" s="4159"/>
      <c r="E6" s="4158" t="s">
        <v>517</v>
      </c>
      <c r="F6" s="4159"/>
      <c r="G6" s="4158" t="s">
        <v>518</v>
      </c>
      <c r="H6" s="4159"/>
      <c r="I6" s="4158" t="s">
        <v>519</v>
      </c>
      <c r="J6" s="4159"/>
      <c r="K6" s="508" t="s">
        <v>520</v>
      </c>
      <c r="L6" s="2015"/>
      <c r="M6" s="2014"/>
      <c r="N6" s="2014"/>
      <c r="O6" s="2016"/>
      <c r="P6" s="4160" t="s">
        <v>521</v>
      </c>
      <c r="Q6" s="4161"/>
      <c r="R6" s="4146" t="s">
        <v>517</v>
      </c>
      <c r="S6" s="4147"/>
      <c r="T6" s="4146" t="s">
        <v>518</v>
      </c>
      <c r="U6" s="4147"/>
      <c r="V6" s="4166" t="s">
        <v>519</v>
      </c>
      <c r="W6" s="4166"/>
      <c r="X6" s="1502"/>
      <c r="Y6" s="4146" t="s">
        <v>521</v>
      </c>
      <c r="Z6" s="4147"/>
      <c r="AA6" s="4141" t="s">
        <v>517</v>
      </c>
      <c r="AB6" s="4142" t="s">
        <v>518</v>
      </c>
      <c r="AC6" s="4141" t="s">
        <v>519</v>
      </c>
    </row>
    <row r="7" spans="1:30" ht="20.25">
      <c r="A7" s="509"/>
      <c r="B7" s="510"/>
      <c r="C7" s="4169" t="s">
        <v>2897</v>
      </c>
      <c r="D7" s="4170"/>
      <c r="E7" s="4169" t="s">
        <v>2898</v>
      </c>
      <c r="F7" s="4170"/>
      <c r="G7" s="4169" t="s">
        <v>2899</v>
      </c>
      <c r="H7" s="4170"/>
      <c r="I7" s="4169" t="s">
        <v>2900</v>
      </c>
      <c r="J7" s="4170"/>
      <c r="K7" s="508"/>
      <c r="L7" s="2015"/>
      <c r="M7" s="2014"/>
      <c r="N7" s="2014"/>
      <c r="O7" s="2016"/>
      <c r="P7" s="4162"/>
      <c r="Q7" s="4163"/>
      <c r="R7" s="4148"/>
      <c r="S7" s="4149"/>
      <c r="T7" s="4148"/>
      <c r="U7" s="4149"/>
      <c r="V7" s="4166"/>
      <c r="W7" s="4166"/>
      <c r="X7" s="1502"/>
      <c r="Y7" s="4148"/>
      <c r="Z7" s="4149"/>
      <c r="AA7" s="4142"/>
      <c r="AB7" s="4142"/>
      <c r="AC7" s="4142"/>
    </row>
    <row r="8" spans="1:30" ht="21" thickBot="1">
      <c r="A8" s="509"/>
      <c r="B8" s="510"/>
      <c r="C8" s="4171" t="s">
        <v>2901</v>
      </c>
      <c r="D8" s="4172"/>
      <c r="E8" s="4171" t="s">
        <v>2901</v>
      </c>
      <c r="F8" s="4172"/>
      <c r="G8" s="4167" t="s">
        <v>2901</v>
      </c>
      <c r="H8" s="4168"/>
      <c r="I8" s="4167" t="s">
        <v>2901</v>
      </c>
      <c r="J8" s="4168"/>
      <c r="K8" s="508" t="s">
        <v>522</v>
      </c>
      <c r="L8" s="2015"/>
      <c r="M8" s="2014"/>
      <c r="N8" s="2014"/>
      <c r="O8" s="2016"/>
      <c r="P8" s="4164"/>
      <c r="Q8" s="4165"/>
      <c r="R8" s="4148"/>
      <c r="S8" s="4149"/>
      <c r="T8" s="4150"/>
      <c r="U8" s="4151"/>
      <c r="V8" s="4166"/>
      <c r="W8" s="4166"/>
      <c r="X8" s="1502"/>
      <c r="Y8" s="4150"/>
      <c r="Z8" s="4151"/>
      <c r="AA8" s="4143"/>
      <c r="AB8" s="4143"/>
      <c r="AC8" s="4143"/>
    </row>
    <row r="9" spans="1:30" s="1203" customFormat="1" ht="21" thickBot="1">
      <c r="A9" s="2629"/>
      <c r="B9" s="2636" t="s">
        <v>523</v>
      </c>
      <c r="C9" s="2628">
        <f>'数据-取费表'!B2</f>
        <v>44268</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4144" t="s">
        <v>524</v>
      </c>
      <c r="Q9" s="4153"/>
      <c r="R9" s="1503" t="s">
        <v>8</v>
      </c>
      <c r="S9" s="1504">
        <f t="shared" ref="S9:S17" si="0">F9</f>
        <v>0</v>
      </c>
      <c r="T9" s="1503" t="s">
        <v>8</v>
      </c>
      <c r="U9" s="1504">
        <f t="shared" ref="U9:U17" si="1">H9</f>
        <v>0</v>
      </c>
      <c r="V9" s="1503" t="s">
        <v>8</v>
      </c>
      <c r="W9" s="1504">
        <f t="shared" ref="W9:W17" si="2">J9</f>
        <v>0</v>
      </c>
      <c r="X9" s="1505"/>
      <c r="Y9" s="4144" t="s">
        <v>524</v>
      </c>
      <c r="Z9" s="4145"/>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4144" t="s">
        <v>527</v>
      </c>
      <c r="Q10" s="4145"/>
      <c r="R10" s="1503" t="s">
        <v>8</v>
      </c>
      <c r="S10" s="1504">
        <f t="shared" si="0"/>
        <v>0</v>
      </c>
      <c r="T10" s="1503" t="s">
        <v>8</v>
      </c>
      <c r="U10" s="1504">
        <f t="shared" si="1"/>
        <v>0</v>
      </c>
      <c r="V10" s="1503" t="s">
        <v>8</v>
      </c>
      <c r="W10" s="1504">
        <f t="shared" si="2"/>
        <v>0</v>
      </c>
      <c r="X10" s="1505"/>
      <c r="Y10" s="4144" t="s">
        <v>527</v>
      </c>
      <c r="Z10" s="4145"/>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4152" t="s">
        <v>529</v>
      </c>
      <c r="Q11" s="1134" t="str">
        <f t="shared" ref="Q11:Q17" si="6">B11</f>
        <v>用途</v>
      </c>
      <c r="R11" s="1503" t="s">
        <v>8</v>
      </c>
      <c r="S11" s="1504">
        <f t="shared" si="0"/>
        <v>100</v>
      </c>
      <c r="T11" s="1503" t="s">
        <v>8</v>
      </c>
      <c r="U11" s="1504">
        <f t="shared" si="1"/>
        <v>100</v>
      </c>
      <c r="V11" s="1503" t="s">
        <v>8</v>
      </c>
      <c r="W11" s="1504">
        <f t="shared" si="2"/>
        <v>100</v>
      </c>
      <c r="X11" s="1505"/>
      <c r="Y11" s="407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4152"/>
      <c r="Q12" s="1134" t="str">
        <f t="shared" si="6"/>
        <v>土地使用年限（年）</v>
      </c>
      <c r="R12" s="1503" t="s">
        <v>8</v>
      </c>
      <c r="S12" s="1504">
        <f t="shared" si="0"/>
        <v>100</v>
      </c>
      <c r="T12" s="1503" t="s">
        <v>8</v>
      </c>
      <c r="U12" s="1504">
        <f t="shared" si="1"/>
        <v>100</v>
      </c>
      <c r="V12" s="1503" t="s">
        <v>8</v>
      </c>
      <c r="W12" s="1504">
        <f t="shared" si="2"/>
        <v>100</v>
      </c>
      <c r="X12" s="1505"/>
      <c r="Y12" s="407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4152"/>
      <c r="Q13" s="1134" t="str">
        <f t="shared" si="6"/>
        <v>容积率</v>
      </c>
      <c r="R13" s="1503" t="s">
        <v>8</v>
      </c>
      <c r="S13" s="1504" t="e">
        <f t="shared" si="0"/>
        <v>#N/A</v>
      </c>
      <c r="T13" s="1503" t="s">
        <v>8</v>
      </c>
      <c r="U13" s="1504" t="e">
        <f t="shared" si="1"/>
        <v>#N/A</v>
      </c>
      <c r="V13" s="1503" t="s">
        <v>8</v>
      </c>
      <c r="W13" s="1504" t="e">
        <f t="shared" si="2"/>
        <v>#N/A</v>
      </c>
      <c r="X13" s="1505"/>
      <c r="Y13" s="407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4152"/>
      <c r="Q14" s="1134" t="str">
        <f t="shared" si="6"/>
        <v>配建</v>
      </c>
      <c r="R14" s="1503" t="s">
        <v>8</v>
      </c>
      <c r="S14" s="1504">
        <f t="shared" si="0"/>
        <v>100</v>
      </c>
      <c r="T14" s="1503" t="s">
        <v>8</v>
      </c>
      <c r="U14" s="1504">
        <f t="shared" si="1"/>
        <v>100</v>
      </c>
      <c r="V14" s="1503" t="s">
        <v>8</v>
      </c>
      <c r="W14" s="1504">
        <f t="shared" si="2"/>
        <v>100</v>
      </c>
      <c r="X14" s="1505"/>
      <c r="Y14" s="407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4152"/>
      <c r="Q15" s="1134">
        <f t="shared" si="6"/>
        <v>111</v>
      </c>
      <c r="R15" s="1503" t="s">
        <v>8</v>
      </c>
      <c r="S15" s="1504">
        <f t="shared" si="0"/>
        <v>100</v>
      </c>
      <c r="T15" s="1503" t="s">
        <v>8</v>
      </c>
      <c r="U15" s="1504">
        <f t="shared" si="1"/>
        <v>100</v>
      </c>
      <c r="V15" s="1503" t="s">
        <v>8</v>
      </c>
      <c r="W15" s="1504">
        <f t="shared" si="2"/>
        <v>100</v>
      </c>
      <c r="X15" s="1505"/>
      <c r="Y15" s="407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4152"/>
      <c r="Q16" s="1134">
        <f t="shared" si="6"/>
        <v>111</v>
      </c>
      <c r="R16" s="1503" t="s">
        <v>8</v>
      </c>
      <c r="S16" s="1504">
        <f t="shared" si="0"/>
        <v>100</v>
      </c>
      <c r="T16" s="1503" t="s">
        <v>8</v>
      </c>
      <c r="U16" s="1504">
        <f t="shared" si="1"/>
        <v>100</v>
      </c>
      <c r="V16" s="1503" t="s">
        <v>8</v>
      </c>
      <c r="W16" s="1504">
        <f t="shared" si="2"/>
        <v>100</v>
      </c>
      <c r="X16" s="1505"/>
      <c r="Y16" s="407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4154" t="s">
        <v>534</v>
      </c>
      <c r="Q17" s="1507" t="str">
        <f t="shared" si="6"/>
        <v>居住社区成熟度</v>
      </c>
      <c r="R17" s="1508" t="s">
        <v>8</v>
      </c>
      <c r="S17" s="1509">
        <f t="shared" si="0"/>
        <v>100</v>
      </c>
      <c r="T17" s="1508" t="s">
        <v>8</v>
      </c>
      <c r="U17" s="1509">
        <f t="shared" si="1"/>
        <v>100</v>
      </c>
      <c r="V17" s="1508" t="s">
        <v>8</v>
      </c>
      <c r="W17" s="1509">
        <f t="shared" si="2"/>
        <v>100</v>
      </c>
      <c r="X17" s="1502"/>
      <c r="Y17" s="4154"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4155"/>
      <c r="Q18" s="1507"/>
      <c r="R18" s="1508"/>
      <c r="S18" s="1509"/>
      <c r="T18" s="1508"/>
      <c r="U18" s="1509"/>
      <c r="V18" s="1508"/>
      <c r="W18" s="1509"/>
      <c r="X18" s="1502"/>
      <c r="Y18" s="4155"/>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4155"/>
      <c r="Q19" s="1507" t="str">
        <f>B19</f>
        <v>商业繁华度</v>
      </c>
      <c r="R19" s="1508" t="s">
        <v>8</v>
      </c>
      <c r="S19" s="1509">
        <f>F19</f>
        <v>100</v>
      </c>
      <c r="T19" s="1508" t="s">
        <v>8</v>
      </c>
      <c r="U19" s="1509">
        <f>H19</f>
        <v>100</v>
      </c>
      <c r="V19" s="1508" t="s">
        <v>8</v>
      </c>
      <c r="W19" s="1509">
        <f>J19</f>
        <v>100</v>
      </c>
      <c r="X19" s="1502"/>
      <c r="Y19" s="4155"/>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4155"/>
      <c r="Q20" s="1507"/>
      <c r="R20" s="1508"/>
      <c r="S20" s="1509"/>
      <c r="T20" s="1508"/>
      <c r="U20" s="1509"/>
      <c r="V20" s="1508"/>
      <c r="W20" s="1509"/>
      <c r="X20" s="1502"/>
      <c r="Y20" s="4155"/>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4155"/>
      <c r="Q21" s="1507" t="str">
        <f>B21</f>
        <v>办公集聚程度</v>
      </c>
      <c r="R21" s="1508" t="s">
        <v>8</v>
      </c>
      <c r="S21" s="1509">
        <f>F21</f>
        <v>100</v>
      </c>
      <c r="T21" s="1508" t="s">
        <v>8</v>
      </c>
      <c r="U21" s="1509">
        <f>H21</f>
        <v>100</v>
      </c>
      <c r="V21" s="1508" t="s">
        <v>8</v>
      </c>
      <c r="W21" s="1509">
        <f>J21</f>
        <v>100</v>
      </c>
      <c r="X21" s="1502"/>
      <c r="Y21" s="4155"/>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4155"/>
      <c r="Q22" s="1507"/>
      <c r="R22" s="1508"/>
      <c r="S22" s="1509"/>
      <c r="T22" s="1508"/>
      <c r="U22" s="1509"/>
      <c r="V22" s="1508"/>
      <c r="W22" s="1509"/>
      <c r="X22" s="1502"/>
      <c r="Y22" s="4155"/>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4155"/>
      <c r="Q23" s="1507" t="str">
        <f>B23</f>
        <v>交通便捷度</v>
      </c>
      <c r="R23" s="1508" t="s">
        <v>8</v>
      </c>
      <c r="S23" s="1509">
        <f>F23</f>
        <v>100</v>
      </c>
      <c r="T23" s="1508" t="s">
        <v>8</v>
      </c>
      <c r="U23" s="1509">
        <f>H23</f>
        <v>100</v>
      </c>
      <c r="V23" s="1508" t="s">
        <v>8</v>
      </c>
      <c r="W23" s="1509">
        <f>J23</f>
        <v>100</v>
      </c>
      <c r="X23" s="1502"/>
      <c r="Y23" s="4155"/>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4155"/>
      <c r="Q24" s="1507"/>
      <c r="R24" s="1508"/>
      <c r="S24" s="1509"/>
      <c r="T24" s="1508"/>
      <c r="U24" s="1509"/>
      <c r="V24" s="1508"/>
      <c r="W24" s="1509"/>
      <c r="X24" s="1502"/>
      <c r="Y24" s="4155"/>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4155"/>
      <c r="Q25" s="1507" t="str">
        <f t="shared" ref="Q25:Q39" si="8">B25</f>
        <v>区域土地利用方向</v>
      </c>
      <c r="R25" s="1508" t="s">
        <v>8</v>
      </c>
      <c r="S25" s="1509">
        <f>F25</f>
        <v>100</v>
      </c>
      <c r="T25" s="1508" t="s">
        <v>8</v>
      </c>
      <c r="U25" s="1509">
        <f>H25</f>
        <v>100</v>
      </c>
      <c r="V25" s="1508" t="s">
        <v>8</v>
      </c>
      <c r="W25" s="1509">
        <f>J25</f>
        <v>100</v>
      </c>
      <c r="X25" s="1502"/>
      <c r="Y25" s="4155"/>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4155"/>
      <c r="Q26" s="1507"/>
      <c r="R26" s="1508"/>
      <c r="S26" s="1509"/>
      <c r="T26" s="1508"/>
      <c r="U26" s="1509"/>
      <c r="V26" s="1508"/>
      <c r="W26" s="1509"/>
      <c r="X26" s="1502"/>
      <c r="Y26" s="4155"/>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4155"/>
      <c r="Q27" s="1507" t="str">
        <f t="shared" si="8"/>
        <v>自然及人文环境状况</v>
      </c>
      <c r="R27" s="1508" t="s">
        <v>8</v>
      </c>
      <c r="S27" s="1509">
        <f>F27</f>
        <v>100</v>
      </c>
      <c r="T27" s="1508" t="s">
        <v>8</v>
      </c>
      <c r="U27" s="1509">
        <f>H27</f>
        <v>100</v>
      </c>
      <c r="V27" s="1508" t="s">
        <v>8</v>
      </c>
      <c r="W27" s="1509">
        <f>J27</f>
        <v>100</v>
      </c>
      <c r="X27" s="1502"/>
      <c r="Y27" s="4155"/>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4155"/>
      <c r="Q28" s="1507"/>
      <c r="R28" s="1508"/>
      <c r="S28" s="1509"/>
      <c r="T28" s="1508"/>
      <c r="U28" s="1509"/>
      <c r="V28" s="1508"/>
      <c r="W28" s="1509"/>
      <c r="X28" s="1502"/>
      <c r="Y28" s="4155"/>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4155"/>
      <c r="Q29" s="1134" t="str">
        <f t="shared" si="8"/>
        <v>公共配套设施</v>
      </c>
      <c r="R29" s="1503" t="s">
        <v>8</v>
      </c>
      <c r="S29" s="1504">
        <f>F29</f>
        <v>100</v>
      </c>
      <c r="T29" s="1503" t="s">
        <v>8</v>
      </c>
      <c r="U29" s="1504">
        <f>H29</f>
        <v>100</v>
      </c>
      <c r="V29" s="1503" t="s">
        <v>8</v>
      </c>
      <c r="W29" s="1504">
        <f>J29</f>
        <v>100</v>
      </c>
      <c r="X29" s="1505"/>
      <c r="Y29" s="4155"/>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4155"/>
      <c r="Q30" s="1134"/>
      <c r="R30" s="1503"/>
      <c r="S30" s="1504"/>
      <c r="T30" s="1503"/>
      <c r="U30" s="1504"/>
      <c r="V30" s="1503"/>
      <c r="W30" s="1504"/>
      <c r="X30" s="1505"/>
      <c r="Y30" s="4155"/>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4155"/>
      <c r="Q31" s="2428" t="str">
        <f t="shared" ref="Q31" si="9">B31</f>
        <v>基础设施水平</v>
      </c>
      <c r="R31" s="1503" t="s">
        <v>8</v>
      </c>
      <c r="S31" s="1504">
        <f>F31</f>
        <v>100</v>
      </c>
      <c r="T31" s="1503" t="s">
        <v>8</v>
      </c>
      <c r="U31" s="1504">
        <f>H31</f>
        <v>100</v>
      </c>
      <c r="V31" s="1503" t="s">
        <v>8</v>
      </c>
      <c r="W31" s="1504">
        <f>J31</f>
        <v>100</v>
      </c>
      <c r="X31" s="1505"/>
      <c r="Y31" s="4155"/>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4155"/>
      <c r="Q32" s="2428"/>
      <c r="R32" s="1503"/>
      <c r="S32" s="1504"/>
      <c r="T32" s="1503"/>
      <c r="U32" s="1504"/>
      <c r="V32" s="1503"/>
      <c r="W32" s="1504"/>
      <c r="X32" s="1505"/>
      <c r="Y32" s="4155"/>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4155"/>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4155"/>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4155"/>
      <c r="Q34" s="1507" t="str">
        <f t="shared" si="8"/>
        <v>毗邻道路的类型与等级</v>
      </c>
      <c r="R34" s="1508" t="s">
        <v>8</v>
      </c>
      <c r="S34" s="1509">
        <f t="shared" si="10"/>
        <v>100</v>
      </c>
      <c r="T34" s="1508" t="s">
        <v>8</v>
      </c>
      <c r="U34" s="1509">
        <f t="shared" si="11"/>
        <v>100</v>
      </c>
      <c r="V34" s="1508" t="s">
        <v>8</v>
      </c>
      <c r="W34" s="1509">
        <f t="shared" si="12"/>
        <v>100</v>
      </c>
      <c r="X34" s="1502"/>
      <c r="Y34" s="4155"/>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4155"/>
      <c r="Q35" s="1507"/>
      <c r="R35" s="1508"/>
      <c r="S35" s="1509"/>
      <c r="T35" s="1508"/>
      <c r="U35" s="1509"/>
      <c r="V35" s="1508"/>
      <c r="W35" s="1509"/>
      <c r="X35" s="1502"/>
      <c r="Y35" s="4155"/>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4155"/>
      <c r="Q36" s="1507" t="str">
        <f t="shared" si="8"/>
        <v>土地级别</v>
      </c>
      <c r="R36" s="1508" t="s">
        <v>8</v>
      </c>
      <c r="S36" s="1509">
        <f t="shared" si="10"/>
        <v>100</v>
      </c>
      <c r="T36" s="1508" t="s">
        <v>8</v>
      </c>
      <c r="U36" s="1509">
        <f t="shared" si="11"/>
        <v>100</v>
      </c>
      <c r="V36" s="1508" t="s">
        <v>8</v>
      </c>
      <c r="W36" s="1509">
        <f t="shared" si="12"/>
        <v>100</v>
      </c>
      <c r="X36" s="1502"/>
      <c r="Y36" s="4155"/>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4155"/>
      <c r="Q37" s="1507">
        <f t="shared" si="8"/>
        <v>111</v>
      </c>
      <c r="R37" s="1508" t="s">
        <v>8</v>
      </c>
      <c r="S37" s="1509">
        <f t="shared" si="10"/>
        <v>100</v>
      </c>
      <c r="T37" s="1508" t="s">
        <v>8</v>
      </c>
      <c r="U37" s="1509">
        <f t="shared" si="11"/>
        <v>100</v>
      </c>
      <c r="V37" s="1508" t="s">
        <v>8</v>
      </c>
      <c r="W37" s="1509">
        <f t="shared" si="12"/>
        <v>100</v>
      </c>
      <c r="X37" s="1502"/>
      <c r="Y37" s="4155"/>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4156" t="s">
        <v>544</v>
      </c>
      <c r="Q38" s="1507">
        <f t="shared" si="8"/>
        <v>111</v>
      </c>
      <c r="R38" s="1508" t="s">
        <v>8</v>
      </c>
      <c r="S38" s="1509">
        <f t="shared" si="10"/>
        <v>100</v>
      </c>
      <c r="T38" s="1508" t="s">
        <v>8</v>
      </c>
      <c r="U38" s="1509">
        <f t="shared" si="11"/>
        <v>100</v>
      </c>
      <c r="V38" s="1508" t="s">
        <v>8</v>
      </c>
      <c r="W38" s="1509">
        <f t="shared" si="12"/>
        <v>100</v>
      </c>
      <c r="X38" s="1502"/>
      <c r="Y38" s="4157"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4157"/>
      <c r="Q39" s="1507">
        <f t="shared" si="8"/>
        <v>111</v>
      </c>
      <c r="R39" s="1512" t="s">
        <v>8</v>
      </c>
      <c r="S39" s="1513">
        <f t="shared" si="10"/>
        <v>100</v>
      </c>
      <c r="T39" s="1512" t="s">
        <v>8</v>
      </c>
      <c r="U39" s="1513">
        <f t="shared" si="11"/>
        <v>100</v>
      </c>
      <c r="V39" s="1512" t="s">
        <v>8</v>
      </c>
      <c r="W39" s="1513">
        <f t="shared" si="12"/>
        <v>100</v>
      </c>
      <c r="X39" s="1514"/>
      <c r="Y39" s="4157"/>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4157"/>
      <c r="Q40" s="1507" t="str">
        <f>B40</f>
        <v>宗地面积</v>
      </c>
      <c r="R40" s="1508" t="s">
        <v>8</v>
      </c>
      <c r="S40" s="1509" t="e">
        <f t="shared" si="10"/>
        <v>#N/A</v>
      </c>
      <c r="T40" s="1508" t="s">
        <v>8</v>
      </c>
      <c r="U40" s="1509" t="e">
        <f t="shared" si="11"/>
        <v>#N/A</v>
      </c>
      <c r="V40" s="1508" t="s">
        <v>8</v>
      </c>
      <c r="W40" s="1509" t="e">
        <f t="shared" si="12"/>
        <v>#N/A</v>
      </c>
      <c r="X40" s="1502"/>
      <c r="Y40" s="4157"/>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4157"/>
      <c r="Q41" s="1507" t="str">
        <f t="shared" ref="Q41:Q47" si="14">B41</f>
        <v>宗地形状</v>
      </c>
      <c r="R41" s="1508" t="s">
        <v>8</v>
      </c>
      <c r="S41" s="1509">
        <f t="shared" si="10"/>
        <v>100</v>
      </c>
      <c r="T41" s="1508" t="s">
        <v>8</v>
      </c>
      <c r="U41" s="1509">
        <f t="shared" si="11"/>
        <v>100</v>
      </c>
      <c r="V41" s="1508" t="s">
        <v>8</v>
      </c>
      <c r="W41" s="1509">
        <f t="shared" si="12"/>
        <v>100</v>
      </c>
      <c r="X41" s="1502"/>
      <c r="Y41" s="4157"/>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4157"/>
      <c r="Q42" s="1507" t="str">
        <f t="shared" si="14"/>
        <v>临街宽度及深度</v>
      </c>
      <c r="R42" s="1508" t="s">
        <v>8</v>
      </c>
      <c r="S42" s="1509">
        <f t="shared" si="10"/>
        <v>100</v>
      </c>
      <c r="T42" s="1508" t="s">
        <v>8</v>
      </c>
      <c r="U42" s="1509">
        <f t="shared" si="11"/>
        <v>100</v>
      </c>
      <c r="V42" s="1508" t="s">
        <v>8</v>
      </c>
      <c r="W42" s="1509">
        <f t="shared" si="12"/>
        <v>100</v>
      </c>
      <c r="X42" s="1502"/>
      <c r="Y42" s="4157"/>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4157"/>
      <c r="Q43" s="1507" t="str">
        <f t="shared" si="14"/>
        <v>宗地开发程度</v>
      </c>
      <c r="R43" s="1503" t="s">
        <v>8</v>
      </c>
      <c r="S43" s="1504">
        <f t="shared" si="10"/>
        <v>100</v>
      </c>
      <c r="T43" s="1503" t="s">
        <v>8</v>
      </c>
      <c r="U43" s="1504">
        <f t="shared" si="11"/>
        <v>100</v>
      </c>
      <c r="V43" s="1503" t="s">
        <v>8</v>
      </c>
      <c r="W43" s="1504">
        <f t="shared" si="12"/>
        <v>100</v>
      </c>
      <c r="X43" s="1505"/>
      <c r="Y43" s="4157"/>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4157" t="s">
        <v>544</v>
      </c>
      <c r="Q44" s="1507" t="str">
        <f t="shared" si="14"/>
        <v>工程地质条件</v>
      </c>
      <c r="R44" s="1508" t="s">
        <v>8</v>
      </c>
      <c r="S44" s="1509">
        <f t="shared" si="10"/>
        <v>100</v>
      </c>
      <c r="T44" s="1508" t="s">
        <v>8</v>
      </c>
      <c r="U44" s="1509">
        <f t="shared" si="11"/>
        <v>100</v>
      </c>
      <c r="V44" s="1508" t="s">
        <v>8</v>
      </c>
      <c r="W44" s="1509">
        <f t="shared" si="12"/>
        <v>100</v>
      </c>
      <c r="X44" s="1502"/>
      <c r="Y44" s="4157"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4157"/>
      <c r="Q45" s="1507">
        <f t="shared" si="14"/>
        <v>111</v>
      </c>
      <c r="R45" s="1508" t="s">
        <v>8</v>
      </c>
      <c r="S45" s="1509">
        <f t="shared" si="10"/>
        <v>100</v>
      </c>
      <c r="T45" s="1508" t="s">
        <v>8</v>
      </c>
      <c r="U45" s="1509">
        <f t="shared" si="11"/>
        <v>100</v>
      </c>
      <c r="V45" s="1508" t="s">
        <v>8</v>
      </c>
      <c r="W45" s="1509">
        <f t="shared" si="12"/>
        <v>100</v>
      </c>
      <c r="X45" s="1502"/>
      <c r="Y45" s="4157"/>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4157"/>
      <c r="Q46" s="1507">
        <f t="shared" si="14"/>
        <v>111</v>
      </c>
      <c r="R46" s="1508" t="s">
        <v>8</v>
      </c>
      <c r="S46" s="1509">
        <f t="shared" si="10"/>
        <v>100</v>
      </c>
      <c r="T46" s="1508" t="s">
        <v>8</v>
      </c>
      <c r="U46" s="1509">
        <f t="shared" si="11"/>
        <v>100</v>
      </c>
      <c r="V46" s="1508" t="s">
        <v>8</v>
      </c>
      <c r="W46" s="1509">
        <f t="shared" si="12"/>
        <v>100</v>
      </c>
      <c r="X46" s="1502"/>
      <c r="Y46" s="4157"/>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4157"/>
      <c r="Q47" s="1507">
        <f t="shared" si="14"/>
        <v>111</v>
      </c>
      <c r="R47" s="1512" t="s">
        <v>8</v>
      </c>
      <c r="S47" s="1513">
        <f t="shared" si="10"/>
        <v>100</v>
      </c>
      <c r="T47" s="1512" t="s">
        <v>8</v>
      </c>
      <c r="U47" s="1513">
        <f t="shared" si="11"/>
        <v>100</v>
      </c>
      <c r="V47" s="1512" t="s">
        <v>8</v>
      </c>
      <c r="W47" s="1513">
        <f t="shared" si="12"/>
        <v>100</v>
      </c>
      <c r="X47" s="1514"/>
      <c r="Y47" s="4157"/>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4152" t="str">
        <f>A48</f>
        <v>成交单价</v>
      </c>
      <c r="Q48" s="4152"/>
      <c r="R48" s="4166">
        <f>E48</f>
        <v>0</v>
      </c>
      <c r="S48" s="4166"/>
      <c r="T48" s="4166">
        <f>G48</f>
        <v>0</v>
      </c>
      <c r="U48" s="4166"/>
      <c r="V48" s="4166">
        <f>I48</f>
        <v>0</v>
      </c>
      <c r="W48" s="4166"/>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4152" t="str">
        <f>A49</f>
        <v>比较价格（元/平方米）</v>
      </c>
      <c r="Q49" s="4152"/>
      <c r="R49" s="4176" t="e">
        <f>ROUND(PRODUCT(R48,AA9:AA47),0)</f>
        <v>#DIV/0!</v>
      </c>
      <c r="S49" s="4176"/>
      <c r="T49" s="4176" t="e">
        <f>ROUND(PRODUCT(T48,AB9:AB47),0)</f>
        <v>#DIV/0!</v>
      </c>
      <c r="U49" s="4176"/>
      <c r="V49" s="4176" t="e">
        <f>ROUND(PRODUCT(V48,AC9:AC47),0)</f>
        <v>#DIV/0!</v>
      </c>
      <c r="W49" s="4176"/>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4173" t="str">
        <f>A50</f>
        <v>估价对象XX用房的比较价格（楼面单价，元/平方米）</v>
      </c>
      <c r="Q50" s="4174"/>
      <c r="R50" s="4175" t="e">
        <f>ROUND(IF(D49="简单平均",AVERAGE(R49:W49),R49*F49+T49*H49+V49*J49),0)</f>
        <v>#DIV/0!</v>
      </c>
      <c r="S50" s="4175"/>
      <c r="T50" s="4175"/>
      <c r="U50" s="4175"/>
      <c r="V50" s="4175"/>
      <c r="W50" s="4175"/>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4136" t="s">
        <v>2269</v>
      </c>
      <c r="H57" s="4137"/>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26088.75</v>
      </c>
      <c r="F58" s="628" t="e">
        <f t="shared" ref="F58:F67" si="15">ROUND(B58*E58/10000,0)</f>
        <v>#DIV/0!</v>
      </c>
      <c r="G58" s="4138"/>
      <c r="H58" s="4139"/>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4140"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4140"/>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4140"/>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4140"/>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v>
      </c>
      <c r="D63" s="2109">
        <v>0.25</v>
      </c>
      <c r="E63" s="633">
        <f>'数据-汇总表'!E11</f>
        <v>0</v>
      </c>
      <c r="F63" s="628" t="e">
        <f t="shared" si="15"/>
        <v>#DIV/0!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v>
      </c>
      <c r="D64" s="2109">
        <v>0.25</v>
      </c>
      <c r="E64" s="633">
        <f>'数据-汇总表'!E12</f>
        <v>0</v>
      </c>
      <c r="F64" s="628" t="e">
        <f t="shared" si="15"/>
        <v>#DIV/0!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v>
      </c>
      <c r="D67" s="2109">
        <v>0.25</v>
      </c>
      <c r="E67" s="633">
        <f>'数据-汇总表'!E15</f>
        <v>0</v>
      </c>
      <c r="F67" s="628" t="e">
        <f t="shared" si="15"/>
        <v>#DIV/0!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26088.75</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2" priority="18" stopIfTrue="1" operator="containsText" text="超过">
      <formula>NOT(ISERROR(SEARCH("超过",F53)))</formula>
    </cfRule>
  </conditionalFormatting>
  <conditionalFormatting sqref="J55">
    <cfRule type="containsText" dxfId="161" priority="17" stopIfTrue="1" operator="containsText" text="超过">
      <formula>NOT(ISERROR(SEARCH("超过",J55)))</formula>
    </cfRule>
  </conditionalFormatting>
  <conditionalFormatting sqref="H55">
    <cfRule type="containsText" dxfId="160" priority="16" stopIfTrue="1" operator="containsText" text="超过">
      <formula>NOT(ISERROR(SEARCH("超过",H55)))</formula>
    </cfRule>
  </conditionalFormatting>
  <conditionalFormatting sqref="F55">
    <cfRule type="containsText" dxfId="159" priority="15" stopIfTrue="1" operator="containsText" text="超过">
      <formula>NOT(ISERROR(SEARCH("超过",F55)))</formula>
    </cfRule>
  </conditionalFormatting>
  <conditionalFormatting sqref="F54 H54 J54">
    <cfRule type="containsText" dxfId="158" priority="14" stopIfTrue="1" operator="containsText" text="超过">
      <formula>NOT(ISERROR(SEARCH("超过",F54)))</formula>
    </cfRule>
  </conditionalFormatting>
  <conditionalFormatting sqref="E53">
    <cfRule type="expression" dxfId="157" priority="13" stopIfTrue="1">
      <formula>$F$53="超过30%"</formula>
    </cfRule>
  </conditionalFormatting>
  <conditionalFormatting sqref="G55">
    <cfRule type="expression" dxfId="156" priority="12" stopIfTrue="1">
      <formula>$H$55="超过30%"</formula>
    </cfRule>
  </conditionalFormatting>
  <conditionalFormatting sqref="E54">
    <cfRule type="expression" dxfId="155" priority="11" stopIfTrue="1">
      <formula>$F$54="超过20%"</formula>
    </cfRule>
  </conditionalFormatting>
  <conditionalFormatting sqref="E55">
    <cfRule type="expression" dxfId="154" priority="10" stopIfTrue="1">
      <formula>$F$55="超过30%"</formula>
    </cfRule>
  </conditionalFormatting>
  <conditionalFormatting sqref="G53">
    <cfRule type="expression" dxfId="153" priority="9" stopIfTrue="1">
      <formula>$H$55+$H$53="超过30%"</formula>
    </cfRule>
  </conditionalFormatting>
  <conditionalFormatting sqref="G54">
    <cfRule type="expression" dxfId="152" priority="8" stopIfTrue="1">
      <formula>$H$54="超过20%"</formula>
    </cfRule>
  </conditionalFormatting>
  <conditionalFormatting sqref="I53">
    <cfRule type="expression" dxfId="151" priority="7" stopIfTrue="1">
      <formula>$J$53="超过30%"</formula>
    </cfRule>
  </conditionalFormatting>
  <conditionalFormatting sqref="I54">
    <cfRule type="expression" dxfId="150" priority="6" stopIfTrue="1">
      <formula>$J$54="超过20%"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9:F47 H9:H47 J9:J47">
    <cfRule type="cellIs" dxfId="145" priority="1" operator="notEqual">
      <formula>100</formula>
    </cfRule>
  </conditionalFormatting>
  <dataValidations count="25">
    <dataValidation type="list" allowBlank="1" showInputMessage="1" showErrorMessage="1" sqref="C27" xr:uid="{00000000-0002-0000-1400-000000000000}">
      <formula1>住宅朝向</formula1>
    </dataValidation>
    <dataValidation type="list" allowBlank="1" showInputMessage="1" showErrorMessage="1" sqref="E30 C30 I30 G30" xr:uid="{00000000-0002-0000-1400-000001000000}">
      <formula1>公共配套设施</formula1>
    </dataValidation>
    <dataValidation type="list" allowBlank="1" showInputMessage="1" showErrorMessage="1" sqref="E24 C24 G24 I24" xr:uid="{00000000-0002-0000-1400-000002000000}">
      <formula1>交通便捷度</formula1>
    </dataValidation>
    <dataValidation type="list" allowBlank="1" showInputMessage="1" showErrorMessage="1" sqref="E18 G18 I18 C18" xr:uid="{00000000-0002-0000-1400-000003000000}">
      <formula1>居住社区成熟度</formula1>
    </dataValidation>
    <dataValidation type="list" allowBlank="1" showInputMessage="1" showErrorMessage="1" sqref="C28 E28 G28 I28" xr:uid="{00000000-0002-0000-1400-000004000000}">
      <formula1>环境</formula1>
    </dataValidation>
    <dataValidation type="list" allowBlank="1" showInputMessage="1" showErrorMessage="1" sqref="B48" xr:uid="{00000000-0002-0000-1400-000005000000}">
      <formula1>单价内涵</formula1>
    </dataValidation>
    <dataValidation type="list" allowBlank="1" showInputMessage="1" showErrorMessage="1" sqref="C10 E10 G10 I10" xr:uid="{00000000-0002-0000-1400-000006000000}">
      <formula1>套综交易情况</formula1>
    </dataValidation>
    <dataValidation type="list" allowBlank="1" showInputMessage="1" showErrorMessage="1" sqref="C11 E11 G11 I11" xr:uid="{00000000-0002-0000-1400-000007000000}">
      <formula1>套综用途</formula1>
    </dataValidation>
    <dataValidation type="list" allowBlank="1" showInputMessage="1" showErrorMessage="1" sqref="E20 C20 G20 I20" xr:uid="{00000000-0002-0000-1400-000008000000}">
      <formula1>商业繁华度</formula1>
    </dataValidation>
    <dataValidation type="list" allowBlank="1" showInputMessage="1" showErrorMessage="1" sqref="E22 C22 G22 I22" xr:uid="{00000000-0002-0000-1400-000009000000}">
      <formula1>办公集聚程度</formula1>
    </dataValidation>
    <dataValidation type="list" allowBlank="1" showInputMessage="1" showErrorMessage="1" sqref="C35 E35 G35 I35" xr:uid="{00000000-0002-0000-1400-00000A000000}">
      <formula1>套综道路等级</formula1>
    </dataValidation>
    <dataValidation type="list" allowBlank="1" showInputMessage="1" showErrorMessage="1" sqref="C36 E36 G36 I36" xr:uid="{00000000-0002-0000-1400-00000B000000}">
      <formula1>套综土地级别</formula1>
    </dataValidation>
    <dataValidation type="list" allowBlank="1" showInputMessage="1" showErrorMessage="1" sqref="C41 E41 G41 I41" xr:uid="{00000000-0002-0000-1400-00000C000000}">
      <formula1>套综宗地形状</formula1>
    </dataValidation>
    <dataValidation type="list" allowBlank="1" showInputMessage="1" showErrorMessage="1" sqref="C42 E42 G42 I42" xr:uid="{00000000-0002-0000-1400-00000D000000}">
      <formula1>套综临街宽度及深度</formula1>
    </dataValidation>
    <dataValidation type="list" allowBlank="1" showInputMessage="1" showErrorMessage="1" sqref="C43 E43 G43 I43" xr:uid="{00000000-0002-0000-1400-00000E000000}">
      <formula1>套综宗地内开发程度</formula1>
    </dataValidation>
    <dataValidation type="list" allowBlank="1" showInputMessage="1" showErrorMessage="1" sqref="C44 E44 G44 I44" xr:uid="{00000000-0002-0000-1400-00000F000000}">
      <formula1>套综工程地质条件</formula1>
    </dataValidation>
    <dataValidation type="list" allowBlank="1" showInputMessage="1" showErrorMessage="1" sqref="C33 E33 G33 I33" xr:uid="{00000000-0002-0000-1400-000010000000}">
      <formula1>临街状况</formula1>
    </dataValidation>
    <dataValidation type="list" allowBlank="1" showInputMessage="1" showErrorMessage="1" sqref="E26 G26 I26 C26" xr:uid="{00000000-0002-0000-1400-000011000000}">
      <formula1>区域土地利用方向</formula1>
    </dataValidation>
    <dataValidation type="list" allowBlank="1" showInputMessage="1" showErrorMessage="1" sqref="C57" xr:uid="{00000000-0002-0000-1400-000012000000}">
      <formula1>"北京市系数,其他省市系数"</formula1>
    </dataValidation>
    <dataValidation type="list" allowBlank="1" showInputMessage="1" showErrorMessage="1" sqref="G65" xr:uid="{00000000-0002-0000-1400-000013000000}">
      <formula1>"住宅,工业"</formula1>
    </dataValidation>
    <dataValidation type="list" allowBlank="1" showInputMessage="1" showErrorMessage="1" sqref="G64" xr:uid="{00000000-0002-0000-1400-000014000000}">
      <formula1>"商业,办公,住宅,工业"</formula1>
    </dataValidation>
    <dataValidation type="list" allowBlank="1" showInputMessage="1" showErrorMessage="1" sqref="D59:D67" xr:uid="{00000000-0002-0000-1400-000015000000}">
      <formula1>"25%,1"</formula1>
    </dataValidation>
    <dataValidation type="list" allowBlank="1" showInputMessage="1" showErrorMessage="1" sqref="C32 E32 G32 I32" xr:uid="{00000000-0002-0000-1400-000016000000}">
      <formula1>基础设施水平</formula1>
    </dataValidation>
    <dataValidation type="list" allowBlank="1" showInputMessage="1" showErrorMessage="1" sqref="A73" xr:uid="{00000000-0002-0000-1400-000017000000}">
      <formula1>"综合,商业,办公,住宅"</formula1>
    </dataValidation>
    <dataValidation type="list" allowBlank="1" showInputMessage="1" showErrorMessage="1" sqref="D49"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pageSetUpPr fitToPage="1"/>
  </sheetPr>
  <dimension ref="A1:AG76"/>
  <sheetViews>
    <sheetView view="pageBreakPreview" zoomScale="80" zoomScaleNormal="60" zoomScaleSheetLayoutView="80" workbookViewId="0">
      <selection activeCell="D41" sqref="D41"/>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972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9474</v>
      </c>
      <c r="C2" s="3264"/>
      <c r="D2" s="3265"/>
      <c r="E2" s="3266"/>
      <c r="F2" s="3266"/>
      <c r="G2" s="3260"/>
      <c r="H2" s="1940"/>
      <c r="I2" s="1940"/>
      <c r="J2" s="1940"/>
      <c r="K2" s="1941"/>
      <c r="L2" s="1940"/>
      <c r="M2" s="1940"/>
    </row>
    <row r="3" spans="1:33" ht="18" customHeight="1" thickBot="1">
      <c r="A3" s="822" t="s">
        <v>1718</v>
      </c>
      <c r="B3" s="823">
        <f ca="1">IF(ISERROR(B2*10000/F43),0,ROUND(B2*10000/F43,0))</f>
        <v>3631</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572</v>
      </c>
      <c r="D5" s="2349" t="s">
        <v>2443</v>
      </c>
      <c r="E5" s="2343"/>
      <c r="F5" s="2344"/>
      <c r="G5" s="1945"/>
      <c r="H5" s="771">
        <v>1</v>
      </c>
      <c r="I5" s="772" t="s">
        <v>2440</v>
      </c>
      <c r="J5" s="55">
        <f ca="1">J6+J10+J12</f>
        <v>0</v>
      </c>
      <c r="K5" s="2349" t="s">
        <v>2443</v>
      </c>
      <c r="L5" s="2343"/>
      <c r="M5" s="2344"/>
    </row>
    <row r="6" spans="1:33" ht="18" customHeight="1">
      <c r="A6" s="1745" t="s">
        <v>1815</v>
      </c>
      <c r="B6" s="4179" t="s">
        <v>2445</v>
      </c>
      <c r="C6" s="773">
        <f ca="1">ROUND(F6*F8*F7*(1-F9)/10000,0)</f>
        <v>571</v>
      </c>
      <c r="D6" s="2350" t="s">
        <v>2444</v>
      </c>
      <c r="E6" s="774" t="s">
        <v>1729</v>
      </c>
      <c r="F6" s="775">
        <f ca="1">INDIRECT("'数据-取费表'!u"&amp;$G$1)</f>
        <v>0.75</v>
      </c>
      <c r="G6" s="1945"/>
      <c r="H6" s="2357" t="s">
        <v>2450</v>
      </c>
      <c r="I6" s="4179" t="s">
        <v>2445</v>
      </c>
      <c r="J6" s="773">
        <f ca="1">ROUND(M6*M8*M7*(1-M9)/10000,0)</f>
        <v>0</v>
      </c>
      <c r="K6" s="339" t="s">
        <v>1728</v>
      </c>
      <c r="L6" s="774" t="s">
        <v>1729</v>
      </c>
      <c r="M6" s="775">
        <f ca="1">INDIRECT("'数据-取费表'!z"&amp;$G$1)</f>
        <v>0</v>
      </c>
    </row>
    <row r="7" spans="1:33" ht="18" customHeight="1">
      <c r="A7" s="2353"/>
      <c r="B7" s="4180"/>
      <c r="C7" s="778"/>
      <c r="D7" s="779"/>
      <c r="E7" s="774" t="s">
        <v>1730</v>
      </c>
      <c r="F7" s="775">
        <f ca="1">IF(INDIRECT("'数据-取费表'!ah"&amp;$G$1)="",INDIRECT("'数据-取费表'!k"&amp;$G$1),INDIRECT("'数据-取费表'!ah"&amp;$G$1))</f>
        <v>26088.75</v>
      </c>
      <c r="G7" s="1945"/>
      <c r="H7" s="2342"/>
      <c r="I7" s="4180"/>
      <c r="J7" s="778"/>
      <c r="K7" s="779"/>
      <c r="L7" s="774" t="s">
        <v>1730</v>
      </c>
      <c r="M7" s="775">
        <f ca="1">F7</f>
        <v>26088.75</v>
      </c>
    </row>
    <row r="8" spans="1:33" ht="18" customHeight="1">
      <c r="A8" s="2346"/>
      <c r="B8" s="4181"/>
      <c r="C8" s="778"/>
      <c r="D8" s="779"/>
      <c r="E8" s="774" t="s">
        <v>1731</v>
      </c>
      <c r="F8" s="775">
        <f ca="1">INDIRECT("'数据-取费表'!ai"&amp;$G$1)</f>
        <v>365</v>
      </c>
      <c r="G8" s="1945"/>
      <c r="H8" s="2342"/>
      <c r="I8" s="4181"/>
      <c r="J8" s="778"/>
      <c r="K8" s="779"/>
      <c r="L8" s="774" t="s">
        <v>1731</v>
      </c>
      <c r="M8" s="775">
        <f ca="1">INDIRECT("'数据-取费表'!ai"&amp;$G$1)</f>
        <v>365</v>
      </c>
    </row>
    <row r="9" spans="1:33" ht="18" customHeight="1">
      <c r="A9" s="776"/>
      <c r="B9" s="4182"/>
      <c r="C9" s="778"/>
      <c r="D9" s="779"/>
      <c r="E9" s="774" t="s">
        <v>1732</v>
      </c>
      <c r="F9" s="784">
        <f ca="1">INDIRECT("'数据-取费表'!w"&amp;$G$1)</f>
        <v>0.2</v>
      </c>
      <c r="G9" s="1945"/>
      <c r="H9" s="2358"/>
      <c r="I9" s="4181"/>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3077</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6342</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4696</v>
      </c>
      <c r="D14" s="1893" t="s">
        <v>1736</v>
      </c>
      <c r="E14" s="1894"/>
      <c r="F14" s="795"/>
      <c r="G14" s="1945"/>
      <c r="H14" s="1578" t="s">
        <v>1821</v>
      </c>
      <c r="I14" s="2111" t="s">
        <v>2806</v>
      </c>
      <c r="J14" s="53">
        <f ca="1">C29</f>
        <v>6342</v>
      </c>
      <c r="K14" s="26"/>
      <c r="L14" s="791"/>
      <c r="M14" s="792"/>
    </row>
    <row r="15" spans="1:33" s="1947" customFormat="1" ht="18" customHeight="1" thickBot="1">
      <c r="A15" s="1577" t="s">
        <v>1876</v>
      </c>
      <c r="B15" s="774" t="s">
        <v>641</v>
      </c>
      <c r="C15" s="53">
        <f ca="1">ROUND(C14*F15,0)</f>
        <v>141</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89</v>
      </c>
      <c r="K16" s="1736" t="s">
        <v>1741</v>
      </c>
      <c r="L16" s="2339"/>
      <c r="M16" s="2344"/>
    </row>
    <row r="17" spans="1:33" s="1947" customFormat="1" ht="18" customHeight="1">
      <c r="A17" s="1577" t="s">
        <v>1878</v>
      </c>
      <c r="B17" s="774" t="s">
        <v>647</v>
      </c>
      <c r="C17" s="53">
        <f ca="1">ROUND(F17*(F43+INDIRECT("'数据-取费表'!S"&amp;$G$1))/10000,0)</f>
        <v>522</v>
      </c>
      <c r="D17" s="774" t="s">
        <v>1742</v>
      </c>
      <c r="E17" s="774" t="s">
        <v>1743</v>
      </c>
      <c r="F17" s="56">
        <f>'数据-取费表'!B35</f>
        <v>200</v>
      </c>
      <c r="G17" s="3261"/>
      <c r="H17" s="1578" t="s">
        <v>1821</v>
      </c>
      <c r="I17" s="774" t="s">
        <v>650</v>
      </c>
      <c r="J17" s="3019">
        <f ca="1">ROUND(IF(AND(项目基本情况!B11="自然人",项目基本情况!B10="北京市"),J6*M17/(1+'数据-取费表'!C42),J18+J19+J20),0)</f>
        <v>57</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70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5429</v>
      </c>
      <c r="D19" s="259" t="s">
        <v>1748</v>
      </c>
      <c r="E19" s="1896"/>
      <c r="F19" s="56"/>
      <c r="G19" s="1945"/>
      <c r="H19" s="1577" t="s">
        <v>1876</v>
      </c>
      <c r="I19" s="774" t="s">
        <v>1749</v>
      </c>
      <c r="J19" s="53">
        <f ca="1">IF(K19="按租金收入计税",ROUND(J6*M19/(1+'数据-取费表'!C42),1),ROUND(C29*F33*0.7,1))</f>
        <v>53.3</v>
      </c>
      <c r="K19" s="800" t="s">
        <v>659</v>
      </c>
      <c r="L19" s="774" t="s">
        <v>1738</v>
      </c>
      <c r="M19" s="799">
        <f>IF(K19="按租金收入计税",'数据-取费表'!B51,'数据-取费表'!B50)</f>
        <v>1.2E-2</v>
      </c>
    </row>
    <row r="20" spans="1:33" s="1947" customFormat="1" ht="18" customHeight="1">
      <c r="A20" s="1578" t="s">
        <v>1880</v>
      </c>
      <c r="B20" s="774" t="s">
        <v>660</v>
      </c>
      <c r="C20" s="53">
        <f ca="1">ROUND(C19*F20,0)</f>
        <v>109</v>
      </c>
      <c r="D20" s="801" t="s">
        <v>1750</v>
      </c>
      <c r="E20" s="774" t="s">
        <v>1738</v>
      </c>
      <c r="F20" s="799">
        <f>'数据-取费表'!B37</f>
        <v>0.02</v>
      </c>
      <c r="G20" s="3261"/>
      <c r="H20" s="1580" t="s">
        <v>1871</v>
      </c>
      <c r="I20" s="339" t="s">
        <v>1751</v>
      </c>
      <c r="J20" s="54">
        <f ca="1">ROUND(M20*M21/10000,0)</f>
        <v>4</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26088.75</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32</v>
      </c>
      <c r="K22" s="2337" t="s">
        <v>1760</v>
      </c>
      <c r="L22" s="774" t="s">
        <v>1738</v>
      </c>
      <c r="M22" s="806">
        <f ca="1">INDIRECT("'数据-取费表'!Ak"&amp;$G$1)</f>
        <v>5.0000000000000001E-3</v>
      </c>
    </row>
    <row r="23" spans="1:33" s="1947" customFormat="1" ht="18" customHeight="1">
      <c r="A23" s="1577" t="s">
        <v>1822</v>
      </c>
      <c r="B23" s="774" t="s">
        <v>2517</v>
      </c>
      <c r="C23" s="53">
        <f ca="1">ROUND(IF('数据-取费表'!B22&lt;=1,(C19+C20)*F24*F23/2,(C19+C20)*(POWER((1+F24),F23/2)-1)),0)</f>
        <v>60</v>
      </c>
      <c r="D23" s="2423" t="str">
        <f>IF(F23&lt;=1,"(建造成本+管理费用)×利率×(建设周期÷2)","(建造成本+管理费用)×((1+利率)^(建设周期÷2)-1)")</f>
        <v>(建造成本+管理费用)×利率×(建设周期÷2)</v>
      </c>
      <c r="E23" s="774" t="s">
        <v>1761</v>
      </c>
      <c r="F23" s="632">
        <f>'数据-取费表'!B20</f>
        <v>0.5</v>
      </c>
      <c r="G23" s="3261"/>
      <c r="H23" s="1578"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4.3499999999999997E-2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-89</v>
      </c>
      <c r="K25" s="2401" t="s">
        <v>1768</v>
      </c>
      <c r="L25" s="2402"/>
      <c r="M25" s="2403"/>
    </row>
    <row r="26" spans="1:33" ht="18" customHeight="1">
      <c r="A26" s="1577" t="s">
        <v>1822</v>
      </c>
      <c r="B26" s="774" t="s">
        <v>2422</v>
      </c>
      <c r="C26" s="53">
        <f ca="1">ROUND((C19+C20)*F26,0)</f>
        <v>277</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1E-3</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6342</v>
      </c>
      <c r="D29" s="2398"/>
      <c r="E29" s="2399"/>
      <c r="F29" s="2400"/>
      <c r="G29" s="3261"/>
      <c r="H29" s="812" t="s">
        <v>1778</v>
      </c>
      <c r="I29" s="813" t="s">
        <v>1779</v>
      </c>
      <c r="J29" s="814">
        <f ca="1">ROUND(J26/(1+F40)^F41,0)</f>
        <v>0</v>
      </c>
      <c r="K29" s="815" t="s">
        <v>1780</v>
      </c>
      <c r="L29" s="816"/>
      <c r="M29" s="817">
        <f ca="1">INDIRECT("'数据-取费表'!k"&amp;$G$1)</f>
        <v>26088.75</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131</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87</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29.9</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53.3</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3.9</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26088.75</v>
      </c>
      <c r="G35" s="1945"/>
      <c r="H35" s="1948"/>
      <c r="I35" s="826" t="s">
        <v>1805</v>
      </c>
      <c r="J35" s="827">
        <f ca="1">ROUND(C13*J36,0)</f>
        <v>285</v>
      </c>
      <c r="K35" s="1961"/>
      <c r="L35" s="1960"/>
      <c r="M35" s="1960"/>
    </row>
    <row r="36" spans="1:18" ht="18" customHeight="1">
      <c r="A36" s="1578" t="s">
        <v>1880</v>
      </c>
      <c r="B36" s="774" t="s">
        <v>1793</v>
      </c>
      <c r="C36" s="53">
        <f ca="1">ROUND(C29*F36,1)</f>
        <v>31.7</v>
      </c>
      <c r="D36" s="1891" t="s">
        <v>1794</v>
      </c>
      <c r="E36" s="774" t="s">
        <v>1787</v>
      </c>
      <c r="F36" s="806">
        <f ca="1">INDIRECT("'数据-取费表'!Ak"&amp;$G$1)</f>
        <v>5.0000000000000001E-3</v>
      </c>
      <c r="G36" s="1945"/>
      <c r="H36" s="1960"/>
      <c r="I36" s="828" t="s">
        <v>1806</v>
      </c>
      <c r="J36" s="829">
        <f ca="1">INDIRECT("'数据-取费表'!j"&amp;$G$1)</f>
        <v>4.4999999999999998E-2</v>
      </c>
      <c r="K36" s="1964"/>
      <c r="L36" s="1960"/>
      <c r="M36" s="1960"/>
    </row>
    <row r="37" spans="1:18" ht="18" customHeight="1">
      <c r="A37" s="1578" t="s">
        <v>1881</v>
      </c>
      <c r="B37" s="774" t="s">
        <v>673</v>
      </c>
      <c r="C37" s="53">
        <f ca="1">ROUND(C13*F37,1)</f>
        <v>6.3</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5.7</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441</v>
      </c>
      <c r="D39" s="2401" t="s">
        <v>1797</v>
      </c>
      <c r="E39" s="2402"/>
      <c r="F39" s="2403"/>
      <c r="G39" s="1945"/>
      <c r="H39" s="1960"/>
      <c r="I39" s="826" t="s">
        <v>1809</v>
      </c>
      <c r="J39" s="834">
        <f ca="1">ROUND(J35/C39,3)</f>
        <v>0.64600000000000002</v>
      </c>
      <c r="K39" s="1965"/>
      <c r="L39" s="1960"/>
      <c r="M39" s="1960"/>
    </row>
    <row r="40" spans="1:18" ht="18" customHeight="1">
      <c r="A40" s="771" t="s">
        <v>1886</v>
      </c>
      <c r="B40" s="2112" t="s">
        <v>2289</v>
      </c>
      <c r="C40" s="773">
        <f ca="1">ROUND(C39*(1-((1+F42)/(1+F40))^F41)/(F40-F42),0)</f>
        <v>9474</v>
      </c>
      <c r="D40" s="803" t="s">
        <v>1798</v>
      </c>
      <c r="E40" s="774" t="s">
        <v>2404</v>
      </c>
      <c r="F40" s="784">
        <f ca="1">INDIRECT("'数据-取费表'!I"&amp;$G$1)</f>
        <v>0.04</v>
      </c>
      <c r="G40" s="1945"/>
      <c r="H40" s="1945"/>
      <c r="I40" s="826" t="s">
        <v>1810</v>
      </c>
      <c r="J40" s="834">
        <f ca="1">1-J39</f>
        <v>0.35399999999999998</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f ca="1">ROUND(C13/C40,3)</f>
        <v>0.66900000000000004</v>
      </c>
      <c r="K42" s="1964"/>
      <c r="L42" s="1900"/>
      <c r="M42" s="1900"/>
    </row>
    <row r="43" spans="1:18" ht="18" customHeight="1" thickBot="1">
      <c r="A43" s="812" t="s">
        <v>1778</v>
      </c>
      <c r="B43" s="813" t="s">
        <v>1801</v>
      </c>
      <c r="C43" s="814">
        <f ca="1">ROUND(C40*10000/F43,0)</f>
        <v>3631</v>
      </c>
      <c r="D43" s="815" t="s">
        <v>1802</v>
      </c>
      <c r="E43" s="816" t="s">
        <v>1803</v>
      </c>
      <c r="F43" s="817">
        <f ca="1">INDIRECT("'数据-取费表'!k"&amp;$G$1)</f>
        <v>26088.75</v>
      </c>
      <c r="G43" s="1945"/>
      <c r="H43" s="1900"/>
      <c r="I43" s="836" t="s">
        <v>1813</v>
      </c>
      <c r="J43" s="837">
        <f ca="1">1-J42</f>
        <v>0.33099999999999996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-11515</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3078</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2353</v>
      </c>
      <c r="K48" s="2809" t="s">
        <v>2336</v>
      </c>
      <c r="L48" s="1822">
        <f ca="1">INDIRECT("'数据-取费表'!f"&amp;$G$1)</f>
        <v>50</v>
      </c>
      <c r="M48" s="3263"/>
      <c r="O48" s="2253" t="s">
        <v>2364</v>
      </c>
      <c r="P48" s="2254" t="s">
        <v>2390</v>
      </c>
      <c r="Q48" s="2255">
        <f ca="1">C40+J29</f>
        <v>9474</v>
      </c>
      <c r="R48" s="2254" t="s">
        <v>2365</v>
      </c>
    </row>
    <row r="49" spans="1:18" s="1942" customFormat="1" ht="18" customHeight="1" thickBot="1">
      <c r="A49" s="776"/>
      <c r="B49" s="777"/>
      <c r="C49" s="778"/>
      <c r="D49" s="779"/>
      <c r="E49" s="774" t="s">
        <v>1730</v>
      </c>
      <c r="F49" s="775">
        <f ca="1">F7</f>
        <v>26088.75</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6342</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3650</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v>4.4999999999999998E-2</v>
      </c>
      <c r="K52" s="2804" t="s">
        <v>2405</v>
      </c>
      <c r="L52" s="2240"/>
      <c r="M52" s="3263"/>
      <c r="O52" s="2256" t="s">
        <v>2371</v>
      </c>
      <c r="P52" s="2254" t="s">
        <v>2372</v>
      </c>
      <c r="Q52" s="2257">
        <f>J52</f>
        <v>4.4999999999999998E-2</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4177" t="s">
        <v>2931</v>
      </c>
      <c r="L53" s="4178"/>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9474</v>
      </c>
      <c r="R54" s="2258" t="s">
        <v>2377</v>
      </c>
    </row>
    <row r="55" spans="1:18" s="1942" customFormat="1" ht="18" customHeight="1" thickTop="1" thickBot="1">
      <c r="A55" s="787">
        <v>2</v>
      </c>
      <c r="B55" s="788" t="s">
        <v>638</v>
      </c>
      <c r="C55" s="789">
        <f ca="1">C13</f>
        <v>6342</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6342</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95</v>
      </c>
      <c r="D57" s="26" t="s">
        <v>1741</v>
      </c>
      <c r="E57" s="2482"/>
      <c r="F57" s="56"/>
      <c r="I57" s="2819" t="s">
        <v>2343</v>
      </c>
      <c r="J57" s="2820" t="str">
        <f ca="1">IF(OR(M47="住宅",J51&lt;L48,J56="是"),"——",J51-L48)</f>
        <v>——</v>
      </c>
      <c r="K57" s="2799" t="s">
        <v>2348</v>
      </c>
      <c r="L57" s="1822">
        <f ca="1">IF(L48&lt;J51,"——",IF(L55="比较法",L49,IF(L55="基准地价",L50,L51)))</f>
        <v>3650</v>
      </c>
      <c r="M57" s="3263"/>
      <c r="O57" s="2253" t="s">
        <v>2364</v>
      </c>
      <c r="P57" s="2254" t="s">
        <v>2394</v>
      </c>
      <c r="Q57" s="2255">
        <f ca="1">C40+J29</f>
        <v>9474</v>
      </c>
      <c r="R57" s="2254" t="s">
        <v>2365</v>
      </c>
    </row>
    <row r="58" spans="1:18" s="1942" customFormat="1" ht="28.5" customHeight="1" thickBot="1">
      <c r="A58" s="1578" t="s">
        <v>1815</v>
      </c>
      <c r="B58" s="774" t="s">
        <v>650</v>
      </c>
      <c r="C58" s="3019">
        <f ca="1">ROUND(IF(AND(项目基本情况!B11="自然人",项目基本情况!B10="北京市"),C48*F58/(1+'数据-取费表'!C42),C59+C60+C61),0)</f>
        <v>57</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53.3</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3.9</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26088.75</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31.7</v>
      </c>
      <c r="D63" s="2481" t="s">
        <v>1794</v>
      </c>
      <c r="E63" s="774" t="s">
        <v>1738</v>
      </c>
      <c r="F63" s="806">
        <f t="shared" ca="1" si="0"/>
        <v>5.0000000000000001E-3</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6.3</v>
      </c>
      <c r="D64" s="2481" t="s">
        <v>674</v>
      </c>
      <c r="E64" s="774" t="s">
        <v>1738</v>
      </c>
      <c r="F64" s="807">
        <f t="shared" ca="1" si="0"/>
        <v>1E-3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-95</v>
      </c>
      <c r="D66" s="2480" t="s">
        <v>694</v>
      </c>
      <c r="E66" s="2479"/>
      <c r="F66" s="809"/>
      <c r="K66" s="1968"/>
      <c r="O66" s="2253" t="s">
        <v>2364</v>
      </c>
      <c r="P66" s="2254" t="s">
        <v>2394</v>
      </c>
      <c r="Q66" s="2255">
        <f ca="1">C40+J29</f>
        <v>9474</v>
      </c>
      <c r="R66" s="2254" t="s">
        <v>2365</v>
      </c>
    </row>
    <row r="67" spans="1:18" s="1942" customFormat="1" ht="20.25" thickBot="1">
      <c r="A67" s="771" t="s">
        <v>1771</v>
      </c>
      <c r="B67" s="2112" t="s">
        <v>2289</v>
      </c>
      <c r="C67" s="773">
        <f ca="1">ROUND(C66*(1-((1+F69)/(1+F67))^F68)/(F67-F69),0)</f>
        <v>-2041</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3650</v>
      </c>
      <c r="R68" s="2261" t="s">
        <v>2401</v>
      </c>
    </row>
    <row r="69" spans="1:18" ht="20.25" thickBot="1">
      <c r="A69" s="780"/>
      <c r="B69" s="781"/>
      <c r="C69" s="782"/>
      <c r="D69" s="805"/>
      <c r="E69" s="774" t="s">
        <v>704</v>
      </c>
      <c r="F69" s="2226"/>
      <c r="O69" s="2256" t="s">
        <v>2369</v>
      </c>
      <c r="P69" s="2262" t="s">
        <v>2383</v>
      </c>
      <c r="Q69" s="2255">
        <f ca="1">ROUND(Q70-Q71*Q72,0)</f>
        <v>156</v>
      </c>
      <c r="R69" s="2258"/>
    </row>
    <row r="70" spans="1:18" ht="15.75" thickBot="1">
      <c r="A70" s="812" t="s">
        <v>1778</v>
      </c>
      <c r="B70" s="813" t="s">
        <v>1801</v>
      </c>
      <c r="C70" s="814">
        <f ca="1">ROUND(C67*10000/F70,0)</f>
        <v>-782</v>
      </c>
      <c r="D70" s="815" t="s">
        <v>1802</v>
      </c>
      <c r="E70" s="816" t="s">
        <v>1803</v>
      </c>
      <c r="F70" s="817">
        <f ca="1">F43</f>
        <v>26088.75</v>
      </c>
      <c r="O70" s="2256" t="s">
        <v>2384</v>
      </c>
      <c r="P70" s="2262" t="s">
        <v>2385</v>
      </c>
      <c r="Q70" s="2255">
        <f ca="1">C39</f>
        <v>441</v>
      </c>
      <c r="R70" s="2254" t="s">
        <v>2365</v>
      </c>
    </row>
    <row r="71" spans="1:18" ht="15.75" thickBot="1">
      <c r="O71" s="2256" t="s">
        <v>2386</v>
      </c>
      <c r="P71" s="2262" t="s">
        <v>2387</v>
      </c>
      <c r="Q71" s="2255">
        <f ca="1">C13</f>
        <v>6342</v>
      </c>
      <c r="R71" s="2254" t="s">
        <v>2365</v>
      </c>
    </row>
    <row r="72" spans="1:18" ht="15.75" thickBot="1">
      <c r="O72" s="2256" t="s">
        <v>2388</v>
      </c>
      <c r="P72" s="2262" t="s">
        <v>2389</v>
      </c>
      <c r="Q72" s="2257">
        <f ca="1">J36</f>
        <v>4.4999999999999998E-2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500-000000000000}">
      <formula1>项目类型</formula1>
    </dataValidation>
    <dataValidation type="list" allowBlank="1" showInputMessage="1" showErrorMessage="1" sqref="K19" xr:uid="{00000000-0002-0000-1500-000001000000}">
      <formula1>"按租金收入计税,按房产原值计税"</formula1>
    </dataValidation>
    <dataValidation type="list" allowBlank="1" showInputMessage="1" showErrorMessage="1" sqref="D33" xr:uid="{00000000-0002-0000-1500-000002000000}">
      <formula1>"按租金收入计税,按房产原值计税,按票据"</formula1>
    </dataValidation>
    <dataValidation type="list" allowBlank="1" showInputMessage="1" showErrorMessage="1" sqref="J56" xr:uid="{00000000-0002-0000-1500-000003000000}">
      <formula1>判定</formula1>
    </dataValidation>
    <dataValidation type="list" allowBlank="1" showInputMessage="1" showErrorMessage="1" sqref="J47" xr:uid="{00000000-0002-0000-1500-000004000000}">
      <formula1>"钢,钢混,砖混"</formula1>
    </dataValidation>
    <dataValidation type="list" allowBlank="1" showInputMessage="1" showErrorMessage="1" sqref="J48" xr:uid="{00000000-0002-0000-1500-000005000000}">
      <formula1>"非生产用房,生产用房,受腐蚀的生产用房"</formula1>
    </dataValidation>
    <dataValidation type="list" allowBlank="1" showInputMessage="1" showErrorMessage="1" sqref="F10 M10 F52" xr:uid="{00000000-0002-0000-1500-000006000000}">
      <formula1>"押一,押二,押三,自定义"</formula1>
    </dataValidation>
    <dataValidation type="list" allowBlank="1" showInputMessage="1" showErrorMessage="1" sqref="D1" xr:uid="{00000000-0002-0000-15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4122" t="s">
        <v>998</v>
      </c>
      <c r="B18" s="1137" t="s">
        <v>1437</v>
      </c>
      <c r="C18" s="1114" t="s">
        <v>1438</v>
      </c>
      <c r="D18" s="1115"/>
      <c r="E18" s="1137">
        <v>1</v>
      </c>
      <c r="F18" s="1116" t="s">
        <v>1439</v>
      </c>
      <c r="G18" s="1117"/>
      <c r="H18" s="1088"/>
      <c r="I18" s="1088"/>
    </row>
    <row r="19" spans="1:9" s="1530" customFormat="1" ht="19.5" customHeight="1">
      <c r="A19" s="4122"/>
      <c r="B19" s="4122" t="s">
        <v>1440</v>
      </c>
      <c r="C19" s="1114" t="s">
        <v>1441</v>
      </c>
      <c r="D19" s="1115"/>
      <c r="E19" s="1137">
        <v>0.9</v>
      </c>
      <c r="F19" s="1116" t="s">
        <v>1442</v>
      </c>
      <c r="G19" s="1117"/>
      <c r="H19" s="1088"/>
      <c r="I19" s="1088"/>
    </row>
    <row r="20" spans="1:9" s="1530" customFormat="1" ht="19.5" customHeight="1">
      <c r="A20" s="4122"/>
      <c r="B20" s="4122"/>
      <c r="C20" s="1114" t="s">
        <v>1443</v>
      </c>
      <c r="D20" s="1115"/>
      <c r="E20" s="1137">
        <v>1.1000000000000001</v>
      </c>
      <c r="F20" s="1116" t="s">
        <v>1444</v>
      </c>
      <c r="G20" s="1117"/>
      <c r="H20" s="1088"/>
      <c r="I20" s="1088"/>
    </row>
    <row r="21" spans="1:9" s="1530" customFormat="1" ht="19.5" customHeight="1">
      <c r="A21" s="4122"/>
      <c r="B21" s="4122"/>
      <c r="C21" s="1114" t="s">
        <v>1445</v>
      </c>
      <c r="D21" s="1115"/>
      <c r="E21" s="1137">
        <v>0.8</v>
      </c>
      <c r="F21" s="1116" t="s">
        <v>1446</v>
      </c>
      <c r="G21" s="1117"/>
      <c r="H21" s="1088"/>
      <c r="I21" s="1088"/>
    </row>
    <row r="22" spans="1:9" s="1530" customFormat="1" ht="19.5" customHeight="1">
      <c r="A22" s="4122"/>
      <c r="B22" s="4122"/>
      <c r="C22" s="1114" t="s">
        <v>1447</v>
      </c>
      <c r="D22" s="1115"/>
      <c r="E22" s="1137">
        <v>0.5</v>
      </c>
      <c r="F22" s="1116"/>
      <c r="G22" s="1117"/>
      <c r="H22" s="1088"/>
      <c r="I22" s="1088"/>
    </row>
    <row r="23" spans="1:9" s="1530" customFormat="1" ht="19.5" customHeight="1">
      <c r="A23" s="4122" t="s">
        <v>1020</v>
      </c>
      <c r="B23" s="1137" t="s">
        <v>1437</v>
      </c>
      <c r="C23" s="1114" t="s">
        <v>1448</v>
      </c>
      <c r="D23" s="1115"/>
      <c r="E23" s="1137">
        <v>1</v>
      </c>
      <c r="F23" s="1116" t="s">
        <v>1449</v>
      </c>
      <c r="G23" s="1117"/>
      <c r="H23" s="1088"/>
      <c r="I23" s="1088"/>
    </row>
    <row r="24" spans="1:9" s="1530" customFormat="1" ht="19.5" customHeight="1">
      <c r="A24" s="4122"/>
      <c r="B24" s="4122" t="s">
        <v>1440</v>
      </c>
      <c r="C24" s="1114" t="s">
        <v>1450</v>
      </c>
      <c r="D24" s="1115"/>
      <c r="E24" s="1137">
        <v>0.5</v>
      </c>
      <c r="F24" s="1116"/>
      <c r="G24" s="1117"/>
      <c r="H24" s="1088"/>
      <c r="I24" s="1088"/>
    </row>
    <row r="25" spans="1:9" s="1530" customFormat="1" ht="19.5" customHeight="1">
      <c r="A25" s="4122"/>
      <c r="B25" s="4122"/>
      <c r="C25" s="1114" t="s">
        <v>1451</v>
      </c>
      <c r="D25" s="1115"/>
      <c r="E25" s="1137">
        <v>1.1000000000000001</v>
      </c>
      <c r="F25" s="1116"/>
      <c r="G25" s="1117"/>
      <c r="H25" s="1088"/>
      <c r="I25" s="1088"/>
    </row>
    <row r="26" spans="1:9" s="1530" customFormat="1" ht="19.5" customHeight="1">
      <c r="A26" s="4122"/>
      <c r="B26" s="4122"/>
      <c r="C26" s="1114" t="s">
        <v>1452</v>
      </c>
      <c r="D26" s="1115"/>
      <c r="E26" s="1137">
        <v>1.1000000000000001</v>
      </c>
      <c r="F26" s="1116"/>
      <c r="G26" s="1117"/>
      <c r="H26" s="1088"/>
      <c r="I26" s="1088"/>
    </row>
    <row r="27" spans="1:9" s="1530" customFormat="1" ht="19.5" customHeight="1">
      <c r="A27" s="4122"/>
      <c r="B27" s="4122"/>
      <c r="C27" s="1114" t="s">
        <v>1453</v>
      </c>
      <c r="D27" s="1115"/>
      <c r="E27" s="1137">
        <v>0.9</v>
      </c>
      <c r="F27" s="1116" t="s">
        <v>1454</v>
      </c>
      <c r="G27" s="1117"/>
      <c r="H27" s="1088"/>
      <c r="I27" s="1088"/>
    </row>
    <row r="28" spans="1:9" s="1530" customFormat="1" ht="19.5" customHeight="1">
      <c r="A28" s="4122"/>
      <c r="B28" s="4122"/>
      <c r="C28" s="1114" t="s">
        <v>1455</v>
      </c>
      <c r="D28" s="1115"/>
      <c r="E28" s="1137">
        <v>0.9</v>
      </c>
      <c r="F28" s="1116" t="s">
        <v>1456</v>
      </c>
      <c r="G28" s="1117"/>
      <c r="H28" s="1088"/>
      <c r="I28" s="1088"/>
    </row>
    <row r="29" spans="1:9" s="1530" customFormat="1" ht="19.5" customHeight="1">
      <c r="A29" s="4122"/>
      <c r="B29" s="4122"/>
      <c r="C29" s="1114" t="s">
        <v>1457</v>
      </c>
      <c r="D29" s="1115"/>
      <c r="E29" s="1137">
        <v>0.9</v>
      </c>
      <c r="F29" s="1116" t="s">
        <v>1458</v>
      </c>
      <c r="G29" s="1117"/>
      <c r="H29" s="1088"/>
      <c r="I29" s="1088"/>
    </row>
    <row r="30" spans="1:9" s="1530" customFormat="1" ht="19.5" customHeight="1">
      <c r="A30" s="4122"/>
      <c r="B30" s="4122"/>
      <c r="C30" s="1114" t="s">
        <v>1459</v>
      </c>
      <c r="D30" s="1115"/>
      <c r="E30" s="1137">
        <v>0.9</v>
      </c>
      <c r="F30" s="1116" t="s">
        <v>1460</v>
      </c>
      <c r="G30" s="1117"/>
      <c r="H30" s="1088"/>
      <c r="I30" s="1088"/>
    </row>
    <row r="31" spans="1:9" s="1530" customFormat="1" ht="19.5" customHeight="1">
      <c r="A31" s="4122"/>
      <c r="B31" s="4122"/>
      <c r="C31" s="1114" t="s">
        <v>1461</v>
      </c>
      <c r="D31" s="1115"/>
      <c r="E31" s="1137">
        <v>0.8</v>
      </c>
      <c r="F31" s="1116" t="s">
        <v>1462</v>
      </c>
      <c r="G31" s="1117"/>
      <c r="H31" s="1088"/>
      <c r="I31" s="1088"/>
    </row>
    <row r="32" spans="1:9" s="1530" customFormat="1" ht="19.5" customHeight="1">
      <c r="A32" s="4122"/>
      <c r="B32" s="4122"/>
      <c r="C32" s="1114" t="s">
        <v>1463</v>
      </c>
      <c r="D32" s="1115"/>
      <c r="E32" s="1137">
        <v>0.8</v>
      </c>
      <c r="F32" s="1116" t="s">
        <v>1464</v>
      </c>
      <c r="G32" s="1117"/>
      <c r="H32" s="1088"/>
      <c r="I32" s="1088"/>
    </row>
    <row r="33" spans="1:9" s="1530" customFormat="1" ht="19.5" customHeight="1">
      <c r="A33" s="4122" t="s">
        <v>1465</v>
      </c>
      <c r="B33" s="1137" t="s">
        <v>1437</v>
      </c>
      <c r="C33" s="1114" t="s">
        <v>1466</v>
      </c>
      <c r="D33" s="1115"/>
      <c r="E33" s="1137">
        <v>1</v>
      </c>
      <c r="F33" s="1116" t="s">
        <v>1467</v>
      </c>
      <c r="G33" s="1117"/>
      <c r="H33" s="1088"/>
      <c r="I33" s="1088"/>
    </row>
    <row r="34" spans="1:9" s="1530" customFormat="1" ht="19.5" customHeight="1">
      <c r="A34" s="4122"/>
      <c r="B34" s="1137" t="s">
        <v>1440</v>
      </c>
      <c r="C34" s="1114" t="s">
        <v>1468</v>
      </c>
      <c r="D34" s="1115"/>
      <c r="E34" s="1137">
        <v>1.5</v>
      </c>
      <c r="F34" s="1116" t="s">
        <v>1469</v>
      </c>
      <c r="G34" s="1117"/>
      <c r="H34" s="1088"/>
      <c r="I34" s="1088"/>
    </row>
    <row r="35" spans="1:9" s="1530" customFormat="1" ht="19.5" customHeight="1">
      <c r="A35" s="4122" t="s">
        <v>1423</v>
      </c>
      <c r="B35" s="1137" t="s">
        <v>1437</v>
      </c>
      <c r="C35" s="1114" t="s">
        <v>1470</v>
      </c>
      <c r="D35" s="1115"/>
      <c r="E35" s="1137">
        <v>1</v>
      </c>
      <c r="F35" s="1116" t="s">
        <v>1471</v>
      </c>
      <c r="G35" s="1117"/>
      <c r="H35" s="1088"/>
      <c r="I35" s="1088"/>
    </row>
    <row r="36" spans="1:9" s="1530" customFormat="1" ht="19.5" customHeight="1">
      <c r="A36" s="4122"/>
      <c r="B36" s="4122" t="s">
        <v>1440</v>
      </c>
      <c r="C36" s="1114" t="s">
        <v>1472</v>
      </c>
      <c r="D36" s="1115"/>
      <c r="E36" s="1137">
        <v>1</v>
      </c>
      <c r="F36" s="1116" t="s">
        <v>1473</v>
      </c>
      <c r="G36" s="1117"/>
      <c r="H36" s="1088"/>
      <c r="I36" s="1088"/>
    </row>
    <row r="37" spans="1:9" s="1530" customFormat="1" ht="19.5" customHeight="1">
      <c r="A37" s="4122"/>
      <c r="B37" s="4122"/>
      <c r="C37" s="1114" t="s">
        <v>1474</v>
      </c>
      <c r="D37" s="1115"/>
      <c r="E37" s="1137">
        <v>1.5</v>
      </c>
      <c r="F37" s="1116" t="s">
        <v>1475</v>
      </c>
      <c r="G37" s="1117"/>
      <c r="H37" s="1088"/>
      <c r="I37" s="1088"/>
    </row>
    <row r="38" spans="1:9" s="1530" customFormat="1" ht="19.5" customHeight="1">
      <c r="A38" s="4122"/>
      <c r="B38" s="4122"/>
      <c r="C38" s="1114" t="s">
        <v>1476</v>
      </c>
      <c r="D38" s="1115"/>
      <c r="E38" s="1137">
        <v>1</v>
      </c>
      <c r="F38" s="1116" t="s">
        <v>1477</v>
      </c>
      <c r="G38" s="1117"/>
      <c r="H38" s="1088"/>
      <c r="I38" s="1088"/>
    </row>
    <row r="39" spans="1:9" s="1530" customFormat="1" ht="19.5" customHeight="1">
      <c r="A39" s="4122"/>
      <c r="B39" s="412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4122" t="s">
        <v>1492</v>
      </c>
      <c r="C61" s="1051" t="s">
        <v>1493</v>
      </c>
      <c r="D61" s="1051" t="s">
        <v>1494</v>
      </c>
      <c r="E61" s="1122">
        <v>0.5</v>
      </c>
      <c r="F61" s="1137">
        <v>80</v>
      </c>
      <c r="H61" s="1088">
        <f>SUMIF(C59:C119,基准地价!C8,E59:E119)</f>
        <v>0</v>
      </c>
    </row>
    <row r="62" spans="1:8" s="1088" customFormat="1" ht="24">
      <c r="A62" s="1137">
        <v>2</v>
      </c>
      <c r="B62" s="4122"/>
      <c r="C62" s="1051" t="s">
        <v>1495</v>
      </c>
      <c r="D62" s="1051" t="s">
        <v>1496</v>
      </c>
      <c r="E62" s="1122">
        <v>0.5</v>
      </c>
      <c r="F62" s="1137">
        <v>80</v>
      </c>
    </row>
    <row r="63" spans="1:8" s="1088" customFormat="1" ht="36">
      <c r="A63" s="1137">
        <v>3</v>
      </c>
      <c r="B63" s="4122"/>
      <c r="C63" s="1051" t="s">
        <v>1497</v>
      </c>
      <c r="D63" s="1051" t="s">
        <v>1498</v>
      </c>
      <c r="E63" s="1122">
        <v>0.5</v>
      </c>
      <c r="F63" s="1137">
        <v>80</v>
      </c>
    </row>
    <row r="64" spans="1:8" s="1088" customFormat="1" ht="36">
      <c r="A64" s="1137">
        <v>4</v>
      </c>
      <c r="B64" s="4122"/>
      <c r="C64" s="1051" t="s">
        <v>1499</v>
      </c>
      <c r="D64" s="1051" t="s">
        <v>1500</v>
      </c>
      <c r="E64" s="1122">
        <v>0.4</v>
      </c>
      <c r="F64" s="1137">
        <v>60</v>
      </c>
    </row>
    <row r="65" spans="1:6" s="1088" customFormat="1" ht="36">
      <c r="A65" s="1137">
        <v>5</v>
      </c>
      <c r="B65" s="4122"/>
      <c r="C65" s="1051" t="s">
        <v>1501</v>
      </c>
      <c r="D65" s="1051" t="s">
        <v>1502</v>
      </c>
      <c r="E65" s="1122">
        <v>0.2</v>
      </c>
      <c r="F65" s="1137">
        <v>30</v>
      </c>
    </row>
    <row r="66" spans="1:6" s="1088" customFormat="1" ht="36">
      <c r="A66" s="1137">
        <v>6</v>
      </c>
      <c r="B66" s="4122"/>
      <c r="C66" s="1051" t="s">
        <v>1503</v>
      </c>
      <c r="D66" s="1051" t="s">
        <v>1504</v>
      </c>
      <c r="E66" s="1122">
        <v>0.3</v>
      </c>
      <c r="F66" s="1137">
        <v>50</v>
      </c>
    </row>
    <row r="67" spans="1:6" s="1088" customFormat="1" ht="36">
      <c r="A67" s="1137">
        <v>7</v>
      </c>
      <c r="B67" s="4122"/>
      <c r="C67" s="1051" t="s">
        <v>1505</v>
      </c>
      <c r="D67" s="1051" t="s">
        <v>1506</v>
      </c>
      <c r="E67" s="1122">
        <v>0.2</v>
      </c>
      <c r="F67" s="1137">
        <v>30</v>
      </c>
    </row>
    <row r="68" spans="1:6" s="1088" customFormat="1" ht="36">
      <c r="A68" s="1137">
        <v>8</v>
      </c>
      <c r="B68" s="4122"/>
      <c r="C68" s="1051" t="s">
        <v>1507</v>
      </c>
      <c r="D68" s="1051" t="s">
        <v>1508</v>
      </c>
      <c r="E68" s="1122">
        <v>0.2</v>
      </c>
      <c r="F68" s="1137">
        <v>30</v>
      </c>
    </row>
    <row r="69" spans="1:6" s="1088" customFormat="1" ht="36">
      <c r="A69" s="1137">
        <v>9</v>
      </c>
      <c r="B69" s="4122"/>
      <c r="C69" s="1051" t="s">
        <v>1509</v>
      </c>
      <c r="D69" s="1051" t="s">
        <v>1510</v>
      </c>
      <c r="E69" s="1122">
        <v>0.2</v>
      </c>
      <c r="F69" s="1137">
        <v>30</v>
      </c>
    </row>
    <row r="70" spans="1:6" s="1088" customFormat="1" ht="48">
      <c r="A70" s="1137">
        <v>10</v>
      </c>
      <c r="B70" s="4122"/>
      <c r="C70" s="1051" t="s">
        <v>1511</v>
      </c>
      <c r="D70" s="1051" t="s">
        <v>1512</v>
      </c>
      <c r="E70" s="1122">
        <v>0.2</v>
      </c>
      <c r="F70" s="1137">
        <v>30</v>
      </c>
    </row>
    <row r="71" spans="1:6" s="1088" customFormat="1" ht="48">
      <c r="A71" s="1137">
        <v>11</v>
      </c>
      <c r="B71" s="4122"/>
      <c r="C71" s="1051" t="s">
        <v>1513</v>
      </c>
      <c r="D71" s="1051" t="s">
        <v>1514</v>
      </c>
      <c r="E71" s="1122">
        <v>0.2</v>
      </c>
      <c r="F71" s="1137">
        <v>30</v>
      </c>
    </row>
    <row r="72" spans="1:6" s="1088" customFormat="1" ht="36">
      <c r="A72" s="1137">
        <v>12</v>
      </c>
      <c r="B72" s="4122"/>
      <c r="C72" s="1051" t="s">
        <v>1515</v>
      </c>
      <c r="D72" s="1051" t="s">
        <v>1516</v>
      </c>
      <c r="E72" s="1122">
        <v>0.5</v>
      </c>
      <c r="F72" s="1137">
        <v>80</v>
      </c>
    </row>
    <row r="73" spans="1:6" s="1088" customFormat="1" ht="24">
      <c r="A73" s="1137">
        <v>13</v>
      </c>
      <c r="B73" s="4122"/>
      <c r="C73" s="1051" t="s">
        <v>1517</v>
      </c>
      <c r="D73" s="1051" t="s">
        <v>1518</v>
      </c>
      <c r="E73" s="1122">
        <v>0.4</v>
      </c>
      <c r="F73" s="1137">
        <v>60</v>
      </c>
    </row>
    <row r="74" spans="1:6" s="1088" customFormat="1" ht="24">
      <c r="A74" s="1137">
        <v>14</v>
      </c>
      <c r="B74" s="4122"/>
      <c r="C74" s="1051" t="s">
        <v>1519</v>
      </c>
      <c r="D74" s="1051" t="s">
        <v>1520</v>
      </c>
      <c r="E74" s="1122">
        <v>0.2</v>
      </c>
      <c r="F74" s="1137">
        <v>30</v>
      </c>
    </row>
    <row r="75" spans="1:6" s="1088" customFormat="1" ht="24">
      <c r="A75" s="1137">
        <v>15</v>
      </c>
      <c r="B75" s="4122"/>
      <c r="C75" s="1051" t="s">
        <v>1521</v>
      </c>
      <c r="D75" s="1051" t="s">
        <v>1522</v>
      </c>
      <c r="E75" s="1122">
        <v>0.2</v>
      </c>
      <c r="F75" s="1137">
        <v>30</v>
      </c>
    </row>
    <row r="76" spans="1:6" s="1088" customFormat="1" ht="24">
      <c r="A76" s="1137">
        <v>16</v>
      </c>
      <c r="B76" s="4122" t="s">
        <v>1523</v>
      </c>
      <c r="C76" s="1051" t="s">
        <v>1524</v>
      </c>
      <c r="D76" s="1051" t="s">
        <v>1525</v>
      </c>
      <c r="E76" s="1122">
        <v>0.5</v>
      </c>
      <c r="F76" s="1137">
        <v>80</v>
      </c>
    </row>
    <row r="77" spans="1:6" s="1088" customFormat="1" ht="24">
      <c r="A77" s="1137">
        <v>17</v>
      </c>
      <c r="B77" s="4122"/>
      <c r="C77" s="1051" t="s">
        <v>1526</v>
      </c>
      <c r="D77" s="1051" t="s">
        <v>1527</v>
      </c>
      <c r="E77" s="1122">
        <v>0.5</v>
      </c>
      <c r="F77" s="1137">
        <v>80</v>
      </c>
    </row>
    <row r="78" spans="1:6" s="1088" customFormat="1" ht="24">
      <c r="A78" s="1137">
        <v>18</v>
      </c>
      <c r="B78" s="4122"/>
      <c r="C78" s="1051" t="s">
        <v>1528</v>
      </c>
      <c r="D78" s="1051" t="s">
        <v>1529</v>
      </c>
      <c r="E78" s="1122">
        <v>0.2</v>
      </c>
      <c r="F78" s="1137">
        <v>30</v>
      </c>
    </row>
    <row r="79" spans="1:6" s="1088" customFormat="1" ht="24">
      <c r="A79" s="1137">
        <v>19</v>
      </c>
      <c r="B79" s="4122"/>
      <c r="C79" s="1051" t="s">
        <v>1530</v>
      </c>
      <c r="D79" s="1051" t="s">
        <v>1531</v>
      </c>
      <c r="E79" s="1122">
        <v>0.5</v>
      </c>
      <c r="F79" s="1137">
        <v>80</v>
      </c>
    </row>
    <row r="80" spans="1:6" s="1088" customFormat="1" ht="36">
      <c r="A80" s="1137">
        <v>20</v>
      </c>
      <c r="B80" s="4122"/>
      <c r="C80" s="1051" t="s">
        <v>1532</v>
      </c>
      <c r="D80" s="1051" t="s">
        <v>1533</v>
      </c>
      <c r="E80" s="1122">
        <v>0.2</v>
      </c>
      <c r="F80" s="1137">
        <v>30</v>
      </c>
    </row>
    <row r="81" spans="1:6" s="1088" customFormat="1" ht="36">
      <c r="A81" s="1137">
        <v>21</v>
      </c>
      <c r="B81" s="4122"/>
      <c r="C81" s="1051" t="s">
        <v>1534</v>
      </c>
      <c r="D81" s="1051" t="s">
        <v>1535</v>
      </c>
      <c r="E81" s="1122">
        <v>0.2</v>
      </c>
      <c r="F81" s="1137">
        <v>30</v>
      </c>
    </row>
    <row r="82" spans="1:6" s="1088" customFormat="1" ht="48">
      <c r="A82" s="1137">
        <v>22</v>
      </c>
      <c r="B82" s="4122"/>
      <c r="C82" s="1051" t="s">
        <v>1536</v>
      </c>
      <c r="D82" s="1051" t="s">
        <v>1537</v>
      </c>
      <c r="E82" s="1122">
        <v>0.2</v>
      </c>
      <c r="F82" s="1137">
        <v>30</v>
      </c>
    </row>
    <row r="83" spans="1:6" s="1088" customFormat="1" ht="48">
      <c r="A83" s="1137">
        <v>23</v>
      </c>
      <c r="B83" s="4122"/>
      <c r="C83" s="1051" t="s">
        <v>1538</v>
      </c>
      <c r="D83" s="1051" t="s">
        <v>1539</v>
      </c>
      <c r="E83" s="1122">
        <v>0.2</v>
      </c>
      <c r="F83" s="1137">
        <v>30</v>
      </c>
    </row>
    <row r="84" spans="1:6" s="1088" customFormat="1" ht="36">
      <c r="A84" s="1137">
        <v>24</v>
      </c>
      <c r="B84" s="4122"/>
      <c r="C84" s="1051" t="s">
        <v>1540</v>
      </c>
      <c r="D84" s="1051" t="s">
        <v>1541</v>
      </c>
      <c r="E84" s="1122">
        <v>0.2</v>
      </c>
      <c r="F84" s="1137">
        <v>30</v>
      </c>
    </row>
    <row r="85" spans="1:6" s="1088" customFormat="1" ht="36">
      <c r="A85" s="1137">
        <v>25</v>
      </c>
      <c r="B85" s="4122"/>
      <c r="C85" s="1051" t="s">
        <v>1542</v>
      </c>
      <c r="D85" s="1051" t="s">
        <v>1543</v>
      </c>
      <c r="E85" s="1122">
        <v>0.5</v>
      </c>
      <c r="F85" s="1137">
        <v>80</v>
      </c>
    </row>
    <row r="86" spans="1:6" s="1088" customFormat="1" ht="36">
      <c r="A86" s="1137">
        <v>26</v>
      </c>
      <c r="B86" s="4122"/>
      <c r="C86" s="1051" t="s">
        <v>1544</v>
      </c>
      <c r="D86" s="1051" t="s">
        <v>1545</v>
      </c>
      <c r="E86" s="1122">
        <v>0.2</v>
      </c>
      <c r="F86" s="1137">
        <v>30</v>
      </c>
    </row>
    <row r="87" spans="1:6" s="1088" customFormat="1" ht="36">
      <c r="A87" s="1137">
        <v>27</v>
      </c>
      <c r="B87" s="4122"/>
      <c r="C87" s="1051" t="s">
        <v>1546</v>
      </c>
      <c r="D87" s="1051" t="s">
        <v>1547</v>
      </c>
      <c r="E87" s="1122">
        <v>0.2</v>
      </c>
      <c r="F87" s="1137">
        <v>30</v>
      </c>
    </row>
    <row r="88" spans="1:6" s="1088" customFormat="1" ht="36">
      <c r="A88" s="1137">
        <v>28</v>
      </c>
      <c r="B88" s="4122"/>
      <c r="C88" s="1051" t="s">
        <v>1548</v>
      </c>
      <c r="D88" s="1051" t="s">
        <v>1549</v>
      </c>
      <c r="E88" s="1122">
        <v>0.2</v>
      </c>
      <c r="F88" s="1137">
        <v>30</v>
      </c>
    </row>
    <row r="89" spans="1:6" s="1088" customFormat="1" ht="24">
      <c r="A89" s="1137">
        <v>29</v>
      </c>
      <c r="B89" s="4122"/>
      <c r="C89" s="1051" t="s">
        <v>1550</v>
      </c>
      <c r="D89" s="1051" t="s">
        <v>1551</v>
      </c>
      <c r="E89" s="1122">
        <v>0.2</v>
      </c>
      <c r="F89" s="1137">
        <v>30</v>
      </c>
    </row>
    <row r="90" spans="1:6" s="1088" customFormat="1" ht="24">
      <c r="A90" s="1137">
        <v>30</v>
      </c>
      <c r="B90" s="4122"/>
      <c r="C90" s="1051" t="s">
        <v>1552</v>
      </c>
      <c r="D90" s="1051" t="s">
        <v>1553</v>
      </c>
      <c r="E90" s="1122">
        <v>0.2</v>
      </c>
      <c r="F90" s="1137">
        <v>30</v>
      </c>
    </row>
    <row r="91" spans="1:6" s="1088" customFormat="1" ht="36">
      <c r="A91" s="1137">
        <v>31</v>
      </c>
      <c r="B91" s="4122"/>
      <c r="C91" s="1051" t="s">
        <v>1554</v>
      </c>
      <c r="D91" s="1051" t="s">
        <v>1555</v>
      </c>
      <c r="E91" s="1122">
        <v>0.2</v>
      </c>
      <c r="F91" s="1137">
        <v>30</v>
      </c>
    </row>
    <row r="92" spans="1:6" s="1088" customFormat="1" ht="24">
      <c r="A92" s="1137">
        <v>32</v>
      </c>
      <c r="B92" s="4122" t="s">
        <v>1556</v>
      </c>
      <c r="C92" s="1137" t="s">
        <v>1557</v>
      </c>
      <c r="D92" s="1051" t="s">
        <v>1558</v>
      </c>
      <c r="E92" s="1122">
        <v>0.2</v>
      </c>
      <c r="F92" s="1137">
        <v>30</v>
      </c>
    </row>
    <row r="93" spans="1:6" s="1088" customFormat="1" ht="36">
      <c r="A93" s="1137">
        <v>33</v>
      </c>
      <c r="B93" s="4122"/>
      <c r="C93" s="1137" t="s">
        <v>1559</v>
      </c>
      <c r="D93" s="1051" t="s">
        <v>1560</v>
      </c>
      <c r="E93" s="1122">
        <v>0.2</v>
      </c>
      <c r="F93" s="1137">
        <v>30</v>
      </c>
    </row>
    <row r="94" spans="1:6" s="1088" customFormat="1" ht="48">
      <c r="A94" s="1137">
        <v>34</v>
      </c>
      <c r="B94" s="4122"/>
      <c r="C94" s="1137" t="s">
        <v>1561</v>
      </c>
      <c r="D94" s="1051" t="s">
        <v>1562</v>
      </c>
      <c r="E94" s="1122">
        <v>0.2</v>
      </c>
      <c r="F94" s="1137">
        <v>30</v>
      </c>
    </row>
    <row r="95" spans="1:6" s="1088" customFormat="1" ht="36">
      <c r="A95" s="1137">
        <v>35</v>
      </c>
      <c r="B95" s="4122"/>
      <c r="C95" s="1137" t="s">
        <v>1563</v>
      </c>
      <c r="D95" s="1051" t="s">
        <v>1564</v>
      </c>
      <c r="E95" s="1122">
        <v>0.2</v>
      </c>
      <c r="F95" s="1137">
        <v>30</v>
      </c>
    </row>
    <row r="96" spans="1:6" s="1088" customFormat="1" ht="48">
      <c r="A96" s="1137">
        <v>36</v>
      </c>
      <c r="B96" s="4122"/>
      <c r="C96" s="1051" t="s">
        <v>1565</v>
      </c>
      <c r="D96" s="1051" t="s">
        <v>1566</v>
      </c>
      <c r="E96" s="1122">
        <v>0.2</v>
      </c>
      <c r="F96" s="1137">
        <v>30</v>
      </c>
    </row>
    <row r="97" spans="1:6" s="1088" customFormat="1" ht="36">
      <c r="A97" s="1137">
        <v>37</v>
      </c>
      <c r="B97" s="4122"/>
      <c r="C97" s="1137" t="s">
        <v>1567</v>
      </c>
      <c r="D97" s="1051" t="s">
        <v>1568</v>
      </c>
      <c r="E97" s="1122">
        <v>0.2</v>
      </c>
      <c r="F97" s="1137">
        <v>30</v>
      </c>
    </row>
    <row r="98" spans="1:6" s="1088" customFormat="1" ht="36">
      <c r="A98" s="1137">
        <v>38</v>
      </c>
      <c r="B98" s="4122"/>
      <c r="C98" s="1137" t="s">
        <v>1569</v>
      </c>
      <c r="D98" s="1051" t="s">
        <v>1570</v>
      </c>
      <c r="E98" s="1122">
        <v>0.2</v>
      </c>
      <c r="F98" s="1137">
        <v>30</v>
      </c>
    </row>
    <row r="99" spans="1:6" s="1088" customFormat="1" ht="36">
      <c r="A99" s="1137">
        <v>39</v>
      </c>
      <c r="B99" s="4122" t="s">
        <v>1571</v>
      </c>
      <c r="C99" s="1137" t="s">
        <v>1572</v>
      </c>
      <c r="D99" s="1051" t="s">
        <v>1573</v>
      </c>
      <c r="E99" s="1122">
        <v>0.3</v>
      </c>
      <c r="F99" s="1137">
        <v>50</v>
      </c>
    </row>
    <row r="100" spans="1:6" s="1088" customFormat="1" ht="24">
      <c r="A100" s="1137">
        <v>40</v>
      </c>
      <c r="B100" s="4122"/>
      <c r="C100" s="1137" t="s">
        <v>1574</v>
      </c>
      <c r="D100" s="1051" t="s">
        <v>1575</v>
      </c>
      <c r="E100" s="1122">
        <v>0.2</v>
      </c>
      <c r="F100" s="1137">
        <v>30</v>
      </c>
    </row>
    <row r="101" spans="1:6" s="1088" customFormat="1" ht="36">
      <c r="A101" s="1137">
        <v>41</v>
      </c>
      <c r="B101" s="412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4122" t="s">
        <v>1586</v>
      </c>
      <c r="C105" s="1137" t="s">
        <v>1587</v>
      </c>
      <c r="D105" s="1051" t="s">
        <v>1588</v>
      </c>
      <c r="E105" s="1122">
        <v>0.2</v>
      </c>
      <c r="F105" s="1137">
        <v>30</v>
      </c>
    </row>
    <row r="106" spans="1:6" s="1088" customFormat="1" ht="36">
      <c r="A106" s="1137">
        <v>46</v>
      </c>
      <c r="B106" s="4122"/>
      <c r="C106" s="1137" t="s">
        <v>1589</v>
      </c>
      <c r="D106" s="1051" t="s">
        <v>1590</v>
      </c>
      <c r="E106" s="1122">
        <v>0.2</v>
      </c>
      <c r="F106" s="1137">
        <v>30</v>
      </c>
    </row>
    <row r="107" spans="1:6" s="1088" customFormat="1" ht="36">
      <c r="A107" s="1137">
        <v>47</v>
      </c>
      <c r="B107" s="4122" t="s">
        <v>1591</v>
      </c>
      <c r="C107" s="1137" t="s">
        <v>1592</v>
      </c>
      <c r="D107" s="1051" t="s">
        <v>1593</v>
      </c>
      <c r="E107" s="1122">
        <v>0.3</v>
      </c>
      <c r="F107" s="1137">
        <v>50</v>
      </c>
    </row>
    <row r="108" spans="1:6" s="1088" customFormat="1" ht="36">
      <c r="A108" s="1137">
        <v>48</v>
      </c>
      <c r="B108" s="412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4122" t="s">
        <v>1602</v>
      </c>
      <c r="C111" s="1137" t="s">
        <v>1603</v>
      </c>
      <c r="D111" s="1051" t="s">
        <v>1604</v>
      </c>
      <c r="E111" s="1122">
        <v>0.2</v>
      </c>
      <c r="F111" s="1137">
        <v>30</v>
      </c>
    </row>
    <row r="112" spans="1:6" s="1088" customFormat="1" ht="24">
      <c r="A112" s="1137">
        <v>52</v>
      </c>
      <c r="B112" s="4122"/>
      <c r="C112" s="1137" t="s">
        <v>1605</v>
      </c>
      <c r="D112" s="1051" t="s">
        <v>1606</v>
      </c>
      <c r="E112" s="1122">
        <v>0.2</v>
      </c>
      <c r="F112" s="1137">
        <v>30</v>
      </c>
    </row>
    <row r="113" spans="1:14" s="1088" customFormat="1" ht="24">
      <c r="A113" s="1137">
        <v>53</v>
      </c>
      <c r="B113" s="412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4122" t="s">
        <v>1615</v>
      </c>
      <c r="C116" s="1137" t="s">
        <v>1616</v>
      </c>
      <c r="D116" s="1051" t="s">
        <v>1617</v>
      </c>
      <c r="E116" s="1122">
        <v>0.2</v>
      </c>
      <c r="F116" s="1137">
        <v>30</v>
      </c>
    </row>
    <row r="117" spans="1:14" ht="36">
      <c r="A117" s="1137">
        <v>57</v>
      </c>
      <c r="B117" s="412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4121" t="s">
        <v>1624</v>
      </c>
      <c r="B121" s="4121"/>
      <c r="C121" s="4121"/>
      <c r="D121" s="4121"/>
      <c r="E121" s="4121"/>
      <c r="F121" s="4121"/>
      <c r="G121" s="4121"/>
      <c r="H121" s="4121"/>
      <c r="I121" s="4121"/>
      <c r="J121" s="412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4183" t="s">
        <v>1030</v>
      </c>
      <c r="B1" s="4183"/>
      <c r="C1" s="4183"/>
      <c r="D1" s="4183"/>
      <c r="E1" s="4183"/>
      <c r="F1" s="418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4184" t="s">
        <v>1043</v>
      </c>
      <c r="B2" s="4184"/>
      <c r="C2" s="4184"/>
      <c r="D2" s="4184"/>
      <c r="E2" s="4184"/>
      <c r="F2" s="418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418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418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370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4187" t="s">
        <v>2068</v>
      </c>
      <c r="B1" s="4187"/>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A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-0.5</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4179" t="s">
        <v>2445</v>
      </c>
      <c r="C8" s="1740">
        <f ca="1">ROUND(F8*F10*F9*(1-F11)/10000,0)</f>
        <v>0</v>
      </c>
      <c r="D8" s="1737" t="s">
        <v>2516</v>
      </c>
      <c r="E8" s="61" t="s">
        <v>631</v>
      </c>
      <c r="F8" s="775">
        <f ca="1">INDIRECT("'数据-取费表'!u"&amp;$G$1)</f>
        <v>0</v>
      </c>
      <c r="G8" s="1527"/>
      <c r="H8" s="2357" t="s">
        <v>1815</v>
      </c>
      <c r="I8" s="4179" t="s">
        <v>2445</v>
      </c>
      <c r="J8" s="773">
        <f ca="1">ROUND(M8*M10*M9*(1-M11)/10000,0)</f>
        <v>0</v>
      </c>
      <c r="K8" s="339" t="s">
        <v>2516</v>
      </c>
      <c r="L8" s="774" t="s">
        <v>1729</v>
      </c>
      <c r="M8" s="775">
        <f ca="1">INDIRECT("'数据-取费表'!z"&amp;$G$1)</f>
        <v>0</v>
      </c>
    </row>
    <row r="9" spans="1:25" ht="18" customHeight="1">
      <c r="A9" s="2353"/>
      <c r="B9" s="4180"/>
      <c r="C9" s="1741"/>
      <c r="D9" s="1738"/>
      <c r="E9" s="61" t="s">
        <v>632</v>
      </c>
      <c r="F9" s="775">
        <f ca="1">IF(INDIRECT("'数据-取费表'!ah"&amp;$G$1)="",INDIRECT("'数据-取费表'!k"&amp;$G$1),INDIRECT("'数据-取费表'!ah"&amp;$G$1))</f>
        <v>0</v>
      </c>
      <c r="G9" s="1527"/>
      <c r="H9" s="2342"/>
      <c r="I9" s="4180"/>
      <c r="J9" s="778"/>
      <c r="K9" s="779"/>
      <c r="L9" s="774" t="s">
        <v>1730</v>
      </c>
      <c r="M9" s="775">
        <f ca="1">F9</f>
        <v>0</v>
      </c>
    </row>
    <row r="10" spans="1:25" ht="18" customHeight="1">
      <c r="A10" s="2346"/>
      <c r="B10" s="4181"/>
      <c r="C10" s="1741"/>
      <c r="D10" s="1738"/>
      <c r="E10" s="61" t="s">
        <v>633</v>
      </c>
      <c r="F10" s="775">
        <f ca="1">INDIRECT("'数据-取费表'!ai"&amp;$G$1)</f>
        <v>0</v>
      </c>
      <c r="G10" s="1527"/>
      <c r="H10" s="2342"/>
      <c r="I10" s="4181"/>
      <c r="J10" s="778"/>
      <c r="K10" s="779"/>
      <c r="L10" s="774" t="s">
        <v>1731</v>
      </c>
      <c r="M10" s="775">
        <f ca="1">INDIRECT("'数据-取费表'!ai"&amp;$G$1)</f>
        <v>0</v>
      </c>
    </row>
    <row r="11" spans="1:25" ht="18" customHeight="1">
      <c r="A11" s="776"/>
      <c r="B11" s="4182"/>
      <c r="C11" s="1741"/>
      <c r="D11" s="1738"/>
      <c r="E11" s="61" t="s">
        <v>634</v>
      </c>
      <c r="F11" s="784">
        <f ca="1">INDIRECT("'数据-取费表'!w"&amp;$G$1)</f>
        <v>0</v>
      </c>
      <c r="G11" s="1527"/>
      <c r="H11" s="2358"/>
      <c r="I11" s="4181"/>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0.5</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4188"/>
      <c r="J36" s="1962"/>
      <c r="K36" s="1963"/>
      <c r="L36" s="1962"/>
      <c r="M36" s="1962"/>
    </row>
    <row r="37" spans="1:18" ht="18" customHeight="1">
      <c r="A37" s="804"/>
      <c r="B37" s="783"/>
      <c r="C37" s="69"/>
      <c r="D37" s="805"/>
      <c r="E37" s="774" t="s">
        <v>668</v>
      </c>
      <c r="F37" s="775">
        <f ca="1">INDIRECT("'数据-取费表'!r"&amp;$G$1)</f>
        <v>0</v>
      </c>
      <c r="G37" s="1945"/>
      <c r="H37" s="1948"/>
      <c r="I37" s="418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-0.5</v>
      </c>
      <c r="K54" s="4189"/>
      <c r="L54" s="4190"/>
      <c r="O54" s="2256" t="s">
        <v>2373</v>
      </c>
      <c r="P54" s="2254" t="s">
        <v>2374</v>
      </c>
      <c r="Q54" s="2255">
        <f ca="1">J54</f>
        <v>-0.5</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5">
    <dataValidation type="list" allowBlank="1" showInputMessage="1" showErrorMessage="1" sqref="C1" xr:uid="{00000000-0002-0000-1B00-000000000000}">
      <formula1>项目类型</formula1>
    </dataValidation>
    <dataValidation type="list" allowBlank="1" showInputMessage="1" showErrorMessage="1" sqref="D35" xr:uid="{00000000-0002-0000-1B00-000001000000}">
      <formula1>"按租金收入计税,按房产原值计税,按票据"</formula1>
    </dataValidation>
    <dataValidation type="list" allowBlank="1" showInputMessage="1" showErrorMessage="1" sqref="K21" xr:uid="{00000000-0002-0000-1B00-000002000000}">
      <formula1>"按租金收入计税,按房产原值计税"</formula1>
    </dataValidation>
    <dataValidation type="list" allowBlank="1" showInputMessage="1" showErrorMessage="1" sqref="F12 M12" xr:uid="{00000000-0002-0000-1B00-000003000000}">
      <formula1>"押一,押二,押三,自定义"</formula1>
    </dataValidation>
    <dataValidation type="list" allowBlank="1" showInputMessage="1" showErrorMessage="1" sqref="J57" xr:uid="{00000000-0002-0000-1B00-000004000000}">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207" t="s">
        <v>2453</v>
      </c>
      <c r="B1" s="4208"/>
      <c r="C1" s="4209"/>
      <c r="D1" s="4210">
        <f>SUM(I10,I15,I20,I21,I23)</f>
        <v>0</v>
      </c>
      <c r="E1" s="4210"/>
      <c r="F1" s="4210"/>
      <c r="G1" s="4210"/>
      <c r="H1" s="4210"/>
      <c r="I1" s="4211"/>
    </row>
    <row r="2" spans="1:9">
      <c r="A2" s="4197" t="s">
        <v>2454</v>
      </c>
      <c r="B2" s="4198" t="s">
        <v>2455</v>
      </c>
      <c r="C2" s="4198"/>
      <c r="D2" s="2360" t="s">
        <v>2456</v>
      </c>
      <c r="E2" s="2360" t="s">
        <v>2457</v>
      </c>
      <c r="F2" s="2360" t="s">
        <v>2458</v>
      </c>
      <c r="G2" s="2360" t="s">
        <v>2459</v>
      </c>
      <c r="H2" s="2360" t="s">
        <v>2460</v>
      </c>
      <c r="I2" s="2361" t="s">
        <v>2461</v>
      </c>
    </row>
    <row r="3" spans="1:9">
      <c r="A3" s="4197"/>
      <c r="B3" s="4198" t="s">
        <v>2462</v>
      </c>
      <c r="C3" s="4198"/>
      <c r="D3" s="2362"/>
      <c r="E3" s="2360"/>
      <c r="F3" s="2363"/>
      <c r="G3" s="2363"/>
      <c r="H3" s="2364"/>
      <c r="I3" s="2365">
        <f>ROUND(D3*E3*F3*G3*H3/10000,0)</f>
        <v>0</v>
      </c>
    </row>
    <row r="4" spans="1:9">
      <c r="A4" s="4197"/>
      <c r="B4" s="4198" t="s">
        <v>2463</v>
      </c>
      <c r="C4" s="4198"/>
      <c r="D4" s="2362"/>
      <c r="E4" s="2360"/>
      <c r="F4" s="2363"/>
      <c r="G4" s="2363"/>
      <c r="H4" s="2364"/>
      <c r="I4" s="2365">
        <f t="shared" ref="I4:I9" si="0">ROUND(D4*E4*F4*G4*H4/10000,0)</f>
        <v>0</v>
      </c>
    </row>
    <row r="5" spans="1:9">
      <c r="A5" s="4197"/>
      <c r="B5" s="4198" t="s">
        <v>2464</v>
      </c>
      <c r="C5" s="4198"/>
      <c r="D5" s="2362"/>
      <c r="E5" s="2360"/>
      <c r="F5" s="2363"/>
      <c r="G5" s="2363"/>
      <c r="H5" s="2364"/>
      <c r="I5" s="2365">
        <f t="shared" si="0"/>
        <v>0</v>
      </c>
    </row>
    <row r="6" spans="1:9">
      <c r="A6" s="4197"/>
      <c r="B6" s="4198" t="s">
        <v>2465</v>
      </c>
      <c r="C6" s="4198"/>
      <c r="D6" s="2362"/>
      <c r="E6" s="2360"/>
      <c r="F6" s="2363"/>
      <c r="G6" s="2363"/>
      <c r="H6" s="2364"/>
      <c r="I6" s="2365">
        <f t="shared" si="0"/>
        <v>0</v>
      </c>
    </row>
    <row r="7" spans="1:9">
      <c r="A7" s="4197"/>
      <c r="B7" s="4198" t="s">
        <v>2466</v>
      </c>
      <c r="C7" s="4198"/>
      <c r="D7" s="2362"/>
      <c r="E7" s="2360"/>
      <c r="F7" s="2363"/>
      <c r="G7" s="2363"/>
      <c r="H7" s="2364"/>
      <c r="I7" s="2365">
        <f t="shared" si="0"/>
        <v>0</v>
      </c>
    </row>
    <row r="8" spans="1:9">
      <c r="A8" s="4197"/>
      <c r="B8" s="4198" t="s">
        <v>2467</v>
      </c>
      <c r="C8" s="4198"/>
      <c r="D8" s="2362"/>
      <c r="E8" s="2360"/>
      <c r="F8" s="2363"/>
      <c r="G8" s="2363"/>
      <c r="H8" s="2364"/>
      <c r="I8" s="2365">
        <f t="shared" si="0"/>
        <v>0</v>
      </c>
    </row>
    <row r="9" spans="1:9">
      <c r="A9" s="4197"/>
      <c r="B9" s="4198" t="s">
        <v>2468</v>
      </c>
      <c r="C9" s="4198"/>
      <c r="D9" s="2362"/>
      <c r="E9" s="2360"/>
      <c r="F9" s="2363"/>
      <c r="G9" s="2363"/>
      <c r="H9" s="2364"/>
      <c r="I9" s="2365">
        <f t="shared" si="0"/>
        <v>0</v>
      </c>
    </row>
    <row r="10" spans="1:9">
      <c r="A10" s="4197"/>
      <c r="B10" s="4199" t="s">
        <v>2469</v>
      </c>
      <c r="C10" s="4199"/>
      <c r="D10" s="2366">
        <v>527</v>
      </c>
      <c r="E10" s="2366" t="e">
        <f>ROUND(D1*10000/D10/H9,0)</f>
        <v>#DIV/0!</v>
      </c>
      <c r="F10" s="2367"/>
      <c r="G10" s="2367"/>
      <c r="H10" s="2368"/>
      <c r="I10" s="2369">
        <f>SUM(I3:I9)</f>
        <v>0</v>
      </c>
    </row>
    <row r="11" spans="1:9" ht="14.25">
      <c r="A11" s="4197" t="s">
        <v>2470</v>
      </c>
      <c r="B11" s="4198" t="s">
        <v>2471</v>
      </c>
      <c r="C11" s="4198"/>
      <c r="D11" s="2362" t="s">
        <v>2472</v>
      </c>
      <c r="E11" s="2362" t="s">
        <v>2473</v>
      </c>
      <c r="F11" s="2363" t="s">
        <v>2474</v>
      </c>
      <c r="G11" s="2363" t="s">
        <v>2475</v>
      </c>
      <c r="H11" s="2370" t="s">
        <v>2476</v>
      </c>
      <c r="I11" s="2361" t="s">
        <v>2477</v>
      </c>
    </row>
    <row r="12" spans="1:9">
      <c r="A12" s="4197"/>
      <c r="B12" s="4198" t="s">
        <v>2478</v>
      </c>
      <c r="C12" s="4198"/>
      <c r="D12" s="2362"/>
      <c r="E12" s="2362"/>
      <c r="F12" s="2363"/>
      <c r="G12" s="2364"/>
      <c r="H12" s="2371"/>
      <c r="I12" s="2361">
        <f>ROUND(D12*E12*F12*G12/10000,0)</f>
        <v>0</v>
      </c>
    </row>
    <row r="13" spans="1:9">
      <c r="A13" s="4197"/>
      <c r="B13" s="4198" t="s">
        <v>2479</v>
      </c>
      <c r="C13" s="4198"/>
      <c r="D13" s="2362"/>
      <c r="E13" s="2362"/>
      <c r="F13" s="2363"/>
      <c r="G13" s="2364"/>
      <c r="H13" s="2371"/>
      <c r="I13" s="2361">
        <f>ROUND(D13*E13*F13*G13/10000,0)</f>
        <v>0</v>
      </c>
    </row>
    <row r="14" spans="1:9">
      <c r="A14" s="4197"/>
      <c r="B14" s="4198" t="s">
        <v>2480</v>
      </c>
      <c r="C14" s="4198"/>
      <c r="D14" s="2362"/>
      <c r="E14" s="2362"/>
      <c r="F14" s="2363"/>
      <c r="G14" s="2364"/>
      <c r="H14" s="2371"/>
      <c r="I14" s="2361">
        <f>ROUND(D14*E14*F14*G14/10000,0)</f>
        <v>0</v>
      </c>
    </row>
    <row r="15" spans="1:9">
      <c r="A15" s="4197"/>
      <c r="B15" s="4199" t="s">
        <v>2469</v>
      </c>
      <c r="C15" s="4199"/>
      <c r="D15" s="2366"/>
      <c r="E15" s="2366">
        <f>SUM(E12:E14)</f>
        <v>0</v>
      </c>
      <c r="F15" s="2367"/>
      <c r="G15" s="2364"/>
      <c r="H15" s="2371"/>
      <c r="I15" s="2372">
        <f>SUM(I12:I14)</f>
        <v>0</v>
      </c>
    </row>
    <row r="16" spans="1:9" ht="24">
      <c r="A16" s="4197" t="s">
        <v>2481</v>
      </c>
      <c r="B16" s="4198" t="s">
        <v>2482</v>
      </c>
      <c r="C16" s="4198"/>
      <c r="D16" s="2362" t="s">
        <v>2483</v>
      </c>
      <c r="E16" s="2373" t="s">
        <v>2484</v>
      </c>
      <c r="F16" s="2363" t="s">
        <v>2485</v>
      </c>
      <c r="G16" s="2364" t="s">
        <v>2475</v>
      </c>
      <c r="H16" s="2370" t="s">
        <v>2476</v>
      </c>
      <c r="I16" s="2361" t="s">
        <v>2477</v>
      </c>
    </row>
    <row r="17" spans="1:9" ht="14.25">
      <c r="A17" s="4197"/>
      <c r="B17" s="4198" t="s">
        <v>2486</v>
      </c>
      <c r="C17" s="4198"/>
      <c r="D17" s="2362"/>
      <c r="E17" s="2362"/>
      <c r="F17" s="2363"/>
      <c r="G17" s="2364"/>
      <c r="H17" s="2374"/>
      <c r="I17" s="2375">
        <f>ROUND(D17*E17*F17*G17/10000,0)</f>
        <v>0</v>
      </c>
    </row>
    <row r="18" spans="1:9" ht="14.25">
      <c r="A18" s="4197"/>
      <c r="B18" s="4198" t="s">
        <v>2487</v>
      </c>
      <c r="C18" s="4198"/>
      <c r="D18" s="2362"/>
      <c r="E18" s="2362"/>
      <c r="F18" s="2363"/>
      <c r="G18" s="2364"/>
      <c r="H18" s="2374"/>
      <c r="I18" s="2375">
        <f>ROUND(D18*E18*F18*G18/10000,0)</f>
        <v>0</v>
      </c>
    </row>
    <row r="19" spans="1:9" ht="14.25">
      <c r="A19" s="4197"/>
      <c r="B19" s="4198" t="s">
        <v>2488</v>
      </c>
      <c r="C19" s="4198"/>
      <c r="D19" s="2362"/>
      <c r="E19" s="2362"/>
      <c r="F19" s="2363"/>
      <c r="G19" s="2364"/>
      <c r="H19" s="2374"/>
      <c r="I19" s="2375">
        <f>ROUND(D19*E19*F19*G19/10000,0)</f>
        <v>0</v>
      </c>
    </row>
    <row r="20" spans="1:9">
      <c r="A20" s="4197"/>
      <c r="B20" s="4199" t="s">
        <v>2469</v>
      </c>
      <c r="C20" s="4199"/>
      <c r="D20" s="2366">
        <f>SUM(D17:D19)</f>
        <v>0</v>
      </c>
      <c r="E20" s="2366"/>
      <c r="F20" s="2367"/>
      <c r="G20" s="2364"/>
      <c r="H20" s="2371"/>
      <c r="I20" s="2372">
        <f>SUM(I17:I19)</f>
        <v>0</v>
      </c>
    </row>
    <row r="21" spans="1:9">
      <c r="A21" s="4197" t="s">
        <v>2489</v>
      </c>
      <c r="B21" s="4200"/>
      <c r="C21" s="4200"/>
      <c r="D21" s="4200"/>
      <c r="E21" s="4200"/>
      <c r="F21" s="4200"/>
      <c r="G21" s="4200"/>
      <c r="H21" s="2376">
        <v>0.1</v>
      </c>
      <c r="I21" s="2369">
        <f>ROUND(I10*H21,0)</f>
        <v>0</v>
      </c>
    </row>
    <row r="22" spans="1:9" ht="14.25">
      <c r="A22" s="4201" t="s">
        <v>2490</v>
      </c>
      <c r="B22" s="4202"/>
      <c r="C22" s="4203"/>
      <c r="D22" s="2377" t="s">
        <v>2491</v>
      </c>
      <c r="E22" s="2377" t="s">
        <v>2492</v>
      </c>
      <c r="F22" s="2378" t="s">
        <v>2493</v>
      </c>
      <c r="G22" s="2378" t="s">
        <v>2494</v>
      </c>
      <c r="H22" s="2370" t="s">
        <v>2495</v>
      </c>
      <c r="I22" s="2361" t="s">
        <v>2496</v>
      </c>
    </row>
    <row r="23" spans="1:9" ht="14.25" thickBot="1">
      <c r="A23" s="4204"/>
      <c r="B23" s="4205"/>
      <c r="C23" s="4206"/>
      <c r="D23" s="2379"/>
      <c r="E23" s="2379"/>
      <c r="F23" s="2379"/>
      <c r="G23" s="2380"/>
      <c r="H23" s="2381"/>
      <c r="I23" s="2382">
        <f>ROUND(E23*D23*F23*(1-G23)/10000,0)</f>
        <v>0</v>
      </c>
    </row>
    <row r="26" spans="1:9">
      <c r="A26" s="2383" t="s">
        <v>2497</v>
      </c>
      <c r="B26" s="2383"/>
      <c r="C26" s="2383"/>
      <c r="D26" s="2383"/>
      <c r="E26" s="4194">
        <f>C27-C30-C31-C32</f>
        <v>0</v>
      </c>
      <c r="F26" s="4194"/>
      <c r="G26" s="4194"/>
      <c r="H26" s="2756" t="s">
        <v>2823</v>
      </c>
    </row>
    <row r="27" spans="1:9">
      <c r="A27" s="2384">
        <v>1</v>
      </c>
      <c r="B27" s="2385" t="s">
        <v>2498</v>
      </c>
      <c r="C27" s="2385"/>
      <c r="D27" s="2385"/>
      <c r="E27" s="4195"/>
      <c r="F27" s="4195"/>
      <c r="G27" s="4195"/>
    </row>
    <row r="28" spans="1:9">
      <c r="A28" s="2386" t="s">
        <v>2499</v>
      </c>
      <c r="B28" s="2385" t="s">
        <v>2500</v>
      </c>
      <c r="C28" s="2385"/>
      <c r="D28" s="2385"/>
      <c r="E28" s="4195"/>
      <c r="F28" s="4195"/>
      <c r="G28" s="4195"/>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4196"/>
      <c r="F32" s="4196"/>
      <c r="G32" s="4196"/>
    </row>
    <row r="33" spans="1:7" hidden="1">
      <c r="A33" s="4191" t="s">
        <v>2508</v>
      </c>
      <c r="B33" s="4192"/>
      <c r="C33" s="4192"/>
      <c r="D33" s="4193"/>
      <c r="E33" s="4194"/>
      <c r="F33" s="4194"/>
      <c r="G33" s="4194"/>
    </row>
    <row r="34" spans="1:7" hidden="1">
      <c r="A34" s="2388">
        <v>1</v>
      </c>
      <c r="B34" s="2385" t="s">
        <v>2509</v>
      </c>
      <c r="C34" s="2385"/>
      <c r="D34" s="2385"/>
      <c r="E34" s="4195"/>
      <c r="F34" s="4195"/>
      <c r="G34" s="4195"/>
    </row>
    <row r="35" spans="1:7" hidden="1">
      <c r="A35" s="2388">
        <v>2</v>
      </c>
      <c r="B35" s="2385" t="s">
        <v>2510</v>
      </c>
      <c r="C35" s="2385"/>
      <c r="D35" s="2385"/>
      <c r="E35" s="4195"/>
      <c r="F35" s="4195"/>
      <c r="G35" s="4195"/>
    </row>
    <row r="36" spans="1:7" hidden="1">
      <c r="A36" s="2388">
        <v>3</v>
      </c>
      <c r="B36" s="2385" t="s">
        <v>2511</v>
      </c>
      <c r="C36" s="2385"/>
      <c r="D36" s="2385"/>
      <c r="E36" s="4195"/>
      <c r="F36" s="4195"/>
      <c r="G36" s="4195"/>
    </row>
    <row r="37" spans="1:7" hidden="1">
      <c r="A37" s="2388">
        <v>4</v>
      </c>
      <c r="B37" s="2385" t="s">
        <v>2512</v>
      </c>
      <c r="C37" s="2385"/>
      <c r="D37" s="2385"/>
      <c r="E37" s="4195"/>
      <c r="F37" s="4195"/>
      <c r="G37" s="4195"/>
    </row>
    <row r="38" spans="1:7" hidden="1">
      <c r="A38" s="4191" t="s">
        <v>2513</v>
      </c>
      <c r="B38" s="4192"/>
      <c r="C38" s="4192"/>
      <c r="D38" s="4193"/>
      <c r="E38" s="4194"/>
      <c r="F38" s="4194"/>
      <c r="G38" s="41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26088.75平方米。根据《建设工程规划许可证》[]、《出让合同》[]，估价对象规划建筑面积为26088.75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3"/>
  <dimension ref="A1"/>
  <sheetViews>
    <sheetView workbookViewId="0">
      <selection activeCell="A57" sqref="A57"/>
    </sheetView>
  </sheetViews>
  <sheetFormatPr defaultRowHeight="13.5"/>
  <sheetData/>
  <phoneticPr fontId="228"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4770</v>
      </c>
      <c r="C2" s="3268"/>
      <c r="D2" s="3268"/>
      <c r="E2" s="3268"/>
      <c r="F2" s="3268"/>
      <c r="G2" s="3268"/>
    </row>
    <row r="3" spans="1:25" s="1942" customFormat="1" ht="18" customHeight="1">
      <c r="A3" s="1331" t="s">
        <v>1676</v>
      </c>
      <c r="B3" s="419">
        <f ca="1">ROUND(B2*10000/'数据-汇总表'!E3,0)</f>
        <v>1828</v>
      </c>
      <c r="C3" s="3268"/>
      <c r="D3" s="3268"/>
      <c r="E3" s="3268"/>
      <c r="F3" s="3268"/>
      <c r="G3" s="3268"/>
    </row>
    <row r="4" spans="1:25" s="1942" customFormat="1" ht="18" customHeight="1">
      <c r="A4" s="420" t="s">
        <v>462</v>
      </c>
      <c r="B4" s="421">
        <f ca="1">ROUND(B2*10000/'数据-汇总表'!D3,0)</f>
        <v>1828</v>
      </c>
      <c r="C4" s="3221"/>
      <c r="D4" s="3268"/>
      <c r="E4" s="3268"/>
      <c r="F4" s="3268"/>
      <c r="G4" s="3268"/>
    </row>
    <row r="5" spans="1:25" s="1942" customFormat="1" ht="18" customHeight="1" thickBot="1">
      <c r="A5" s="423"/>
      <c r="B5" s="424">
        <f ca="1">ROUND(B2/('数据-汇总表'!D3/666.67),0)</f>
        <v>122</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5273</v>
      </c>
      <c r="D7" s="740"/>
      <c r="E7" s="741"/>
      <c r="F7" s="741"/>
      <c r="G7" s="2332" t="s">
        <v>3172</v>
      </c>
    </row>
    <row r="8" spans="1:25" s="2064" customFormat="1" ht="13.5" customHeight="1">
      <c r="A8" s="2323" t="s">
        <v>2423</v>
      </c>
      <c r="B8" s="2326" t="s">
        <v>2425</v>
      </c>
      <c r="C8" s="3271">
        <f t="shared" ref="C8:C9" si="0">ROUND(D8*E8/10000,0)</f>
        <v>5273</v>
      </c>
      <c r="D8" s="3338">
        <f>'数据-汇总表'!E3</f>
        <v>26088.75</v>
      </c>
      <c r="E8" s="3272">
        <f>'比较法-土地取得费'!K27</f>
        <v>2021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522</v>
      </c>
      <c r="D13" s="3271">
        <f>D8</f>
        <v>26088.75</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115</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422</v>
      </c>
      <c r="D18" s="752"/>
      <c r="E18" s="753"/>
      <c r="F18" s="3893">
        <v>0.08</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5810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5810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4770</v>
      </c>
      <c r="D22" s="750"/>
      <c r="E22" s="740"/>
      <c r="F22" s="756">
        <f>'数据-取费表'!AP16</f>
        <v>0.82099999999999995</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4770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xr:uid="{00000000-0002-0000-1E00-000000000000}">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4158" t="s">
        <v>516</v>
      </c>
      <c r="D4" s="4159"/>
      <c r="E4" s="4216" t="s">
        <v>517</v>
      </c>
      <c r="F4" s="4217"/>
      <c r="G4" s="4158" t="s">
        <v>518</v>
      </c>
      <c r="H4" s="4159"/>
      <c r="I4" s="4158" t="s">
        <v>519</v>
      </c>
      <c r="J4" s="4159"/>
      <c r="K4" s="842" t="s">
        <v>520</v>
      </c>
      <c r="L4" s="2015"/>
      <c r="M4" s="2016"/>
      <c r="N4" s="2016"/>
      <c r="O4" s="2016"/>
      <c r="P4" s="4160" t="s">
        <v>521</v>
      </c>
      <c r="Q4" s="4161"/>
      <c r="R4" s="4146" t="s">
        <v>517</v>
      </c>
      <c r="S4" s="4147"/>
      <c r="T4" s="4146" t="s">
        <v>518</v>
      </c>
      <c r="U4" s="4147"/>
      <c r="V4" s="4166" t="s">
        <v>519</v>
      </c>
      <c r="W4" s="4166"/>
      <c r="X4" s="1502"/>
      <c r="Y4" s="4146" t="s">
        <v>521</v>
      </c>
      <c r="Z4" s="4147"/>
      <c r="AA4" s="4141" t="s">
        <v>517</v>
      </c>
      <c r="AB4" s="4141" t="s">
        <v>518</v>
      </c>
      <c r="AC4" s="4141" t="s">
        <v>519</v>
      </c>
    </row>
    <row r="5" spans="1:29" ht="15">
      <c r="A5" s="509"/>
      <c r="B5" s="510"/>
      <c r="C5" s="4169" t="s">
        <v>2897</v>
      </c>
      <c r="D5" s="4170"/>
      <c r="E5" s="4212" t="s">
        <v>2898</v>
      </c>
      <c r="F5" s="4213"/>
      <c r="G5" s="4169" t="s">
        <v>2899</v>
      </c>
      <c r="H5" s="4170"/>
      <c r="I5" s="4169" t="s">
        <v>2900</v>
      </c>
      <c r="J5" s="4170"/>
      <c r="K5" s="843"/>
      <c r="L5" s="2015"/>
      <c r="M5" s="2016"/>
      <c r="N5" s="2016"/>
      <c r="O5" s="2016"/>
      <c r="P5" s="4162"/>
      <c r="Q5" s="4163"/>
      <c r="R5" s="4148"/>
      <c r="S5" s="4149"/>
      <c r="T5" s="4148"/>
      <c r="U5" s="4149"/>
      <c r="V5" s="4166"/>
      <c r="W5" s="4166"/>
      <c r="X5" s="1502"/>
      <c r="Y5" s="4148"/>
      <c r="Z5" s="4149"/>
      <c r="AA5" s="4142"/>
      <c r="AB5" s="4142"/>
      <c r="AC5" s="4142"/>
    </row>
    <row r="6" spans="1:29" ht="15.75" thickBot="1">
      <c r="A6" s="511"/>
      <c r="B6" s="512"/>
      <c r="C6" s="4167" t="s">
        <v>2901</v>
      </c>
      <c r="D6" s="4168"/>
      <c r="E6" s="4214" t="s">
        <v>2901</v>
      </c>
      <c r="F6" s="4215"/>
      <c r="G6" s="4167" t="s">
        <v>2901</v>
      </c>
      <c r="H6" s="4168"/>
      <c r="I6" s="4167" t="s">
        <v>2901</v>
      </c>
      <c r="J6" s="4168"/>
      <c r="K6" s="843" t="s">
        <v>522</v>
      </c>
      <c r="L6" s="2015"/>
      <c r="M6" s="2016"/>
      <c r="N6" s="2016"/>
      <c r="O6" s="2016"/>
      <c r="P6" s="4164"/>
      <c r="Q6" s="4165"/>
      <c r="R6" s="4148"/>
      <c r="S6" s="4149"/>
      <c r="T6" s="4150"/>
      <c r="U6" s="4151"/>
      <c r="V6" s="4166"/>
      <c r="W6" s="4166"/>
      <c r="X6" s="1502"/>
      <c r="Y6" s="4150"/>
      <c r="Z6" s="4151"/>
      <c r="AA6" s="4143"/>
      <c r="AB6" s="4143"/>
      <c r="AC6" s="4143"/>
    </row>
    <row r="7" spans="1:29" s="1203" customFormat="1" ht="15.75" thickBot="1">
      <c r="A7" s="2629"/>
      <c r="B7" s="2636" t="s">
        <v>523</v>
      </c>
      <c r="C7" s="513">
        <f>'数据-取费表'!B2</f>
        <v>44268</v>
      </c>
      <c r="D7" s="514">
        <v>100</v>
      </c>
      <c r="E7" s="515"/>
      <c r="F7" s="516">
        <f>SUMIF(58:58,YEAR(E7)&amp;"-"&amp;MONTH(E7),59:59)</f>
        <v>0</v>
      </c>
      <c r="G7" s="517"/>
      <c r="H7" s="514">
        <f>SUMIF(58:58,YEAR(G7)&amp;"-"&amp;MONTH(G7),59:59)</f>
        <v>0</v>
      </c>
      <c r="I7" s="517"/>
      <c r="J7" s="514">
        <f>SUMIF(58:58,YEAR(I7)&amp;"-"&amp;MONTH(I7),59:59)</f>
        <v>0</v>
      </c>
      <c r="K7" s="844"/>
      <c r="L7" s="2017"/>
      <c r="M7" s="2018"/>
      <c r="N7" s="2018"/>
      <c r="O7" s="2018"/>
      <c r="P7" s="4144" t="s">
        <v>524</v>
      </c>
      <c r="Q7" s="4153"/>
      <c r="R7" s="1503" t="s">
        <v>13</v>
      </c>
      <c r="S7" s="1504">
        <f t="shared" ref="S7:S15" si="0">F7</f>
        <v>0</v>
      </c>
      <c r="T7" s="1503" t="s">
        <v>13</v>
      </c>
      <c r="U7" s="1504">
        <f t="shared" ref="U7:U15" si="1">H7</f>
        <v>0</v>
      </c>
      <c r="V7" s="1503" t="s">
        <v>13</v>
      </c>
      <c r="W7" s="1504">
        <f t="shared" ref="W7:W15"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4144" t="s">
        <v>527</v>
      </c>
      <c r="Q8" s="4145"/>
      <c r="R8" s="1503" t="s">
        <v>13</v>
      </c>
      <c r="S8" s="1504">
        <f t="shared" si="0"/>
        <v>0</v>
      </c>
      <c r="T8" s="1503" t="s">
        <v>13</v>
      </c>
      <c r="U8" s="1504">
        <f t="shared" si="1"/>
        <v>0</v>
      </c>
      <c r="V8" s="1503" t="s">
        <v>13</v>
      </c>
      <c r="W8" s="1504">
        <f t="shared" si="2"/>
        <v>0</v>
      </c>
      <c r="X8" s="1505"/>
      <c r="Y8" s="4144" t="s">
        <v>527</v>
      </c>
      <c r="Z8" s="414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4152" t="s">
        <v>529</v>
      </c>
      <c r="Q9" s="1134" t="str">
        <f t="shared" ref="Q9:Q15" si="6">B9</f>
        <v>用途</v>
      </c>
      <c r="R9" s="1503" t="s">
        <v>8</v>
      </c>
      <c r="S9" s="1504">
        <f t="shared" si="0"/>
        <v>100</v>
      </c>
      <c r="T9" s="1503" t="s">
        <v>8</v>
      </c>
      <c r="U9" s="1504">
        <f t="shared" si="1"/>
        <v>100</v>
      </c>
      <c r="V9" s="1503" t="s">
        <v>8</v>
      </c>
      <c r="W9" s="1504">
        <f t="shared" si="2"/>
        <v>100</v>
      </c>
      <c r="X9" s="1505"/>
      <c r="Y9" s="40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4152"/>
      <c r="Q11" s="1134" t="str">
        <f t="shared" si="6"/>
        <v>容积率</v>
      </c>
      <c r="R11" s="1503" t="s">
        <v>11</v>
      </c>
      <c r="S11" s="1504" t="e">
        <f t="shared" si="0"/>
        <v>#N/A</v>
      </c>
      <c r="T11" s="1503" t="s">
        <v>11</v>
      </c>
      <c r="U11" s="1504" t="e">
        <f t="shared" si="1"/>
        <v>#N/A</v>
      </c>
      <c r="V11" s="1503" t="s">
        <v>11</v>
      </c>
      <c r="W11" s="1504" t="e">
        <f t="shared" si="2"/>
        <v>#N/A</v>
      </c>
      <c r="X11" s="1505"/>
      <c r="Y11" s="40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4152"/>
      <c r="Q12" s="1134">
        <f t="shared" si="6"/>
        <v>111</v>
      </c>
      <c r="R12" s="1503" t="s">
        <v>11</v>
      </c>
      <c r="S12" s="1504">
        <f t="shared" si="0"/>
        <v>100</v>
      </c>
      <c r="T12" s="1503" t="s">
        <v>11</v>
      </c>
      <c r="U12" s="1504">
        <f t="shared" si="1"/>
        <v>100</v>
      </c>
      <c r="V12" s="1503" t="s">
        <v>11</v>
      </c>
      <c r="W12" s="1504">
        <f t="shared" si="2"/>
        <v>100</v>
      </c>
      <c r="X12" s="1505"/>
      <c r="Y12" s="407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4152"/>
      <c r="Q13" s="1134">
        <f t="shared" si="6"/>
        <v>111</v>
      </c>
      <c r="R13" s="1503" t="s">
        <v>11</v>
      </c>
      <c r="S13" s="1504">
        <f t="shared" si="0"/>
        <v>100</v>
      </c>
      <c r="T13" s="1503" t="s">
        <v>11</v>
      </c>
      <c r="U13" s="1504">
        <f t="shared" si="1"/>
        <v>100</v>
      </c>
      <c r="V13" s="1503" t="s">
        <v>11</v>
      </c>
      <c r="W13" s="1504">
        <f t="shared" si="2"/>
        <v>100</v>
      </c>
      <c r="X13" s="1505"/>
      <c r="Y13" s="407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4152"/>
      <c r="Q14" s="1134">
        <f t="shared" si="6"/>
        <v>111</v>
      </c>
      <c r="R14" s="1503" t="s">
        <v>11</v>
      </c>
      <c r="S14" s="1504">
        <f t="shared" si="0"/>
        <v>100</v>
      </c>
      <c r="T14" s="1503" t="s">
        <v>11</v>
      </c>
      <c r="U14" s="1504">
        <f t="shared" si="1"/>
        <v>100</v>
      </c>
      <c r="V14" s="1503" t="s">
        <v>11</v>
      </c>
      <c r="W14" s="1504">
        <f t="shared" si="2"/>
        <v>100</v>
      </c>
      <c r="X14" s="1505"/>
      <c r="Y14" s="407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4154" t="s">
        <v>534</v>
      </c>
      <c r="Q15" s="1507" t="str">
        <f t="shared" si="6"/>
        <v>居住社区成熟度</v>
      </c>
      <c r="R15" s="1508" t="s">
        <v>11</v>
      </c>
      <c r="S15" s="1509">
        <f t="shared" si="0"/>
        <v>100</v>
      </c>
      <c r="T15" s="1508" t="s">
        <v>11</v>
      </c>
      <c r="U15" s="1509">
        <f t="shared" si="1"/>
        <v>100</v>
      </c>
      <c r="V15" s="1508" t="s">
        <v>11</v>
      </c>
      <c r="W15" s="1509">
        <f t="shared" si="2"/>
        <v>100</v>
      </c>
      <c r="X15" s="1502"/>
      <c r="Y15" s="4154"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4155"/>
      <c r="Q16" s="1507"/>
      <c r="R16" s="1508"/>
      <c r="S16" s="1509"/>
      <c r="T16" s="1508"/>
      <c r="U16" s="1509"/>
      <c r="V16" s="1508"/>
      <c r="W16" s="1509"/>
      <c r="X16" s="1502"/>
      <c r="Y16" s="41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4155"/>
      <c r="Q17" s="1507" t="str">
        <f>B17</f>
        <v>交通便捷度</v>
      </c>
      <c r="R17" s="1508" t="s">
        <v>11</v>
      </c>
      <c r="S17" s="1509">
        <f>F17</f>
        <v>100</v>
      </c>
      <c r="T17" s="1508" t="s">
        <v>11</v>
      </c>
      <c r="U17" s="1509">
        <f>H17</f>
        <v>100</v>
      </c>
      <c r="V17" s="1508" t="s">
        <v>11</v>
      </c>
      <c r="W17" s="1509">
        <f>J17</f>
        <v>100</v>
      </c>
      <c r="X17" s="1502"/>
      <c r="Y17" s="41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4155"/>
      <c r="Q18" s="1507"/>
      <c r="R18" s="1508"/>
      <c r="S18" s="1509"/>
      <c r="T18" s="1508"/>
      <c r="U18" s="1509"/>
      <c r="V18" s="1508"/>
      <c r="W18" s="1509"/>
      <c r="X18" s="1502"/>
      <c r="Y18" s="415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4155"/>
      <c r="Q19" s="1507" t="str">
        <f>B19</f>
        <v>公共配套设施</v>
      </c>
      <c r="R19" s="1508" t="s">
        <v>11</v>
      </c>
      <c r="S19" s="1509">
        <f>F19</f>
        <v>100</v>
      </c>
      <c r="T19" s="1508" t="s">
        <v>11</v>
      </c>
      <c r="U19" s="1509">
        <f>H19</f>
        <v>100</v>
      </c>
      <c r="V19" s="1508" t="s">
        <v>11</v>
      </c>
      <c r="W19" s="1509">
        <f>J19</f>
        <v>100</v>
      </c>
      <c r="X19" s="1502"/>
      <c r="Y19" s="41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4155"/>
      <c r="Q20" s="1507"/>
      <c r="R20" s="1508"/>
      <c r="S20" s="1509"/>
      <c r="T20" s="1508"/>
      <c r="U20" s="1509"/>
      <c r="V20" s="1508"/>
      <c r="W20" s="1509"/>
      <c r="X20" s="1502"/>
      <c r="Y20" s="415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4155"/>
      <c r="Q21" s="2429" t="str">
        <f>B21</f>
        <v>基础设施水平</v>
      </c>
      <c r="R21" s="1508" t="s">
        <v>11</v>
      </c>
      <c r="S21" s="1509">
        <f>F21</f>
        <v>100</v>
      </c>
      <c r="T21" s="1508" t="s">
        <v>11</v>
      </c>
      <c r="U21" s="1509">
        <f>H21</f>
        <v>100</v>
      </c>
      <c r="V21" s="1508" t="s">
        <v>11</v>
      </c>
      <c r="W21" s="1509">
        <f>J21</f>
        <v>100</v>
      </c>
      <c r="X21" s="2431"/>
      <c r="Y21" s="415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4155"/>
      <c r="Q22" s="2429"/>
      <c r="R22" s="1508"/>
      <c r="S22" s="1509"/>
      <c r="T22" s="1508"/>
      <c r="U22" s="1509"/>
      <c r="V22" s="1508"/>
      <c r="W22" s="1509"/>
      <c r="X22" s="2431"/>
      <c r="Y22" s="4155"/>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4155"/>
      <c r="Q23" s="1507" t="str">
        <f>B23</f>
        <v>自然及人文环境</v>
      </c>
      <c r="R23" s="1508" t="s">
        <v>11</v>
      </c>
      <c r="S23" s="1509">
        <f>F23</f>
        <v>100</v>
      </c>
      <c r="T23" s="1508" t="s">
        <v>11</v>
      </c>
      <c r="U23" s="1509">
        <f>H23</f>
        <v>100</v>
      </c>
      <c r="V23" s="1508" t="s">
        <v>11</v>
      </c>
      <c r="W23" s="1509">
        <f>J23</f>
        <v>100</v>
      </c>
      <c r="X23" s="1502"/>
      <c r="Y23" s="41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4155"/>
      <c r="Q24" s="1507"/>
      <c r="R24" s="1508"/>
      <c r="S24" s="1509"/>
      <c r="T24" s="1508"/>
      <c r="U24" s="1509"/>
      <c r="V24" s="1508"/>
      <c r="W24" s="1509"/>
      <c r="X24" s="1502"/>
      <c r="Y24" s="4155"/>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4155"/>
      <c r="Q25" s="1507" t="str">
        <f t="shared" ref="Q25:Q46" si="11">B25</f>
        <v>楼层-1</v>
      </c>
      <c r="R25" s="1508" t="s">
        <v>11</v>
      </c>
      <c r="S25" s="1509">
        <f>F25</f>
        <v>100</v>
      </c>
      <c r="T25" s="1508" t="s">
        <v>11</v>
      </c>
      <c r="U25" s="1509">
        <f>H25</f>
        <v>100</v>
      </c>
      <c r="V25" s="1508" t="s">
        <v>11</v>
      </c>
      <c r="W25" s="1509">
        <f>J25</f>
        <v>100</v>
      </c>
      <c r="X25" s="1502"/>
      <c r="Y25" s="4155"/>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4155"/>
      <c r="Q26" s="1507" t="str">
        <f t="shared" si="11"/>
        <v>朝向</v>
      </c>
      <c r="R26" s="1508" t="s">
        <v>11</v>
      </c>
      <c r="S26" s="1509">
        <f>F26</f>
        <v>100</v>
      </c>
      <c r="T26" s="1508" t="s">
        <v>11</v>
      </c>
      <c r="U26" s="1509">
        <f>H26</f>
        <v>100</v>
      </c>
      <c r="V26" s="1508" t="s">
        <v>11</v>
      </c>
      <c r="W26" s="1509">
        <f>J26</f>
        <v>100</v>
      </c>
      <c r="X26" s="1502"/>
      <c r="Y26" s="4155"/>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4155"/>
      <c r="Q27" s="1134" t="str">
        <f t="shared" si="11"/>
        <v>道路级别</v>
      </c>
      <c r="R27" s="1503" t="s">
        <v>11</v>
      </c>
      <c r="S27" s="1504">
        <f>F27</f>
        <v>100</v>
      </c>
      <c r="T27" s="1503" t="s">
        <v>11</v>
      </c>
      <c r="U27" s="1504">
        <f>H27</f>
        <v>100</v>
      </c>
      <c r="V27" s="1503" t="s">
        <v>11</v>
      </c>
      <c r="W27" s="1504">
        <f>J27</f>
        <v>100</v>
      </c>
      <c r="X27" s="1505"/>
      <c r="Y27" s="4155"/>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4155"/>
      <c r="Q28" s="1507">
        <f t="shared" si="11"/>
        <v>111</v>
      </c>
      <c r="R28" s="1508" t="s">
        <v>11</v>
      </c>
      <c r="S28" s="1509">
        <f t="shared" ref="S28:S46" si="12">F28</f>
        <v>100</v>
      </c>
      <c r="T28" s="1508" t="s">
        <v>11</v>
      </c>
      <c r="U28" s="1509">
        <f t="shared" ref="U28:U46" si="13">H28</f>
        <v>100</v>
      </c>
      <c r="V28" s="1508" t="s">
        <v>11</v>
      </c>
      <c r="W28" s="1509">
        <f t="shared" ref="W28:W46" si="14">J28</f>
        <v>100</v>
      </c>
      <c r="X28" s="1502"/>
      <c r="Y28" s="4155"/>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4155"/>
      <c r="Q29" s="1507">
        <f t="shared" si="11"/>
        <v>111</v>
      </c>
      <c r="R29" s="1508" t="s">
        <v>11</v>
      </c>
      <c r="S29" s="1509">
        <f t="shared" si="12"/>
        <v>100</v>
      </c>
      <c r="T29" s="1508" t="s">
        <v>11</v>
      </c>
      <c r="U29" s="1509">
        <f t="shared" si="13"/>
        <v>100</v>
      </c>
      <c r="V29" s="1508" t="s">
        <v>11</v>
      </c>
      <c r="W29" s="1509">
        <f t="shared" si="14"/>
        <v>100</v>
      </c>
      <c r="X29" s="1502"/>
      <c r="Y29" s="41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4155"/>
      <c r="Q30" s="1507">
        <f t="shared" si="11"/>
        <v>111</v>
      </c>
      <c r="R30" s="1508" t="s">
        <v>11</v>
      </c>
      <c r="S30" s="1509">
        <f t="shared" si="12"/>
        <v>100</v>
      </c>
      <c r="T30" s="1508" t="s">
        <v>11</v>
      </c>
      <c r="U30" s="1509">
        <f t="shared" si="13"/>
        <v>100</v>
      </c>
      <c r="V30" s="1508" t="s">
        <v>11</v>
      </c>
      <c r="W30" s="1509">
        <f t="shared" si="14"/>
        <v>100</v>
      </c>
      <c r="X30" s="1502"/>
      <c r="Y30" s="4155"/>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4155"/>
      <c r="Q31" s="1507">
        <f t="shared" si="11"/>
        <v>111</v>
      </c>
      <c r="R31" s="1508" t="s">
        <v>11</v>
      </c>
      <c r="S31" s="1509">
        <f t="shared" si="12"/>
        <v>100</v>
      </c>
      <c r="T31" s="1508" t="s">
        <v>11</v>
      </c>
      <c r="U31" s="1509">
        <f t="shared" si="13"/>
        <v>100</v>
      </c>
      <c r="V31" s="1508" t="s">
        <v>11</v>
      </c>
      <c r="W31" s="1509">
        <f t="shared" si="14"/>
        <v>100</v>
      </c>
      <c r="X31" s="1502"/>
      <c r="Y31" s="4155"/>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4156" t="s">
        <v>544</v>
      </c>
      <c r="Q32" s="1507" t="str">
        <f t="shared" si="11"/>
        <v>建筑类型</v>
      </c>
      <c r="R32" s="1508" t="s">
        <v>11</v>
      </c>
      <c r="S32" s="1509">
        <f t="shared" si="12"/>
        <v>100</v>
      </c>
      <c r="T32" s="1508" t="s">
        <v>11</v>
      </c>
      <c r="U32" s="1509">
        <f t="shared" si="13"/>
        <v>100</v>
      </c>
      <c r="V32" s="1508" t="s">
        <v>11</v>
      </c>
      <c r="W32" s="1509">
        <f t="shared" si="14"/>
        <v>100</v>
      </c>
      <c r="X32" s="1502"/>
      <c r="Y32" s="4157"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4157"/>
      <c r="Q33" s="1536" t="str">
        <f t="shared" si="11"/>
        <v>项目建筑规模</v>
      </c>
      <c r="R33" s="1512" t="s">
        <v>11</v>
      </c>
      <c r="S33" s="1513" t="e">
        <f t="shared" si="12"/>
        <v>#N/A</v>
      </c>
      <c r="T33" s="1512" t="s">
        <v>11</v>
      </c>
      <c r="U33" s="1513" t="e">
        <f t="shared" si="13"/>
        <v>#N/A</v>
      </c>
      <c r="V33" s="1512" t="s">
        <v>11</v>
      </c>
      <c r="W33" s="1513" t="e">
        <f t="shared" si="14"/>
        <v>#N/A</v>
      </c>
      <c r="X33" s="1514"/>
      <c r="Y33" s="41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4157"/>
      <c r="Q34" s="1507" t="str">
        <f t="shared" si="11"/>
        <v>建筑结构</v>
      </c>
      <c r="R34" s="1508" t="s">
        <v>11</v>
      </c>
      <c r="S34" s="1509">
        <f t="shared" si="12"/>
        <v>100</v>
      </c>
      <c r="T34" s="1508" t="s">
        <v>11</v>
      </c>
      <c r="U34" s="1509">
        <f t="shared" si="13"/>
        <v>100</v>
      </c>
      <c r="V34" s="1508" t="s">
        <v>11</v>
      </c>
      <c r="W34" s="1509">
        <f t="shared" si="14"/>
        <v>100</v>
      </c>
      <c r="X34" s="1502"/>
      <c r="Y34" s="4157"/>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4157"/>
      <c r="Q35" s="1507" t="str">
        <f t="shared" si="11"/>
        <v>建筑品质</v>
      </c>
      <c r="R35" s="1508" t="s">
        <v>11</v>
      </c>
      <c r="S35" s="1509">
        <f t="shared" si="12"/>
        <v>100</v>
      </c>
      <c r="T35" s="1508" t="s">
        <v>11</v>
      </c>
      <c r="U35" s="1509">
        <f t="shared" si="13"/>
        <v>100</v>
      </c>
      <c r="V35" s="1508" t="s">
        <v>11</v>
      </c>
      <c r="W35" s="1509">
        <f t="shared" si="14"/>
        <v>100</v>
      </c>
      <c r="X35" s="1502"/>
      <c r="Y35" s="4157"/>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4157"/>
      <c r="Q36" s="1507" t="str">
        <f t="shared" si="11"/>
        <v>公共部分装修</v>
      </c>
      <c r="R36" s="1508" t="s">
        <v>11</v>
      </c>
      <c r="S36" s="1509">
        <f t="shared" si="12"/>
        <v>100</v>
      </c>
      <c r="T36" s="1508" t="s">
        <v>11</v>
      </c>
      <c r="U36" s="1509">
        <f t="shared" si="13"/>
        <v>100</v>
      </c>
      <c r="V36" s="1508" t="s">
        <v>11</v>
      </c>
      <c r="W36" s="1509">
        <f t="shared" si="14"/>
        <v>100</v>
      </c>
      <c r="X36" s="1502"/>
      <c r="Y36" s="4157"/>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4157"/>
      <c r="Q37" s="1134" t="str">
        <f t="shared" si="11"/>
        <v>成新度</v>
      </c>
      <c r="R37" s="1503" t="s">
        <v>11</v>
      </c>
      <c r="S37" s="1504" t="e">
        <f t="shared" si="12"/>
        <v>#N/A</v>
      </c>
      <c r="T37" s="1503" t="s">
        <v>11</v>
      </c>
      <c r="U37" s="1504" t="e">
        <f t="shared" si="13"/>
        <v>#N/A</v>
      </c>
      <c r="V37" s="1503" t="s">
        <v>11</v>
      </c>
      <c r="W37" s="1504" t="e">
        <f t="shared" si="14"/>
        <v>#N/A</v>
      </c>
      <c r="X37" s="1505"/>
      <c r="Y37" s="4157"/>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4157" t="s">
        <v>544</v>
      </c>
      <c r="Q38" s="1507" t="str">
        <f t="shared" si="11"/>
        <v>物业管理</v>
      </c>
      <c r="R38" s="1508" t="s">
        <v>11</v>
      </c>
      <c r="S38" s="1509">
        <f t="shared" si="12"/>
        <v>100</v>
      </c>
      <c r="T38" s="1508" t="s">
        <v>11</v>
      </c>
      <c r="U38" s="1509">
        <f t="shared" si="13"/>
        <v>100</v>
      </c>
      <c r="V38" s="1508" t="s">
        <v>11</v>
      </c>
      <c r="W38" s="1509">
        <f t="shared" si="14"/>
        <v>100</v>
      </c>
      <c r="X38" s="1502"/>
      <c r="Y38" s="4157"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4157"/>
      <c r="Q39" s="1507" t="str">
        <f t="shared" si="11"/>
        <v>市政基础设施</v>
      </c>
      <c r="R39" s="1508" t="s">
        <v>11</v>
      </c>
      <c r="S39" s="1509">
        <f t="shared" si="12"/>
        <v>100</v>
      </c>
      <c r="T39" s="1508" t="s">
        <v>11</v>
      </c>
      <c r="U39" s="1509">
        <f t="shared" si="13"/>
        <v>100</v>
      </c>
      <c r="V39" s="1508" t="s">
        <v>11</v>
      </c>
      <c r="W39" s="1509">
        <f t="shared" si="14"/>
        <v>100</v>
      </c>
      <c r="X39" s="1502"/>
      <c r="Y39" s="4157"/>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4157"/>
      <c r="Q40" s="1507" t="str">
        <f t="shared" si="11"/>
        <v>房型</v>
      </c>
      <c r="R40" s="1508" t="s">
        <v>11</v>
      </c>
      <c r="S40" s="1509">
        <f t="shared" si="12"/>
        <v>100</v>
      </c>
      <c r="T40" s="1508" t="s">
        <v>11</v>
      </c>
      <c r="U40" s="1509">
        <f t="shared" si="13"/>
        <v>100</v>
      </c>
      <c r="V40" s="1508" t="s">
        <v>11</v>
      </c>
      <c r="W40" s="1509">
        <f t="shared" si="14"/>
        <v>100</v>
      </c>
      <c r="X40" s="1502"/>
      <c r="Y40" s="4157"/>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4157"/>
      <c r="Q41" s="1536" t="str">
        <f t="shared" si="11"/>
        <v>单套/主力户型建筑面积</v>
      </c>
      <c r="R41" s="1512" t="s">
        <v>11</v>
      </c>
      <c r="S41" s="1513">
        <f t="shared" si="12"/>
        <v>100</v>
      </c>
      <c r="T41" s="1512" t="s">
        <v>11</v>
      </c>
      <c r="U41" s="1513">
        <f t="shared" si="13"/>
        <v>100</v>
      </c>
      <c r="V41" s="1512" t="s">
        <v>11</v>
      </c>
      <c r="W41" s="1513">
        <f t="shared" si="14"/>
        <v>100</v>
      </c>
      <c r="X41" s="1514"/>
      <c r="Y41" s="4157"/>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4157"/>
      <c r="Q42" s="1507" t="str">
        <f t="shared" si="11"/>
        <v>内部装修</v>
      </c>
      <c r="R42" s="1508" t="s">
        <v>11</v>
      </c>
      <c r="S42" s="1509">
        <f t="shared" si="12"/>
        <v>100</v>
      </c>
      <c r="T42" s="1508" t="s">
        <v>11</v>
      </c>
      <c r="U42" s="1509">
        <f t="shared" si="13"/>
        <v>100</v>
      </c>
      <c r="V42" s="1508" t="s">
        <v>11</v>
      </c>
      <c r="W42" s="1509">
        <f t="shared" si="14"/>
        <v>100</v>
      </c>
      <c r="X42" s="1502"/>
      <c r="Y42" s="4157"/>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4157"/>
      <c r="Q43" s="1507" t="str">
        <f t="shared" si="11"/>
        <v>内部装修维护情况</v>
      </c>
      <c r="R43" s="1508" t="s">
        <v>11</v>
      </c>
      <c r="S43" s="1509">
        <f t="shared" si="12"/>
        <v>100</v>
      </c>
      <c r="T43" s="1508" t="s">
        <v>11</v>
      </c>
      <c r="U43" s="1509">
        <f t="shared" si="13"/>
        <v>100</v>
      </c>
      <c r="V43" s="1508" t="s">
        <v>11</v>
      </c>
      <c r="W43" s="1509">
        <f t="shared" si="14"/>
        <v>100</v>
      </c>
      <c r="X43" s="1502"/>
      <c r="Y43" s="41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4157"/>
      <c r="Q44" s="1134">
        <f t="shared" si="11"/>
        <v>111</v>
      </c>
      <c r="R44" s="1503" t="s">
        <v>11</v>
      </c>
      <c r="S44" s="1504">
        <f t="shared" si="12"/>
        <v>100</v>
      </c>
      <c r="T44" s="1503" t="s">
        <v>11</v>
      </c>
      <c r="U44" s="1504">
        <f t="shared" si="13"/>
        <v>100</v>
      </c>
      <c r="V44" s="1503" t="s">
        <v>11</v>
      </c>
      <c r="W44" s="1504">
        <f t="shared" si="14"/>
        <v>100</v>
      </c>
      <c r="X44" s="1505"/>
      <c r="Y44" s="41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4157"/>
      <c r="Q45" s="1507">
        <f t="shared" si="11"/>
        <v>111</v>
      </c>
      <c r="R45" s="1508" t="s">
        <v>11</v>
      </c>
      <c r="S45" s="1509">
        <f t="shared" si="12"/>
        <v>100</v>
      </c>
      <c r="T45" s="1508" t="s">
        <v>11</v>
      </c>
      <c r="U45" s="1509">
        <f t="shared" si="13"/>
        <v>100</v>
      </c>
      <c r="V45" s="1508" t="s">
        <v>11</v>
      </c>
      <c r="W45" s="1509">
        <f t="shared" si="14"/>
        <v>100</v>
      </c>
      <c r="X45" s="1502"/>
      <c r="Y45" s="4157"/>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4220"/>
      <c r="Q46" s="1507">
        <f t="shared" si="11"/>
        <v>111</v>
      </c>
      <c r="R46" s="1508" t="s">
        <v>10</v>
      </c>
      <c r="S46" s="1509">
        <f t="shared" si="12"/>
        <v>100</v>
      </c>
      <c r="T46" s="1508" t="s">
        <v>10</v>
      </c>
      <c r="U46" s="1509">
        <f t="shared" si="13"/>
        <v>100</v>
      </c>
      <c r="V46" s="1508" t="s">
        <v>10</v>
      </c>
      <c r="W46" s="1509">
        <f t="shared" si="14"/>
        <v>100</v>
      </c>
      <c r="X46" s="1502"/>
      <c r="Y46" s="4220"/>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4152" t="str">
        <f>A47</f>
        <v>成交单价（元/平方米）</v>
      </c>
      <c r="Q47" s="4152"/>
      <c r="R47" s="4219">
        <f>E47</f>
        <v>0</v>
      </c>
      <c r="S47" s="4219"/>
      <c r="T47" s="4219">
        <f>G47</f>
        <v>0</v>
      </c>
      <c r="U47" s="4219"/>
      <c r="V47" s="4219">
        <f>I47</f>
        <v>0</v>
      </c>
      <c r="W47" s="421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4152" t="str">
        <f>A48</f>
        <v>比较价格（元/平方米）</v>
      </c>
      <c r="Q48" s="4152"/>
      <c r="R48" s="4219" t="e">
        <f>IF(F1="售价",ROUND(PRODUCT(R47,AA7:AA46),0),ROUND(PRODUCT(R47,AA7:AA46),1))</f>
        <v>#DIV/0!</v>
      </c>
      <c r="S48" s="4219"/>
      <c r="T48" s="4219" t="e">
        <f>IF(F1="售价",ROUND(PRODUCT(T47,AB7:AB46),0),ROUND(PRODUCT(T47,AB7:AB46),1))</f>
        <v>#DIV/0!</v>
      </c>
      <c r="U48" s="4219"/>
      <c r="V48" s="4219" t="e">
        <f>IF(F1="售价",ROUND(PRODUCT(V47,AC7:AC46),0),ROUND(PRODUCT(V47,AC7:AC46),1))</f>
        <v>#DIV/0!</v>
      </c>
      <c r="W48" s="421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4173" t="str">
        <f>A49</f>
        <v>估价对象XX用房的比较价格（楼面单价，元/平方米）</v>
      </c>
      <c r="Q49" s="4174"/>
      <c r="R49" s="4218" t="e">
        <f>IF(F1="售价",ROUND(IF(D48="简单平均",AVERAGE(R48:V48),R48*F48+T48*H48+V48*J48),0),ROUND(IF(D48="简单平均",AVERAGE(R48:V48),R48*F48+T48*H48+V48*J48),1))</f>
        <v>#DIV/0!</v>
      </c>
      <c r="S49" s="4218"/>
      <c r="T49" s="4218"/>
      <c r="U49" s="4218"/>
      <c r="V49" s="4218"/>
      <c r="W49" s="421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1" priority="19" stopIfTrue="1" operator="containsText" text="超过">
      <formula>NOT(ISERROR(SEARCH("超过",F52)))</formula>
    </cfRule>
  </conditionalFormatting>
  <conditionalFormatting sqref="J54">
    <cfRule type="containsText" dxfId="130" priority="18" stopIfTrue="1" operator="containsText" text="超过">
      <formula>NOT(ISERROR(SEARCH("超过",J54)))</formula>
    </cfRule>
  </conditionalFormatting>
  <conditionalFormatting sqref="H54">
    <cfRule type="containsText" dxfId="129" priority="17" stopIfTrue="1" operator="containsText" text="超过">
      <formula>NOT(ISERROR(SEARCH("超过",H54)))</formula>
    </cfRule>
  </conditionalFormatting>
  <conditionalFormatting sqref="F54">
    <cfRule type="containsText" dxfId="128" priority="16" stopIfTrue="1" operator="containsText" text="超过">
      <formula>NOT(ISERROR(SEARCH("超过",F54)))</formula>
    </cfRule>
  </conditionalFormatting>
  <conditionalFormatting sqref="F53 H53 J53">
    <cfRule type="containsText" dxfId="127" priority="15" stopIfTrue="1" operator="containsText" text="超过">
      <formula>NOT(ISERROR(SEARCH("超过",F53)))</formula>
    </cfRule>
  </conditionalFormatting>
  <conditionalFormatting sqref="E52">
    <cfRule type="expression" dxfId="126" priority="14" stopIfTrue="1">
      <formula>$F$52="超过30%"</formula>
    </cfRule>
  </conditionalFormatting>
  <conditionalFormatting sqref="G54">
    <cfRule type="expression" dxfId="125" priority="12" stopIfTrue="1">
      <formula>$H$54="超过30%"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2">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D48" xr:uid="{00000000-0002-0000-1F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4158" t="s">
        <v>516</v>
      </c>
      <c r="D4" s="4159"/>
      <c r="E4" s="4216" t="s">
        <v>517</v>
      </c>
      <c r="F4" s="4217"/>
      <c r="G4" s="4158" t="s">
        <v>518</v>
      </c>
      <c r="H4" s="4159"/>
      <c r="I4" s="4158" t="s">
        <v>519</v>
      </c>
      <c r="J4" s="4159"/>
      <c r="K4" s="508" t="s">
        <v>520</v>
      </c>
      <c r="L4" s="2015"/>
      <c r="M4" s="2016"/>
      <c r="N4" s="2016"/>
      <c r="O4" s="2016"/>
      <c r="P4" s="4160" t="s">
        <v>521</v>
      </c>
      <c r="Q4" s="4161"/>
      <c r="R4" s="4146" t="s">
        <v>517</v>
      </c>
      <c r="S4" s="4147"/>
      <c r="T4" s="4146" t="s">
        <v>518</v>
      </c>
      <c r="U4" s="4147"/>
      <c r="V4" s="4166" t="s">
        <v>519</v>
      </c>
      <c r="W4" s="4166"/>
      <c r="X4" s="1502"/>
      <c r="Y4" s="4146" t="s">
        <v>521</v>
      </c>
      <c r="Z4" s="4147"/>
      <c r="AA4" s="4141" t="s">
        <v>517</v>
      </c>
      <c r="AB4" s="4166" t="s">
        <v>518</v>
      </c>
      <c r="AC4" s="4141" t="s">
        <v>519</v>
      </c>
    </row>
    <row r="5" spans="1:29" ht="15">
      <c r="A5" s="509"/>
      <c r="B5" s="510"/>
      <c r="C5" s="4169" t="s">
        <v>2897</v>
      </c>
      <c r="D5" s="4170"/>
      <c r="E5" s="4212" t="s">
        <v>2898</v>
      </c>
      <c r="F5" s="4213"/>
      <c r="G5" s="4169" t="s">
        <v>2899</v>
      </c>
      <c r="H5" s="4170"/>
      <c r="I5" s="4169" t="s">
        <v>2900</v>
      </c>
      <c r="J5" s="4170"/>
      <c r="K5" s="508"/>
      <c r="L5" s="2015"/>
      <c r="M5" s="2016"/>
      <c r="N5" s="2016"/>
      <c r="O5" s="2016"/>
      <c r="P5" s="4162"/>
      <c r="Q5" s="4163"/>
      <c r="R5" s="4148"/>
      <c r="S5" s="4149"/>
      <c r="T5" s="4148"/>
      <c r="U5" s="4149"/>
      <c r="V5" s="4166"/>
      <c r="W5" s="4166"/>
      <c r="X5" s="1502"/>
      <c r="Y5" s="4148"/>
      <c r="Z5" s="4149"/>
      <c r="AA5" s="4142"/>
      <c r="AB5" s="4166"/>
      <c r="AC5" s="4142"/>
    </row>
    <row r="6" spans="1:29" ht="15.75" thickBot="1">
      <c r="A6" s="511"/>
      <c r="B6" s="512"/>
      <c r="C6" s="4167" t="s">
        <v>2901</v>
      </c>
      <c r="D6" s="4168"/>
      <c r="E6" s="4214" t="s">
        <v>2901</v>
      </c>
      <c r="F6" s="4215"/>
      <c r="G6" s="4167" t="s">
        <v>2901</v>
      </c>
      <c r="H6" s="4168"/>
      <c r="I6" s="4167" t="s">
        <v>2901</v>
      </c>
      <c r="J6" s="4168"/>
      <c r="K6" s="508" t="s">
        <v>522</v>
      </c>
      <c r="L6" s="2015"/>
      <c r="M6" s="2016"/>
      <c r="N6" s="2016"/>
      <c r="O6" s="2016"/>
      <c r="P6" s="4164"/>
      <c r="Q6" s="4165"/>
      <c r="R6" s="4148"/>
      <c r="S6" s="4149"/>
      <c r="T6" s="4150"/>
      <c r="U6" s="4151"/>
      <c r="V6" s="4166"/>
      <c r="W6" s="4166"/>
      <c r="X6" s="1502"/>
      <c r="Y6" s="4150"/>
      <c r="Z6" s="4151"/>
      <c r="AA6" s="4143"/>
      <c r="AB6" s="4166"/>
      <c r="AC6" s="4143"/>
    </row>
    <row r="7" spans="1:29" s="1203" customFormat="1" ht="15.75" thickBot="1">
      <c r="A7" s="2629"/>
      <c r="B7" s="2636" t="s">
        <v>523</v>
      </c>
      <c r="C7" s="513">
        <f>'数据-取费表'!B2</f>
        <v>44268</v>
      </c>
      <c r="D7" s="514">
        <v>100</v>
      </c>
      <c r="E7" s="515"/>
      <c r="F7" s="516">
        <f>SUMIF(58:58,YEAR(E7)&amp;"-"&amp;MONTH(E7),59:59)</f>
        <v>0</v>
      </c>
      <c r="G7" s="515"/>
      <c r="H7" s="514">
        <f>SUMIF(58:58,YEAR(G7)&amp;"-"&amp;MONTH(G7),59:59)</f>
        <v>0</v>
      </c>
      <c r="I7" s="515"/>
      <c r="J7" s="514">
        <f>SUMIF(58:58,YEAR(I7)&amp;"-"&amp;MONTH(I7),59:59)</f>
        <v>0</v>
      </c>
      <c r="K7" s="518"/>
      <c r="L7" s="2017"/>
      <c r="M7" s="2018"/>
      <c r="N7" s="2018"/>
      <c r="O7" s="2018"/>
      <c r="P7" s="4144" t="s">
        <v>524</v>
      </c>
      <c r="Q7" s="4153"/>
      <c r="R7" s="1503" t="s">
        <v>8</v>
      </c>
      <c r="S7" s="1504">
        <f t="shared" ref="S7:S15" si="0">F7</f>
        <v>0</v>
      </c>
      <c r="T7" s="1503" t="s">
        <v>8</v>
      </c>
      <c r="U7" s="1504">
        <f t="shared" ref="U7:U15" si="1">H7</f>
        <v>0</v>
      </c>
      <c r="V7" s="1503" t="s">
        <v>8</v>
      </c>
      <c r="W7" s="1504">
        <f t="shared" ref="W7:W15"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4144" t="s">
        <v>527</v>
      </c>
      <c r="Q8" s="4145"/>
      <c r="R8" s="1503" t="s">
        <v>8</v>
      </c>
      <c r="S8" s="1504">
        <f t="shared" si="0"/>
        <v>0</v>
      </c>
      <c r="T8" s="1503" t="s">
        <v>8</v>
      </c>
      <c r="U8" s="1504">
        <f t="shared" si="1"/>
        <v>0</v>
      </c>
      <c r="V8" s="1503" t="s">
        <v>8</v>
      </c>
      <c r="W8" s="1504">
        <f t="shared" si="2"/>
        <v>0</v>
      </c>
      <c r="X8" s="1505"/>
      <c r="Y8" s="4144" t="s">
        <v>527</v>
      </c>
      <c r="Z8" s="4145"/>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4152" t="s">
        <v>529</v>
      </c>
      <c r="Q9" s="1134" t="str">
        <f t="shared" ref="Q9:Q15" si="6">B9</f>
        <v>用途</v>
      </c>
      <c r="R9" s="1503" t="s">
        <v>8</v>
      </c>
      <c r="S9" s="1504">
        <f t="shared" si="0"/>
        <v>100</v>
      </c>
      <c r="T9" s="1503" t="s">
        <v>8</v>
      </c>
      <c r="U9" s="1504">
        <f t="shared" si="1"/>
        <v>100</v>
      </c>
      <c r="V9" s="1503" t="s">
        <v>8</v>
      </c>
      <c r="W9" s="1504">
        <f t="shared" si="2"/>
        <v>100</v>
      </c>
      <c r="X9" s="1505"/>
      <c r="Y9" s="40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4152"/>
      <c r="Q11" s="1134" t="str">
        <f t="shared" si="6"/>
        <v>容积率</v>
      </c>
      <c r="R11" s="1503" t="s">
        <v>8</v>
      </c>
      <c r="S11" s="1504" t="e">
        <f t="shared" si="0"/>
        <v>#N/A</v>
      </c>
      <c r="T11" s="1503" t="s">
        <v>8</v>
      </c>
      <c r="U11" s="1504" t="e">
        <f t="shared" si="1"/>
        <v>#N/A</v>
      </c>
      <c r="V11" s="1503" t="s">
        <v>8</v>
      </c>
      <c r="W11" s="1504" t="e">
        <f t="shared" si="2"/>
        <v>#N/A</v>
      </c>
      <c r="X11" s="1505"/>
      <c r="Y11" s="40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4152"/>
      <c r="Q12" s="1134">
        <f t="shared" si="6"/>
        <v>111</v>
      </c>
      <c r="R12" s="1503" t="s">
        <v>8</v>
      </c>
      <c r="S12" s="1504">
        <f t="shared" si="0"/>
        <v>100</v>
      </c>
      <c r="T12" s="1503" t="s">
        <v>8</v>
      </c>
      <c r="U12" s="1504">
        <f t="shared" si="1"/>
        <v>100</v>
      </c>
      <c r="V12" s="1503" t="s">
        <v>8</v>
      </c>
      <c r="W12" s="1504">
        <f t="shared" si="2"/>
        <v>100</v>
      </c>
      <c r="X12" s="1505"/>
      <c r="Y12" s="407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4152"/>
      <c r="Q13" s="1134">
        <f t="shared" si="6"/>
        <v>111</v>
      </c>
      <c r="R13" s="1503" t="s">
        <v>8</v>
      </c>
      <c r="S13" s="1504">
        <f t="shared" si="0"/>
        <v>100</v>
      </c>
      <c r="T13" s="1503" t="s">
        <v>8</v>
      </c>
      <c r="U13" s="1504">
        <f t="shared" si="1"/>
        <v>100</v>
      </c>
      <c r="V13" s="1503" t="s">
        <v>8</v>
      </c>
      <c r="W13" s="1504">
        <f t="shared" si="2"/>
        <v>100</v>
      </c>
      <c r="X13" s="1505"/>
      <c r="Y13" s="407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4152"/>
      <c r="Q14" s="1134">
        <f t="shared" si="6"/>
        <v>111</v>
      </c>
      <c r="R14" s="1503" t="s">
        <v>8</v>
      </c>
      <c r="S14" s="1504">
        <f t="shared" si="0"/>
        <v>100</v>
      </c>
      <c r="T14" s="1503" t="s">
        <v>8</v>
      </c>
      <c r="U14" s="1504">
        <f t="shared" si="1"/>
        <v>100</v>
      </c>
      <c r="V14" s="1503" t="s">
        <v>8</v>
      </c>
      <c r="W14" s="1504">
        <f t="shared" si="2"/>
        <v>100</v>
      </c>
      <c r="X14" s="1505"/>
      <c r="Y14" s="407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4154" t="s">
        <v>534</v>
      </c>
      <c r="Q15" s="1507" t="str">
        <f t="shared" si="6"/>
        <v>商业繁华度</v>
      </c>
      <c r="R15" s="1508" t="s">
        <v>8</v>
      </c>
      <c r="S15" s="1509">
        <f t="shared" si="0"/>
        <v>100</v>
      </c>
      <c r="T15" s="1508" t="s">
        <v>8</v>
      </c>
      <c r="U15" s="1509">
        <f t="shared" si="1"/>
        <v>100</v>
      </c>
      <c r="V15" s="1508" t="s">
        <v>8</v>
      </c>
      <c r="W15" s="1509">
        <f t="shared" si="2"/>
        <v>100</v>
      </c>
      <c r="X15" s="1502"/>
      <c r="Y15" s="4154"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55"/>
      <c r="Q16" s="1507"/>
      <c r="R16" s="1508"/>
      <c r="S16" s="1509"/>
      <c r="T16" s="1508"/>
      <c r="U16" s="1509"/>
      <c r="V16" s="1508"/>
      <c r="W16" s="1509"/>
      <c r="X16" s="1502"/>
      <c r="Y16" s="4155"/>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4155"/>
      <c r="Q17" s="1507" t="str">
        <f>B17</f>
        <v>交通便捷度</v>
      </c>
      <c r="R17" s="1508" t="s">
        <v>8</v>
      </c>
      <c r="S17" s="1509">
        <f>F17</f>
        <v>100</v>
      </c>
      <c r="T17" s="1508" t="s">
        <v>8</v>
      </c>
      <c r="U17" s="1509">
        <f>H17</f>
        <v>100</v>
      </c>
      <c r="V17" s="1508" t="s">
        <v>8</v>
      </c>
      <c r="W17" s="1509">
        <f>J17</f>
        <v>100</v>
      </c>
      <c r="X17" s="1502"/>
      <c r="Y17" s="41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55"/>
      <c r="Q18" s="1507"/>
      <c r="R18" s="1508"/>
      <c r="S18" s="1509"/>
      <c r="T18" s="1508"/>
      <c r="U18" s="1509"/>
      <c r="V18" s="1508"/>
      <c r="W18" s="1509"/>
      <c r="X18" s="1502"/>
      <c r="Y18" s="4155"/>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4155"/>
      <c r="Q19" s="1507" t="str">
        <f>B19</f>
        <v>公共配套设施</v>
      </c>
      <c r="R19" s="1508" t="s">
        <v>8</v>
      </c>
      <c r="S19" s="1509">
        <f>F19</f>
        <v>100</v>
      </c>
      <c r="T19" s="1508" t="s">
        <v>8</v>
      </c>
      <c r="U19" s="1509">
        <f>H19</f>
        <v>100</v>
      </c>
      <c r="V19" s="1508" t="s">
        <v>8</v>
      </c>
      <c r="W19" s="1509">
        <f>J19</f>
        <v>100</v>
      </c>
      <c r="X19" s="1502"/>
      <c r="Y19" s="4155"/>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4155"/>
      <c r="Q20" s="1507"/>
      <c r="R20" s="1508"/>
      <c r="S20" s="1509"/>
      <c r="T20" s="1508"/>
      <c r="U20" s="1509"/>
      <c r="V20" s="1508"/>
      <c r="W20" s="1509"/>
      <c r="X20" s="1502"/>
      <c r="Y20" s="4155"/>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4155"/>
      <c r="Q21" s="2429" t="str">
        <f>B21</f>
        <v>基础设施水平</v>
      </c>
      <c r="R21" s="1508" t="s">
        <v>8</v>
      </c>
      <c r="S21" s="1509">
        <f>F21</f>
        <v>100</v>
      </c>
      <c r="T21" s="1508" t="s">
        <v>8</v>
      </c>
      <c r="U21" s="1509">
        <f>H21</f>
        <v>100</v>
      </c>
      <c r="V21" s="1508" t="s">
        <v>8</v>
      </c>
      <c r="W21" s="1509">
        <f>J21</f>
        <v>100</v>
      </c>
      <c r="X21" s="2431"/>
      <c r="Y21" s="4155"/>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4155"/>
      <c r="Q22" s="2429"/>
      <c r="R22" s="1508"/>
      <c r="S22" s="1509"/>
      <c r="T22" s="1508"/>
      <c r="U22" s="1509"/>
      <c r="V22" s="1508"/>
      <c r="W22" s="1509"/>
      <c r="X22" s="2431"/>
      <c r="Y22" s="4155"/>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4155"/>
      <c r="Q23" s="1507" t="str">
        <f>B23</f>
        <v>自然及人文环境</v>
      </c>
      <c r="R23" s="1508" t="s">
        <v>8</v>
      </c>
      <c r="S23" s="1509">
        <f>F23</f>
        <v>100</v>
      </c>
      <c r="T23" s="1508" t="s">
        <v>8</v>
      </c>
      <c r="U23" s="1509">
        <f>H23</f>
        <v>100</v>
      </c>
      <c r="V23" s="1508" t="s">
        <v>8</v>
      </c>
      <c r="W23" s="1509">
        <f>J23</f>
        <v>100</v>
      </c>
      <c r="X23" s="1502"/>
      <c r="Y23" s="4155"/>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4155"/>
      <c r="Q24" s="1507"/>
      <c r="R24" s="1508"/>
      <c r="S24" s="1509"/>
      <c r="T24" s="1508"/>
      <c r="U24" s="1509"/>
      <c r="V24" s="1508"/>
      <c r="W24" s="1509"/>
      <c r="X24" s="1502"/>
      <c r="Y24" s="4155"/>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4155"/>
      <c r="Q25" s="1507" t="str">
        <f t="shared" ref="Q25:Q46" si="11">B25</f>
        <v>临街状况</v>
      </c>
      <c r="R25" s="1508" t="s">
        <v>8</v>
      </c>
      <c r="S25" s="1509">
        <f>F25</f>
        <v>100</v>
      </c>
      <c r="T25" s="1508" t="s">
        <v>8</v>
      </c>
      <c r="U25" s="1509">
        <f>H25</f>
        <v>100</v>
      </c>
      <c r="V25" s="1508" t="s">
        <v>8</v>
      </c>
      <c r="W25" s="1509">
        <f>J25</f>
        <v>100</v>
      </c>
      <c r="X25" s="1502"/>
      <c r="Y25" s="4155"/>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4155"/>
      <c r="Q26" s="1507" t="str">
        <f t="shared" si="11"/>
        <v>平面位置/可视性</v>
      </c>
      <c r="R26" s="1508" t="s">
        <v>8</v>
      </c>
      <c r="S26" s="1509">
        <f>F26</f>
        <v>100</v>
      </c>
      <c r="T26" s="1508" t="s">
        <v>8</v>
      </c>
      <c r="U26" s="1509">
        <f>H26</f>
        <v>100</v>
      </c>
      <c r="V26" s="1508" t="s">
        <v>8</v>
      </c>
      <c r="W26" s="1509">
        <f>J26</f>
        <v>100</v>
      </c>
      <c r="X26" s="1502"/>
      <c r="Y26" s="4155"/>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4155"/>
      <c r="Q27" s="1134" t="str">
        <f t="shared" si="11"/>
        <v>人流量</v>
      </c>
      <c r="R27" s="1503" t="s">
        <v>8</v>
      </c>
      <c r="S27" s="1504">
        <f>F27</f>
        <v>100</v>
      </c>
      <c r="T27" s="1503" t="s">
        <v>8</v>
      </c>
      <c r="U27" s="1504">
        <f>H27</f>
        <v>100</v>
      </c>
      <c r="V27" s="1503" t="s">
        <v>8</v>
      </c>
      <c r="W27" s="1504">
        <f>J27</f>
        <v>100</v>
      </c>
      <c r="X27" s="1505"/>
      <c r="Y27" s="4155"/>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4155"/>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4155"/>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4155"/>
      <c r="Q29" s="1507">
        <f t="shared" si="11"/>
        <v>111</v>
      </c>
      <c r="R29" s="1508" t="s">
        <v>8</v>
      </c>
      <c r="S29" s="1509">
        <f t="shared" si="12"/>
        <v>100</v>
      </c>
      <c r="T29" s="1508" t="s">
        <v>8</v>
      </c>
      <c r="U29" s="1509">
        <f t="shared" si="13"/>
        <v>100</v>
      </c>
      <c r="V29" s="1508" t="s">
        <v>8</v>
      </c>
      <c r="W29" s="1509">
        <f t="shared" si="14"/>
        <v>100</v>
      </c>
      <c r="X29" s="1502"/>
      <c r="Y29" s="4155"/>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4155"/>
      <c r="Q30" s="1507">
        <f t="shared" si="11"/>
        <v>111</v>
      </c>
      <c r="R30" s="1508" t="s">
        <v>8</v>
      </c>
      <c r="S30" s="1509">
        <f t="shared" si="12"/>
        <v>100</v>
      </c>
      <c r="T30" s="1508" t="s">
        <v>8</v>
      </c>
      <c r="U30" s="1509">
        <f t="shared" si="13"/>
        <v>100</v>
      </c>
      <c r="V30" s="1508" t="s">
        <v>8</v>
      </c>
      <c r="W30" s="1509">
        <f t="shared" si="14"/>
        <v>100</v>
      </c>
      <c r="X30" s="1502"/>
      <c r="Y30" s="4155"/>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4155"/>
      <c r="Q31" s="1507">
        <f t="shared" si="11"/>
        <v>111</v>
      </c>
      <c r="R31" s="1508" t="s">
        <v>8</v>
      </c>
      <c r="S31" s="1509">
        <f t="shared" si="12"/>
        <v>100</v>
      </c>
      <c r="T31" s="1508" t="s">
        <v>8</v>
      </c>
      <c r="U31" s="1509">
        <f t="shared" si="13"/>
        <v>100</v>
      </c>
      <c r="V31" s="1508" t="s">
        <v>8</v>
      </c>
      <c r="W31" s="1509">
        <f t="shared" si="14"/>
        <v>100</v>
      </c>
      <c r="X31" s="1502"/>
      <c r="Y31" s="4155"/>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4156" t="s">
        <v>544</v>
      </c>
      <c r="Q32" s="1507" t="str">
        <f t="shared" si="11"/>
        <v>商业类型</v>
      </c>
      <c r="R32" s="1508" t="s">
        <v>8</v>
      </c>
      <c r="S32" s="1509">
        <f t="shared" si="12"/>
        <v>100</v>
      </c>
      <c r="T32" s="1508" t="s">
        <v>8</v>
      </c>
      <c r="U32" s="1509">
        <f t="shared" si="13"/>
        <v>100</v>
      </c>
      <c r="V32" s="1508" t="s">
        <v>8</v>
      </c>
      <c r="W32" s="1509">
        <f t="shared" si="14"/>
        <v>100</v>
      </c>
      <c r="X32" s="1502"/>
      <c r="Y32" s="4157"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4157"/>
      <c r="Q33" s="1536" t="str">
        <f t="shared" si="11"/>
        <v>项目建筑规模</v>
      </c>
      <c r="R33" s="1512" t="s">
        <v>8</v>
      </c>
      <c r="S33" s="1513" t="e">
        <f t="shared" si="12"/>
        <v>#N/A</v>
      </c>
      <c r="T33" s="1512" t="s">
        <v>8</v>
      </c>
      <c r="U33" s="1513" t="e">
        <f t="shared" si="13"/>
        <v>#N/A</v>
      </c>
      <c r="V33" s="1512" t="s">
        <v>8</v>
      </c>
      <c r="W33" s="1513" t="e">
        <f t="shared" si="14"/>
        <v>#N/A</v>
      </c>
      <c r="X33" s="1514"/>
      <c r="Y33" s="4157"/>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4157"/>
      <c r="Q34" s="1507" t="str">
        <f t="shared" si="11"/>
        <v>建筑结构</v>
      </c>
      <c r="R34" s="1508" t="s">
        <v>8</v>
      </c>
      <c r="S34" s="1509">
        <f t="shared" si="12"/>
        <v>100</v>
      </c>
      <c r="T34" s="1508" t="s">
        <v>8</v>
      </c>
      <c r="U34" s="1509">
        <f t="shared" si="13"/>
        <v>100</v>
      </c>
      <c r="V34" s="1508" t="s">
        <v>8</v>
      </c>
      <c r="W34" s="1509">
        <f t="shared" si="14"/>
        <v>100</v>
      </c>
      <c r="X34" s="1502"/>
      <c r="Y34" s="4157"/>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4157"/>
      <c r="Q35" s="1507" t="str">
        <f t="shared" si="11"/>
        <v>公共部分装修</v>
      </c>
      <c r="R35" s="1508" t="s">
        <v>8</v>
      </c>
      <c r="S35" s="1509">
        <f t="shared" si="12"/>
        <v>100</v>
      </c>
      <c r="T35" s="1508" t="s">
        <v>8</v>
      </c>
      <c r="U35" s="1509">
        <f t="shared" si="13"/>
        <v>100</v>
      </c>
      <c r="V35" s="1508" t="s">
        <v>8</v>
      </c>
      <c r="W35" s="1509">
        <f t="shared" si="14"/>
        <v>100</v>
      </c>
      <c r="X35" s="1502"/>
      <c r="Y35" s="4157"/>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4157"/>
      <c r="Q36" s="1507" t="str">
        <f t="shared" si="11"/>
        <v>成新度</v>
      </c>
      <c r="R36" s="1508" t="s">
        <v>8</v>
      </c>
      <c r="S36" s="1509" t="e">
        <f t="shared" si="12"/>
        <v>#N/A</v>
      </c>
      <c r="T36" s="1508" t="s">
        <v>8</v>
      </c>
      <c r="U36" s="1509" t="e">
        <f t="shared" si="13"/>
        <v>#N/A</v>
      </c>
      <c r="V36" s="1508" t="s">
        <v>8</v>
      </c>
      <c r="W36" s="1509" t="e">
        <f t="shared" si="14"/>
        <v>#N/A</v>
      </c>
      <c r="X36" s="1502"/>
      <c r="Y36" s="4157"/>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4157"/>
      <c r="Q37" s="1134" t="str">
        <f t="shared" si="11"/>
        <v>市政基础设施</v>
      </c>
      <c r="R37" s="1503" t="s">
        <v>8</v>
      </c>
      <c r="S37" s="1504">
        <f t="shared" si="12"/>
        <v>100</v>
      </c>
      <c r="T37" s="1503" t="s">
        <v>8</v>
      </c>
      <c r="U37" s="1504">
        <f t="shared" si="13"/>
        <v>100</v>
      </c>
      <c r="V37" s="1503" t="s">
        <v>8</v>
      </c>
      <c r="W37" s="1504">
        <f t="shared" si="14"/>
        <v>100</v>
      </c>
      <c r="X37" s="1505"/>
      <c r="Y37" s="4157"/>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4157" t="s">
        <v>760</v>
      </c>
      <c r="Q38" s="1507" t="str">
        <f t="shared" si="11"/>
        <v>业态</v>
      </c>
      <c r="R38" s="1508" t="s">
        <v>8</v>
      </c>
      <c r="S38" s="1509">
        <f t="shared" si="12"/>
        <v>100</v>
      </c>
      <c r="T38" s="1508" t="s">
        <v>8</v>
      </c>
      <c r="U38" s="1509">
        <f t="shared" si="13"/>
        <v>100</v>
      </c>
      <c r="V38" s="1508" t="s">
        <v>8</v>
      </c>
      <c r="W38" s="1509">
        <f t="shared" si="14"/>
        <v>100</v>
      </c>
      <c r="X38" s="1502"/>
      <c r="Y38" s="4157"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57"/>
      <c r="Q39" s="1507" t="str">
        <f t="shared" si="11"/>
        <v>层高</v>
      </c>
      <c r="R39" s="1508" t="s">
        <v>8</v>
      </c>
      <c r="S39" s="1509">
        <f t="shared" si="12"/>
        <v>100</v>
      </c>
      <c r="T39" s="1508" t="s">
        <v>8</v>
      </c>
      <c r="U39" s="1509">
        <f t="shared" si="13"/>
        <v>100</v>
      </c>
      <c r="V39" s="1508" t="s">
        <v>8</v>
      </c>
      <c r="W39" s="1509">
        <f t="shared" si="14"/>
        <v>100</v>
      </c>
      <c r="X39" s="1502"/>
      <c r="Y39" s="4157"/>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4157"/>
      <c r="Q40" s="1507" t="str">
        <f t="shared" si="11"/>
        <v>单套建筑面积</v>
      </c>
      <c r="R40" s="1508" t="s">
        <v>8</v>
      </c>
      <c r="S40" s="1509">
        <f t="shared" si="12"/>
        <v>100</v>
      </c>
      <c r="T40" s="1508" t="s">
        <v>8</v>
      </c>
      <c r="U40" s="1509">
        <f t="shared" si="13"/>
        <v>100</v>
      </c>
      <c r="V40" s="1508" t="s">
        <v>8</v>
      </c>
      <c r="W40" s="1509">
        <f t="shared" si="14"/>
        <v>100</v>
      </c>
      <c r="X40" s="1502"/>
      <c r="Y40" s="4157"/>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4157"/>
      <c r="Q41" s="1536" t="str">
        <f t="shared" si="11"/>
        <v>进深比</v>
      </c>
      <c r="R41" s="1512" t="s">
        <v>8</v>
      </c>
      <c r="S41" s="1513">
        <f t="shared" si="12"/>
        <v>100</v>
      </c>
      <c r="T41" s="1512" t="s">
        <v>8</v>
      </c>
      <c r="U41" s="1513">
        <f t="shared" si="13"/>
        <v>100</v>
      </c>
      <c r="V41" s="1512" t="s">
        <v>8</v>
      </c>
      <c r="W41" s="1513">
        <f t="shared" si="14"/>
        <v>100</v>
      </c>
      <c r="X41" s="1514"/>
      <c r="Y41" s="4157"/>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4157"/>
      <c r="Q42" s="1507" t="str">
        <f t="shared" si="11"/>
        <v>内部装修</v>
      </c>
      <c r="R42" s="1508" t="s">
        <v>8</v>
      </c>
      <c r="S42" s="1509">
        <f t="shared" si="12"/>
        <v>100</v>
      </c>
      <c r="T42" s="1508" t="s">
        <v>8</v>
      </c>
      <c r="U42" s="1509">
        <f t="shared" si="13"/>
        <v>100</v>
      </c>
      <c r="V42" s="1508" t="s">
        <v>8</v>
      </c>
      <c r="W42" s="1509">
        <f t="shared" si="14"/>
        <v>100</v>
      </c>
      <c r="X42" s="1502"/>
      <c r="Y42" s="4157"/>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4157"/>
      <c r="Q43" s="1507" t="str">
        <f t="shared" si="11"/>
        <v>内部装修维护情况</v>
      </c>
      <c r="R43" s="1508" t="s">
        <v>8</v>
      </c>
      <c r="S43" s="1509">
        <f t="shared" si="12"/>
        <v>100</v>
      </c>
      <c r="T43" s="1508" t="s">
        <v>8</v>
      </c>
      <c r="U43" s="1509">
        <f t="shared" si="13"/>
        <v>100</v>
      </c>
      <c r="V43" s="1508" t="s">
        <v>8</v>
      </c>
      <c r="W43" s="1509">
        <f t="shared" si="14"/>
        <v>100</v>
      </c>
      <c r="X43" s="1502"/>
      <c r="Y43" s="4157"/>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4157"/>
      <c r="Q44" s="1134">
        <f t="shared" si="11"/>
        <v>111</v>
      </c>
      <c r="R44" s="1503" t="s">
        <v>8</v>
      </c>
      <c r="S44" s="1504">
        <f t="shared" si="12"/>
        <v>100</v>
      </c>
      <c r="T44" s="1503" t="s">
        <v>8</v>
      </c>
      <c r="U44" s="1504">
        <f t="shared" si="13"/>
        <v>100</v>
      </c>
      <c r="V44" s="1503" t="s">
        <v>8</v>
      </c>
      <c r="W44" s="1504">
        <f t="shared" si="14"/>
        <v>100</v>
      </c>
      <c r="X44" s="1505"/>
      <c r="Y44" s="4157"/>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4157"/>
      <c r="Q45" s="1507">
        <f t="shared" si="11"/>
        <v>111</v>
      </c>
      <c r="R45" s="1508" t="s">
        <v>8</v>
      </c>
      <c r="S45" s="1509">
        <f t="shared" si="12"/>
        <v>100</v>
      </c>
      <c r="T45" s="1508" t="s">
        <v>8</v>
      </c>
      <c r="U45" s="1509">
        <f t="shared" si="13"/>
        <v>100</v>
      </c>
      <c r="V45" s="1508" t="s">
        <v>8</v>
      </c>
      <c r="W45" s="1509">
        <f t="shared" si="14"/>
        <v>100</v>
      </c>
      <c r="X45" s="1502"/>
      <c r="Y45" s="4157"/>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4220"/>
      <c r="Q46" s="1507">
        <f t="shared" si="11"/>
        <v>111</v>
      </c>
      <c r="R46" s="1508" t="s">
        <v>8</v>
      </c>
      <c r="S46" s="1509">
        <f t="shared" si="12"/>
        <v>100</v>
      </c>
      <c r="T46" s="1508" t="s">
        <v>8</v>
      </c>
      <c r="U46" s="1509">
        <f t="shared" si="13"/>
        <v>100</v>
      </c>
      <c r="V46" s="1508" t="s">
        <v>8</v>
      </c>
      <c r="W46" s="1509">
        <f t="shared" si="14"/>
        <v>100</v>
      </c>
      <c r="X46" s="1502"/>
      <c r="Y46" s="4220"/>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4152" t="str">
        <f>A47</f>
        <v>成交单价（元/平方米）</v>
      </c>
      <c r="Q47" s="4152"/>
      <c r="R47" s="4219">
        <f>E47</f>
        <v>0</v>
      </c>
      <c r="S47" s="4219"/>
      <c r="T47" s="4219">
        <f>G47</f>
        <v>0</v>
      </c>
      <c r="U47" s="4219"/>
      <c r="V47" s="4219">
        <f>I47</f>
        <v>0</v>
      </c>
      <c r="W47" s="4219"/>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4152" t="str">
        <f>A48</f>
        <v>比较价格（元/平方米）</v>
      </c>
      <c r="Q48" s="4152"/>
      <c r="R48" s="4219" t="e">
        <f>IF(F1="售价",ROUND(PRODUCT(R47,AA7:AA46),0),ROUND(PRODUCT(R47,AA7:AA46),1))</f>
        <v>#DIV/0!</v>
      </c>
      <c r="S48" s="4219"/>
      <c r="T48" s="4219" t="e">
        <f>IF(F1="售价",ROUND(PRODUCT(T47,AB7:AB46),0),ROUND(PRODUCT(T47,AB7:AB46),1))</f>
        <v>#DIV/0!</v>
      </c>
      <c r="U48" s="4219"/>
      <c r="V48" s="4219" t="e">
        <f>IF(F1="售价",ROUND(PRODUCT(V47,AC7:AC46),0),ROUND(PRODUCT(V47,AC7:AC46),1))</f>
        <v>#DIV/0!</v>
      </c>
      <c r="W48" s="4219"/>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4173" t="str">
        <f>A49</f>
        <v>估价对象XX用房的比较价格（楼面单价，元/平方米）</v>
      </c>
      <c r="Q49" s="4174"/>
      <c r="R49" s="4218" t="e">
        <f>IF(F1="售价",ROUND(IF(D48="简单平均",AVERAGE(R48:V48),R48*F48+T48*H48+V48*J48),0),ROUND(IF(D48="简单平均",AVERAGE(R48:V48),R48*F48+T48*H48+V48*J48),1))</f>
        <v>#DIV/0!</v>
      </c>
      <c r="S49" s="4218"/>
      <c r="T49" s="4218"/>
      <c r="U49" s="4218"/>
      <c r="V49" s="4218"/>
      <c r="W49" s="4218"/>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3" priority="21" stopIfTrue="1" operator="containsText" text="超过">
      <formula>NOT(ISERROR(SEARCH("超过",F52)))</formula>
    </cfRule>
  </conditionalFormatting>
  <conditionalFormatting sqref="H54">
    <cfRule type="containsText" dxfId="112" priority="19" stopIfTrue="1" operator="containsText" text="超过">
      <formula>NOT(ISERROR(SEARCH("超过",H54)))</formula>
    </cfRule>
  </conditionalFormatting>
  <conditionalFormatting sqref="F54">
    <cfRule type="containsText" dxfId="111" priority="18" stopIfTrue="1" operator="containsText" text="超过">
      <formula>NOT(ISERROR(SEARCH("超过",F54)))</formula>
    </cfRule>
  </conditionalFormatting>
  <conditionalFormatting sqref="F53 H53">
    <cfRule type="containsText" dxfId="110" priority="17" stopIfTrue="1" operator="containsText" text="超过">
      <formula>NOT(ISERROR(SEARCH("超过",F53)))</formula>
    </cfRule>
  </conditionalFormatting>
  <conditionalFormatting sqref="E52">
    <cfRule type="expression" dxfId="109" priority="16" stopIfTrue="1">
      <formula>$F$52="超过30%"</formula>
    </cfRule>
  </conditionalFormatting>
  <conditionalFormatting sqref="E53">
    <cfRule type="expression" dxfId="108" priority="15" stopIfTrue="1">
      <formula>$F$53="超过20%"</formula>
    </cfRule>
  </conditionalFormatting>
  <conditionalFormatting sqref="E54">
    <cfRule type="expression" dxfId="107" priority="14" stopIfTrue="1">
      <formula>$F$54="超过30%"</formula>
    </cfRule>
  </conditionalFormatting>
  <conditionalFormatting sqref="G54">
    <cfRule type="expression" dxfId="106" priority="13" stopIfTrue="1">
      <formula>$H$54="超过30%"</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J52">
    <cfRule type="containsText" dxfId="103" priority="10" stopIfTrue="1" operator="containsText" text="超过">
      <formula>NOT(ISERROR(SEARCH("超过",J52)))</formula>
    </cfRule>
  </conditionalFormatting>
  <conditionalFormatting sqref="J54">
    <cfRule type="containsText" dxfId="102" priority="9" stopIfTrue="1" operator="containsText" text="超过">
      <formula>NOT(ISERROR(SEARCH("超过",J54)))</formula>
    </cfRule>
  </conditionalFormatting>
  <conditionalFormatting sqref="J53">
    <cfRule type="containsText" dxfId="101" priority="8" stopIfTrue="1" operator="containsText" text="超过">
      <formula>NOT(ISERROR(SEARCH("超过",J53)))</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34 G34 I34" xr:uid="{00000000-0002-0000-2000-000003000000}">
      <formula1>住宅建筑结构</formula1>
    </dataValidation>
    <dataValidation type="list" allowBlank="1" showInputMessage="1" showErrorMessage="1" sqref="C20 G20 I20 E20" xr:uid="{00000000-0002-0000-2000-000004000000}">
      <formula1>公共配套设施</formula1>
    </dataValidation>
    <dataValidation type="list" allowBlank="1" showInputMessage="1" showErrorMessage="1" sqref="E18 G18 I18 C18" xr:uid="{00000000-0002-0000-2000-000005000000}">
      <formula1>交通便捷度</formula1>
    </dataValidation>
    <dataValidation type="list" allowBlank="1" showInputMessage="1" showErrorMessage="1" sqref="E24 G24 I24 C24" xr:uid="{00000000-0002-0000-2000-000006000000}">
      <formula1>环境</formula1>
    </dataValidation>
    <dataValidation type="list" allowBlank="1" showInputMessage="1" showErrorMessage="1" sqref="C25 E25 G25 I25" xr:uid="{00000000-0002-0000-2000-000007000000}">
      <formula1>商业临街状况</formula1>
    </dataValidation>
    <dataValidation type="list" allowBlank="1" showInputMessage="1" showErrorMessage="1" sqref="C27 E27 G27 I27" xr:uid="{00000000-0002-0000-2000-000008000000}">
      <formula1>商业人流量</formula1>
    </dataValidation>
    <dataValidation type="list" allowBlank="1" showInputMessage="1" showErrorMessage="1" sqref="C28 E28 G28 I28" xr:uid="{00000000-0002-0000-2000-000009000000}">
      <formula1>商业楼层</formula1>
    </dataValidation>
    <dataValidation type="list" allowBlank="1" showInputMessage="1" showErrorMessage="1" sqref="C32 E32 G32 I32" xr:uid="{00000000-0002-0000-2000-00000A000000}">
      <formula1>商业类型</formula1>
    </dataValidation>
    <dataValidation type="list" allowBlank="1" showInputMessage="1" showErrorMessage="1" sqref="C34" xr:uid="{00000000-0002-0000-2000-00000B000000}">
      <formula1>商业建筑结构</formula1>
    </dataValidation>
    <dataValidation type="list" allowBlank="1" showInputMessage="1" showErrorMessage="1" sqref="C35 E35 G35 I35" xr:uid="{00000000-0002-0000-2000-00000C000000}">
      <formula1>商业公共部分装修</formula1>
    </dataValidation>
    <dataValidation type="list" allowBlank="1" showInputMessage="1" showErrorMessage="1" sqref="C37 E37 G37 I37" xr:uid="{00000000-0002-0000-2000-00000D000000}">
      <formula1>商业基础设施水平</formula1>
    </dataValidation>
    <dataValidation type="list" allowBlank="1" showInputMessage="1" showErrorMessage="1" sqref="C41 E41 G41 I41" xr:uid="{00000000-0002-0000-2000-00000E000000}">
      <formula1>商业进深比</formula1>
    </dataValidation>
    <dataValidation type="list" allowBlank="1" showInputMessage="1" showErrorMessage="1" sqref="C42 E42 G42 I42" xr:uid="{00000000-0002-0000-2000-00000F000000}">
      <formula1>商业内部装修</formula1>
    </dataValidation>
    <dataValidation type="list" allowBlank="1" showInputMessage="1" showErrorMessage="1" sqref="E9 G9 I9" xr:uid="{00000000-0002-0000-2000-000010000000}">
      <formula1>商业用途</formula1>
    </dataValidation>
    <dataValidation type="list" allowBlank="1" showInputMessage="1" showErrorMessage="1" sqref="C38 E38 G38 I38" xr:uid="{00000000-0002-0000-2000-000011000000}">
      <formula1>商业业态</formula1>
    </dataValidation>
    <dataValidation type="list" allowBlank="1" showInputMessage="1" showErrorMessage="1" sqref="C39 E39 G39 I39" xr:uid="{00000000-0002-0000-2000-000012000000}">
      <formula1>商业层高</formula1>
    </dataValidation>
    <dataValidation type="list" allowBlank="1" showInputMessage="1" showErrorMessage="1" sqref="C8 E8 G8 I8" xr:uid="{00000000-0002-0000-2000-000013000000}">
      <formula1>商业交易情况</formula1>
    </dataValidation>
    <dataValidation type="list" allowBlank="1" showInputMessage="1" showErrorMessage="1" sqref="C16 E16 G16 I16" xr:uid="{00000000-0002-0000-2000-000014000000}">
      <formula1>商业繁华度</formula1>
    </dataValidation>
    <dataValidation type="list" allowBlank="1" showInputMessage="1" showErrorMessage="1" sqref="C22 E22 G22 I22" xr:uid="{00000000-0002-0000-2000-000015000000}">
      <formula1>基础设施水平</formula1>
    </dataValidation>
    <dataValidation type="list" allowBlank="1" showInputMessage="1" showErrorMessage="1" sqref="F1" xr:uid="{00000000-0002-0000-2000-000016000000}">
      <formula1>"售价,租金"</formula1>
    </dataValidation>
    <dataValidation type="list" allowBlank="1" showInputMessage="1" showErrorMessage="1" sqref="D48" xr:uid="{00000000-0002-0000-20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4158" t="s">
        <v>516</v>
      </c>
      <c r="D4" s="4159"/>
      <c r="E4" s="4216" t="s">
        <v>517</v>
      </c>
      <c r="F4" s="4217"/>
      <c r="G4" s="4158" t="s">
        <v>518</v>
      </c>
      <c r="H4" s="4159"/>
      <c r="I4" s="4158" t="s">
        <v>519</v>
      </c>
      <c r="J4" s="4159"/>
      <c r="K4" s="508" t="s">
        <v>520</v>
      </c>
      <c r="L4" s="2015"/>
      <c r="M4" s="2016"/>
      <c r="N4" s="2016"/>
      <c r="O4" s="2016"/>
      <c r="P4" s="4221" t="s">
        <v>521</v>
      </c>
      <c r="Q4" s="4161"/>
      <c r="R4" s="4146" t="s">
        <v>517</v>
      </c>
      <c r="S4" s="4147"/>
      <c r="T4" s="4146" t="s">
        <v>518</v>
      </c>
      <c r="U4" s="4147"/>
      <c r="V4" s="4166" t="s">
        <v>519</v>
      </c>
      <c r="W4" s="4166"/>
      <c r="X4" s="1502"/>
      <c r="Y4" s="4146" t="s">
        <v>521</v>
      </c>
      <c r="Z4" s="4147"/>
      <c r="AA4" s="4141" t="s">
        <v>517</v>
      </c>
      <c r="AB4" s="4141" t="s">
        <v>518</v>
      </c>
      <c r="AC4" s="4141" t="s">
        <v>519</v>
      </c>
    </row>
    <row r="5" spans="1:29" ht="15">
      <c r="A5" s="509"/>
      <c r="B5" s="510"/>
      <c r="C5" s="4169" t="s">
        <v>2897</v>
      </c>
      <c r="D5" s="4170"/>
      <c r="E5" s="4212" t="s">
        <v>2898</v>
      </c>
      <c r="F5" s="4213"/>
      <c r="G5" s="4169" t="s">
        <v>2899</v>
      </c>
      <c r="H5" s="4170"/>
      <c r="I5" s="4169" t="s">
        <v>2900</v>
      </c>
      <c r="J5" s="4170"/>
      <c r="K5" s="508"/>
      <c r="L5" s="2015"/>
      <c r="M5" s="2016"/>
      <c r="N5" s="2016"/>
      <c r="O5" s="2016"/>
      <c r="P5" s="4222"/>
      <c r="Q5" s="4163"/>
      <c r="R5" s="4148"/>
      <c r="S5" s="4149"/>
      <c r="T5" s="4148"/>
      <c r="U5" s="4149"/>
      <c r="V5" s="4166"/>
      <c r="W5" s="4166"/>
      <c r="X5" s="1502"/>
      <c r="Y5" s="4148"/>
      <c r="Z5" s="4149"/>
      <c r="AA5" s="4142"/>
      <c r="AB5" s="4142"/>
      <c r="AC5" s="4142"/>
    </row>
    <row r="6" spans="1:29" ht="15.75" thickBot="1">
      <c r="A6" s="511"/>
      <c r="B6" s="512"/>
      <c r="C6" s="4167" t="s">
        <v>2901</v>
      </c>
      <c r="D6" s="4168"/>
      <c r="E6" s="4214" t="s">
        <v>2901</v>
      </c>
      <c r="F6" s="4215"/>
      <c r="G6" s="4167" t="s">
        <v>2901</v>
      </c>
      <c r="H6" s="4168"/>
      <c r="I6" s="4167" t="s">
        <v>2901</v>
      </c>
      <c r="J6" s="4168"/>
      <c r="K6" s="508" t="s">
        <v>522</v>
      </c>
      <c r="L6" s="2015"/>
      <c r="M6" s="2016"/>
      <c r="N6" s="2016"/>
      <c r="O6" s="2016"/>
      <c r="P6" s="4223"/>
      <c r="Q6" s="4165"/>
      <c r="R6" s="4148"/>
      <c r="S6" s="4149"/>
      <c r="T6" s="4150"/>
      <c r="U6" s="4151"/>
      <c r="V6" s="4166"/>
      <c r="W6" s="4166"/>
      <c r="X6" s="1502"/>
      <c r="Y6" s="4150"/>
      <c r="Z6" s="4151"/>
      <c r="AA6" s="4143"/>
      <c r="AB6" s="4143"/>
      <c r="AC6" s="4143"/>
    </row>
    <row r="7" spans="1:29" s="1203" customFormat="1" ht="15.75" thickBot="1">
      <c r="A7" s="2629"/>
      <c r="B7" s="2636" t="s">
        <v>523</v>
      </c>
      <c r="C7" s="513">
        <f>'数据-取费表'!B2</f>
        <v>44268</v>
      </c>
      <c r="D7" s="514">
        <v>100</v>
      </c>
      <c r="E7" s="515"/>
      <c r="F7" s="516">
        <f>SUMIF(59:59,YEAR(E7)&amp;"-"&amp;MONTH(E7),60:60)</f>
        <v>0</v>
      </c>
      <c r="G7" s="515"/>
      <c r="H7" s="514">
        <f>SUMIF(59:59,YEAR(G7)&amp;"-"&amp;MONTH(G7),60:60)</f>
        <v>0</v>
      </c>
      <c r="I7" s="515"/>
      <c r="J7" s="514">
        <f>SUMIF(59:59,YEAR(I7)&amp;"-"&amp;MONTH(I7),60:60)</f>
        <v>0</v>
      </c>
      <c r="K7" s="518"/>
      <c r="L7" s="2017"/>
      <c r="M7" s="2018"/>
      <c r="N7" s="2018"/>
      <c r="O7" s="2018"/>
      <c r="P7" s="4153" t="s">
        <v>524</v>
      </c>
      <c r="Q7" s="4153"/>
      <c r="R7" s="1503" t="s">
        <v>8</v>
      </c>
      <c r="S7" s="1504">
        <f t="shared" ref="S7:S15" si="0">F7</f>
        <v>0</v>
      </c>
      <c r="T7" s="1503" t="s">
        <v>8</v>
      </c>
      <c r="U7" s="1504">
        <f t="shared" ref="U7:U15" si="1">H7</f>
        <v>0</v>
      </c>
      <c r="V7" s="1503" t="s">
        <v>8</v>
      </c>
      <c r="W7" s="1504">
        <f t="shared" ref="W7:W15"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4153" t="s">
        <v>527</v>
      </c>
      <c r="Q8" s="4145"/>
      <c r="R8" s="1503" t="s">
        <v>8</v>
      </c>
      <c r="S8" s="1504">
        <f t="shared" si="0"/>
        <v>0</v>
      </c>
      <c r="T8" s="1503" t="s">
        <v>8</v>
      </c>
      <c r="U8" s="1504">
        <f t="shared" si="1"/>
        <v>0</v>
      </c>
      <c r="V8" s="1503" t="s">
        <v>8</v>
      </c>
      <c r="W8" s="1504">
        <f t="shared" si="2"/>
        <v>0</v>
      </c>
      <c r="X8" s="1505"/>
      <c r="Y8" s="4144" t="s">
        <v>527</v>
      </c>
      <c r="Z8" s="4145"/>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4152" t="s">
        <v>529</v>
      </c>
      <c r="Q9" s="1134" t="str">
        <f t="shared" ref="Q9:Q15" si="6">B9</f>
        <v>用途</v>
      </c>
      <c r="R9" s="1503" t="s">
        <v>8</v>
      </c>
      <c r="S9" s="1504">
        <f t="shared" si="0"/>
        <v>100</v>
      </c>
      <c r="T9" s="1503" t="s">
        <v>8</v>
      </c>
      <c r="U9" s="1504">
        <f t="shared" si="1"/>
        <v>100</v>
      </c>
      <c r="V9" s="1503" t="s">
        <v>8</v>
      </c>
      <c r="W9" s="1504">
        <f t="shared" si="2"/>
        <v>100</v>
      </c>
      <c r="X9" s="1505"/>
      <c r="Y9" s="40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4152"/>
      <c r="Q11" s="1134" t="str">
        <f t="shared" si="6"/>
        <v>容积率</v>
      </c>
      <c r="R11" s="1503" t="s">
        <v>8</v>
      </c>
      <c r="S11" s="1504" t="e">
        <f t="shared" si="0"/>
        <v>#N/A</v>
      </c>
      <c r="T11" s="1503" t="s">
        <v>8</v>
      </c>
      <c r="U11" s="1504" t="e">
        <f t="shared" si="1"/>
        <v>#N/A</v>
      </c>
      <c r="V11" s="1503" t="s">
        <v>8</v>
      </c>
      <c r="W11" s="1504" t="e">
        <f t="shared" si="2"/>
        <v>#N/A</v>
      </c>
      <c r="X11" s="1505"/>
      <c r="Y11" s="40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4152"/>
      <c r="Q12" s="1134">
        <f t="shared" si="6"/>
        <v>111</v>
      </c>
      <c r="R12" s="1503" t="s">
        <v>8</v>
      </c>
      <c r="S12" s="1504">
        <f t="shared" si="0"/>
        <v>100</v>
      </c>
      <c r="T12" s="1503" t="s">
        <v>8</v>
      </c>
      <c r="U12" s="1504">
        <f t="shared" si="1"/>
        <v>100</v>
      </c>
      <c r="V12" s="1503" t="s">
        <v>8</v>
      </c>
      <c r="W12" s="1504">
        <f t="shared" si="2"/>
        <v>100</v>
      </c>
      <c r="X12" s="1505"/>
      <c r="Y12" s="407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4152"/>
      <c r="Q13" s="1134">
        <f t="shared" si="6"/>
        <v>111</v>
      </c>
      <c r="R13" s="1503" t="s">
        <v>8</v>
      </c>
      <c r="S13" s="1504">
        <f t="shared" si="0"/>
        <v>100</v>
      </c>
      <c r="T13" s="1503" t="s">
        <v>8</v>
      </c>
      <c r="U13" s="1504">
        <f t="shared" si="1"/>
        <v>100</v>
      </c>
      <c r="V13" s="1503" t="s">
        <v>8</v>
      </c>
      <c r="W13" s="1504">
        <f t="shared" si="2"/>
        <v>100</v>
      </c>
      <c r="X13" s="1505"/>
      <c r="Y13" s="407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4152"/>
      <c r="Q14" s="1134">
        <f t="shared" si="6"/>
        <v>111</v>
      </c>
      <c r="R14" s="1503" t="s">
        <v>8</v>
      </c>
      <c r="S14" s="1504">
        <f t="shared" si="0"/>
        <v>100</v>
      </c>
      <c r="T14" s="1503" t="s">
        <v>8</v>
      </c>
      <c r="U14" s="1504">
        <f t="shared" si="1"/>
        <v>100</v>
      </c>
      <c r="V14" s="1503" t="s">
        <v>8</v>
      </c>
      <c r="W14" s="1504">
        <f t="shared" si="2"/>
        <v>100</v>
      </c>
      <c r="X14" s="1505"/>
      <c r="Y14" s="407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4154" t="s">
        <v>534</v>
      </c>
      <c r="Q15" s="1507" t="str">
        <f t="shared" si="6"/>
        <v>办公集聚程度</v>
      </c>
      <c r="R15" s="1508" t="s">
        <v>8</v>
      </c>
      <c r="S15" s="1509">
        <f t="shared" si="0"/>
        <v>100</v>
      </c>
      <c r="T15" s="1508" t="s">
        <v>8</v>
      </c>
      <c r="U15" s="1509">
        <f t="shared" si="1"/>
        <v>100</v>
      </c>
      <c r="V15" s="1508" t="s">
        <v>8</v>
      </c>
      <c r="W15" s="1509">
        <f t="shared" si="2"/>
        <v>100</v>
      </c>
      <c r="X15" s="1502"/>
      <c r="Y15" s="4154"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4155"/>
      <c r="Q16" s="1507"/>
      <c r="R16" s="1508"/>
      <c r="S16" s="1509"/>
      <c r="T16" s="1508"/>
      <c r="U16" s="1509"/>
      <c r="V16" s="1508"/>
      <c r="W16" s="1509"/>
      <c r="X16" s="1502"/>
      <c r="Y16" s="4155"/>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4155"/>
      <c r="Q17" s="1507" t="str">
        <f>B17</f>
        <v>交通便捷度</v>
      </c>
      <c r="R17" s="1508" t="s">
        <v>8</v>
      </c>
      <c r="S17" s="1509">
        <f>F17</f>
        <v>100</v>
      </c>
      <c r="T17" s="1508" t="s">
        <v>8</v>
      </c>
      <c r="U17" s="1509">
        <f>H17</f>
        <v>100</v>
      </c>
      <c r="V17" s="1508" t="s">
        <v>8</v>
      </c>
      <c r="W17" s="1509">
        <f>J17</f>
        <v>100</v>
      </c>
      <c r="X17" s="1502"/>
      <c r="Y17" s="4155"/>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4155"/>
      <c r="Q18" s="1507"/>
      <c r="R18" s="1508"/>
      <c r="S18" s="1509"/>
      <c r="T18" s="1508"/>
      <c r="U18" s="1509"/>
      <c r="V18" s="1508"/>
      <c r="W18" s="1509"/>
      <c r="X18" s="1502"/>
      <c r="Y18" s="4155"/>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4155"/>
      <c r="Q19" s="1507" t="str">
        <f>B19</f>
        <v>公共配套设施</v>
      </c>
      <c r="R19" s="1508" t="s">
        <v>8</v>
      </c>
      <c r="S19" s="1509">
        <f>F19</f>
        <v>100</v>
      </c>
      <c r="T19" s="1508" t="s">
        <v>8</v>
      </c>
      <c r="U19" s="1509">
        <f>H19</f>
        <v>100</v>
      </c>
      <c r="V19" s="1508" t="s">
        <v>8</v>
      </c>
      <c r="W19" s="1509">
        <f>J19</f>
        <v>100</v>
      </c>
      <c r="X19" s="1502"/>
      <c r="Y19" s="4155"/>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4155"/>
      <c r="Q20" s="1507"/>
      <c r="R20" s="1508"/>
      <c r="S20" s="1509"/>
      <c r="T20" s="1508"/>
      <c r="U20" s="1509"/>
      <c r="V20" s="1508"/>
      <c r="W20" s="1509"/>
      <c r="X20" s="1502"/>
      <c r="Y20" s="4155"/>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4155"/>
      <c r="Q21" s="2429" t="str">
        <f>B21</f>
        <v>基础设施水平</v>
      </c>
      <c r="R21" s="1508" t="s">
        <v>8</v>
      </c>
      <c r="S21" s="1509">
        <f>F21</f>
        <v>100</v>
      </c>
      <c r="T21" s="1508" t="s">
        <v>8</v>
      </c>
      <c r="U21" s="1509">
        <f>H21</f>
        <v>100</v>
      </c>
      <c r="V21" s="1508" t="s">
        <v>8</v>
      </c>
      <c r="W21" s="1509">
        <f>J21</f>
        <v>100</v>
      </c>
      <c r="X21" s="2431"/>
      <c r="Y21" s="4155"/>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4155"/>
      <c r="Q22" s="2429"/>
      <c r="R22" s="1508"/>
      <c r="S22" s="1509"/>
      <c r="T22" s="1508"/>
      <c r="U22" s="1509"/>
      <c r="V22" s="1508"/>
      <c r="W22" s="1509"/>
      <c r="X22" s="2431"/>
      <c r="Y22" s="4155"/>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4155"/>
      <c r="Q23" s="1507" t="str">
        <f>B23</f>
        <v>环境质量</v>
      </c>
      <c r="R23" s="1508" t="s">
        <v>8</v>
      </c>
      <c r="S23" s="1509">
        <f>F23</f>
        <v>100</v>
      </c>
      <c r="T23" s="1508" t="s">
        <v>8</v>
      </c>
      <c r="U23" s="1509">
        <f>H23</f>
        <v>100</v>
      </c>
      <c r="V23" s="1508" t="s">
        <v>8</v>
      </c>
      <c r="W23" s="1509">
        <f>J23</f>
        <v>100</v>
      </c>
      <c r="X23" s="1502"/>
      <c r="Y23" s="4155"/>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4155"/>
      <c r="Q24" s="1507"/>
      <c r="R24" s="1508"/>
      <c r="S24" s="1509"/>
      <c r="T24" s="1508"/>
      <c r="U24" s="1509"/>
      <c r="V24" s="1508"/>
      <c r="W24" s="1509"/>
      <c r="X24" s="1502"/>
      <c r="Y24" s="4155"/>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4155"/>
      <c r="Q25" s="1507" t="str">
        <f>B25</f>
        <v>毗邻道路的类型与等级</v>
      </c>
      <c r="R25" s="1508" t="s">
        <v>8</v>
      </c>
      <c r="S25" s="1509">
        <f>F25</f>
        <v>100</v>
      </c>
      <c r="T25" s="1508" t="s">
        <v>8</v>
      </c>
      <c r="U25" s="1509">
        <f>H25</f>
        <v>100</v>
      </c>
      <c r="V25" s="1508" t="s">
        <v>8</v>
      </c>
      <c r="W25" s="1509">
        <f>J25</f>
        <v>100</v>
      </c>
      <c r="X25" s="1502"/>
      <c r="Y25" s="4155"/>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4155"/>
      <c r="Q26" s="1507"/>
      <c r="R26" s="1508"/>
      <c r="S26" s="1509"/>
      <c r="T26" s="1508"/>
      <c r="U26" s="1509"/>
      <c r="V26" s="1508"/>
      <c r="W26" s="1509"/>
      <c r="X26" s="1502"/>
      <c r="Y26" s="4155"/>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4155"/>
      <c r="Q27" s="1507" t="str">
        <f t="shared" ref="Q27:Q47" si="11">B27</f>
        <v>楼层</v>
      </c>
      <c r="R27" s="1508" t="s">
        <v>8</v>
      </c>
      <c r="S27" s="1509">
        <f>F27</f>
        <v>100</v>
      </c>
      <c r="T27" s="1508" t="s">
        <v>8</v>
      </c>
      <c r="U27" s="1509">
        <f>H27</f>
        <v>100</v>
      </c>
      <c r="V27" s="1508" t="s">
        <v>8</v>
      </c>
      <c r="W27" s="1509">
        <f>J27</f>
        <v>100</v>
      </c>
      <c r="X27" s="1502"/>
      <c r="Y27" s="4155"/>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4155"/>
      <c r="Q28" s="1134" t="str">
        <f t="shared" si="11"/>
        <v>朝向</v>
      </c>
      <c r="R28" s="1503" t="s">
        <v>8</v>
      </c>
      <c r="S28" s="1504">
        <f>F28</f>
        <v>100</v>
      </c>
      <c r="T28" s="1503" t="s">
        <v>8</v>
      </c>
      <c r="U28" s="1504">
        <f>H28</f>
        <v>100</v>
      </c>
      <c r="V28" s="1503" t="s">
        <v>8</v>
      </c>
      <c r="W28" s="1504">
        <f>J28</f>
        <v>100</v>
      </c>
      <c r="X28" s="1505"/>
      <c r="Y28" s="4155"/>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4155"/>
      <c r="Q29" s="1507">
        <f t="shared" si="11"/>
        <v>111</v>
      </c>
      <c r="R29" s="1508" t="s">
        <v>8</v>
      </c>
      <c r="S29" s="1509">
        <f t="shared" ref="S29:S47" si="12">F29</f>
        <v>100</v>
      </c>
      <c r="T29" s="1508" t="s">
        <v>8</v>
      </c>
      <c r="U29" s="1509">
        <f t="shared" ref="U29:U47" si="13">H29</f>
        <v>100</v>
      </c>
      <c r="V29" s="1508" t="s">
        <v>8</v>
      </c>
      <c r="W29" s="1509">
        <f t="shared" ref="W29:W47" si="14">J29</f>
        <v>100</v>
      </c>
      <c r="X29" s="1502"/>
      <c r="Y29" s="4155"/>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4155"/>
      <c r="Q30" s="1507">
        <f t="shared" si="11"/>
        <v>111</v>
      </c>
      <c r="R30" s="1508" t="s">
        <v>8</v>
      </c>
      <c r="S30" s="1509">
        <f t="shared" si="12"/>
        <v>100</v>
      </c>
      <c r="T30" s="1508" t="s">
        <v>8</v>
      </c>
      <c r="U30" s="1509">
        <f t="shared" si="13"/>
        <v>100</v>
      </c>
      <c r="V30" s="1508" t="s">
        <v>8</v>
      </c>
      <c r="W30" s="1509">
        <f t="shared" si="14"/>
        <v>100</v>
      </c>
      <c r="X30" s="1502"/>
      <c r="Y30" s="4155"/>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4155"/>
      <c r="Q31" s="1507">
        <f t="shared" si="11"/>
        <v>111</v>
      </c>
      <c r="R31" s="1508" t="s">
        <v>8</v>
      </c>
      <c r="S31" s="1509">
        <f t="shared" si="12"/>
        <v>100</v>
      </c>
      <c r="T31" s="1508" t="s">
        <v>8</v>
      </c>
      <c r="U31" s="1509">
        <f t="shared" si="13"/>
        <v>100</v>
      </c>
      <c r="V31" s="1508" t="s">
        <v>8</v>
      </c>
      <c r="W31" s="1509">
        <f t="shared" si="14"/>
        <v>100</v>
      </c>
      <c r="X31" s="1502"/>
      <c r="Y31" s="4155"/>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4155"/>
      <c r="Q32" s="1507">
        <f t="shared" si="11"/>
        <v>111</v>
      </c>
      <c r="R32" s="1508" t="s">
        <v>8</v>
      </c>
      <c r="S32" s="1509">
        <f t="shared" si="12"/>
        <v>100</v>
      </c>
      <c r="T32" s="1508" t="s">
        <v>8</v>
      </c>
      <c r="U32" s="1509">
        <f t="shared" si="13"/>
        <v>100</v>
      </c>
      <c r="V32" s="1508" t="s">
        <v>8</v>
      </c>
      <c r="W32" s="1509">
        <f t="shared" si="14"/>
        <v>100</v>
      </c>
      <c r="X32" s="1502"/>
      <c r="Y32" s="4155"/>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4156" t="s">
        <v>544</v>
      </c>
      <c r="Q33" s="1507" t="str">
        <f t="shared" si="11"/>
        <v>建筑类型</v>
      </c>
      <c r="R33" s="1508" t="s">
        <v>8</v>
      </c>
      <c r="S33" s="1509">
        <f t="shared" si="12"/>
        <v>100</v>
      </c>
      <c r="T33" s="1508" t="s">
        <v>8</v>
      </c>
      <c r="U33" s="1509">
        <f t="shared" si="13"/>
        <v>100</v>
      </c>
      <c r="V33" s="1508" t="s">
        <v>8</v>
      </c>
      <c r="W33" s="1509">
        <f t="shared" si="14"/>
        <v>100</v>
      </c>
      <c r="X33" s="1502"/>
      <c r="Y33" s="4157"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4157"/>
      <c r="Q34" s="1536" t="str">
        <f t="shared" si="11"/>
        <v>项目建筑规模</v>
      </c>
      <c r="R34" s="1512" t="s">
        <v>8</v>
      </c>
      <c r="S34" s="1513" t="e">
        <f t="shared" si="12"/>
        <v>#N/A</v>
      </c>
      <c r="T34" s="1512" t="s">
        <v>8</v>
      </c>
      <c r="U34" s="1513" t="e">
        <f t="shared" si="13"/>
        <v>#N/A</v>
      </c>
      <c r="V34" s="1512" t="s">
        <v>8</v>
      </c>
      <c r="W34" s="1513" t="e">
        <f t="shared" si="14"/>
        <v>#N/A</v>
      </c>
      <c r="X34" s="1514"/>
      <c r="Y34" s="4157"/>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4157"/>
      <c r="Q35" s="1507" t="str">
        <f t="shared" si="11"/>
        <v>建筑结构</v>
      </c>
      <c r="R35" s="1508" t="s">
        <v>8</v>
      </c>
      <c r="S35" s="1509">
        <f t="shared" si="12"/>
        <v>100</v>
      </c>
      <c r="T35" s="1508" t="s">
        <v>8</v>
      </c>
      <c r="U35" s="1509">
        <f t="shared" si="13"/>
        <v>100</v>
      </c>
      <c r="V35" s="1508" t="s">
        <v>8</v>
      </c>
      <c r="W35" s="1509">
        <f t="shared" si="14"/>
        <v>100</v>
      </c>
      <c r="X35" s="1502"/>
      <c r="Y35" s="4157"/>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4157"/>
      <c r="Q36" s="1507" t="str">
        <f t="shared" si="11"/>
        <v>公共部分装修</v>
      </c>
      <c r="R36" s="1508" t="s">
        <v>8</v>
      </c>
      <c r="S36" s="1509">
        <f t="shared" si="12"/>
        <v>100</v>
      </c>
      <c r="T36" s="1508" t="s">
        <v>8</v>
      </c>
      <c r="U36" s="1509">
        <f t="shared" si="13"/>
        <v>100</v>
      </c>
      <c r="V36" s="1508" t="s">
        <v>8</v>
      </c>
      <c r="W36" s="1509">
        <f t="shared" si="14"/>
        <v>100</v>
      </c>
      <c r="X36" s="1502"/>
      <c r="Y36" s="4157"/>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4157"/>
      <c r="Q37" s="1507" t="str">
        <f t="shared" si="11"/>
        <v>成新度</v>
      </c>
      <c r="R37" s="1508" t="s">
        <v>8</v>
      </c>
      <c r="S37" s="1509" t="e">
        <f t="shared" si="12"/>
        <v>#N/A</v>
      </c>
      <c r="T37" s="1508" t="s">
        <v>8</v>
      </c>
      <c r="U37" s="1509" t="e">
        <f t="shared" si="13"/>
        <v>#N/A</v>
      </c>
      <c r="V37" s="1508" t="s">
        <v>8</v>
      </c>
      <c r="W37" s="1509" t="e">
        <f t="shared" si="14"/>
        <v>#N/A</v>
      </c>
      <c r="X37" s="1502"/>
      <c r="Y37" s="4157"/>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4157"/>
      <c r="Q38" s="1134" t="str">
        <f t="shared" si="11"/>
        <v>写字楼等级</v>
      </c>
      <c r="R38" s="1503" t="s">
        <v>8</v>
      </c>
      <c r="S38" s="1504">
        <f t="shared" si="12"/>
        <v>100</v>
      </c>
      <c r="T38" s="1503" t="s">
        <v>8</v>
      </c>
      <c r="U38" s="1504">
        <f t="shared" si="13"/>
        <v>100</v>
      </c>
      <c r="V38" s="1503" t="s">
        <v>8</v>
      </c>
      <c r="W38" s="1504">
        <f t="shared" si="14"/>
        <v>100</v>
      </c>
      <c r="X38" s="1505"/>
      <c r="Y38" s="4157"/>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4157" t="s">
        <v>544</v>
      </c>
      <c r="Q39" s="1507" t="str">
        <f t="shared" si="11"/>
        <v>物业管理</v>
      </c>
      <c r="R39" s="1508" t="s">
        <v>8</v>
      </c>
      <c r="S39" s="1509">
        <f t="shared" si="12"/>
        <v>100</v>
      </c>
      <c r="T39" s="1508" t="s">
        <v>8</v>
      </c>
      <c r="U39" s="1509">
        <f t="shared" si="13"/>
        <v>100</v>
      </c>
      <c r="V39" s="1508" t="s">
        <v>8</v>
      </c>
      <c r="W39" s="1509">
        <f t="shared" si="14"/>
        <v>100</v>
      </c>
      <c r="X39" s="1502"/>
      <c r="Y39" s="4157"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4157"/>
      <c r="Q40" s="1507" t="str">
        <f t="shared" si="11"/>
        <v>市政基础设施</v>
      </c>
      <c r="R40" s="1508" t="s">
        <v>8</v>
      </c>
      <c r="S40" s="1509">
        <f t="shared" si="12"/>
        <v>100</v>
      </c>
      <c r="T40" s="1508" t="s">
        <v>8</v>
      </c>
      <c r="U40" s="1509">
        <f t="shared" si="13"/>
        <v>100</v>
      </c>
      <c r="V40" s="1508" t="s">
        <v>8</v>
      </c>
      <c r="W40" s="1509">
        <f t="shared" si="14"/>
        <v>100</v>
      </c>
      <c r="X40" s="1502"/>
      <c r="Y40" s="4157"/>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4157"/>
      <c r="Q41" s="1507" t="str">
        <f t="shared" si="11"/>
        <v>层高</v>
      </c>
      <c r="R41" s="1508" t="s">
        <v>8</v>
      </c>
      <c r="S41" s="1509">
        <f t="shared" si="12"/>
        <v>100</v>
      </c>
      <c r="T41" s="1508" t="s">
        <v>8</v>
      </c>
      <c r="U41" s="1509">
        <f t="shared" si="13"/>
        <v>100</v>
      </c>
      <c r="V41" s="1508" t="s">
        <v>8</v>
      </c>
      <c r="W41" s="1509">
        <f t="shared" si="14"/>
        <v>100</v>
      </c>
      <c r="X41" s="1502"/>
      <c r="Y41" s="4157"/>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4157"/>
      <c r="Q42" s="1536" t="str">
        <f t="shared" si="11"/>
        <v>单套建筑面积</v>
      </c>
      <c r="R42" s="1512" t="s">
        <v>8</v>
      </c>
      <c r="S42" s="1513">
        <f t="shared" si="12"/>
        <v>100</v>
      </c>
      <c r="T42" s="1512" t="s">
        <v>8</v>
      </c>
      <c r="U42" s="1513">
        <f t="shared" si="13"/>
        <v>100</v>
      </c>
      <c r="V42" s="1512" t="s">
        <v>8</v>
      </c>
      <c r="W42" s="1513">
        <f t="shared" si="14"/>
        <v>100</v>
      </c>
      <c r="X42" s="1514"/>
      <c r="Y42" s="4157"/>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4157"/>
      <c r="Q43" s="1507" t="str">
        <f t="shared" si="11"/>
        <v>内部装修</v>
      </c>
      <c r="R43" s="1508" t="s">
        <v>8</v>
      </c>
      <c r="S43" s="1509">
        <f t="shared" si="12"/>
        <v>100</v>
      </c>
      <c r="T43" s="1508" t="s">
        <v>8</v>
      </c>
      <c r="U43" s="1509">
        <f t="shared" si="13"/>
        <v>100</v>
      </c>
      <c r="V43" s="1508" t="s">
        <v>8</v>
      </c>
      <c r="W43" s="1509">
        <f t="shared" si="14"/>
        <v>100</v>
      </c>
      <c r="X43" s="1502"/>
      <c r="Y43" s="4157"/>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4157"/>
      <c r="Q44" s="1507" t="str">
        <f t="shared" si="11"/>
        <v>内部装修维护情况</v>
      </c>
      <c r="R44" s="1508" t="s">
        <v>8</v>
      </c>
      <c r="S44" s="1509">
        <f t="shared" si="12"/>
        <v>100</v>
      </c>
      <c r="T44" s="1508" t="s">
        <v>8</v>
      </c>
      <c r="U44" s="1509">
        <f t="shared" si="13"/>
        <v>100</v>
      </c>
      <c r="V44" s="1508" t="s">
        <v>8</v>
      </c>
      <c r="W44" s="1509">
        <f t="shared" si="14"/>
        <v>100</v>
      </c>
      <c r="X44" s="1502"/>
      <c r="Y44" s="4157"/>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4157"/>
      <c r="Q45" s="1134">
        <f t="shared" si="11"/>
        <v>111</v>
      </c>
      <c r="R45" s="1503" t="s">
        <v>8</v>
      </c>
      <c r="S45" s="1504">
        <f t="shared" si="12"/>
        <v>100</v>
      </c>
      <c r="T45" s="1503" t="s">
        <v>8</v>
      </c>
      <c r="U45" s="1504">
        <f t="shared" si="13"/>
        <v>100</v>
      </c>
      <c r="V45" s="1503" t="s">
        <v>8</v>
      </c>
      <c r="W45" s="1504">
        <f t="shared" si="14"/>
        <v>100</v>
      </c>
      <c r="X45" s="1505"/>
      <c r="Y45" s="4157"/>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4157"/>
      <c r="Q46" s="1507">
        <f t="shared" si="11"/>
        <v>111</v>
      </c>
      <c r="R46" s="1508" t="s">
        <v>8</v>
      </c>
      <c r="S46" s="1509">
        <f t="shared" si="12"/>
        <v>100</v>
      </c>
      <c r="T46" s="1508" t="s">
        <v>8</v>
      </c>
      <c r="U46" s="1509">
        <f t="shared" si="13"/>
        <v>100</v>
      </c>
      <c r="V46" s="1508" t="s">
        <v>8</v>
      </c>
      <c r="W46" s="1509">
        <f t="shared" si="14"/>
        <v>100</v>
      </c>
      <c r="X46" s="1502"/>
      <c r="Y46" s="4157"/>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4220"/>
      <c r="Q47" s="1507">
        <f t="shared" si="11"/>
        <v>111</v>
      </c>
      <c r="R47" s="1508" t="s">
        <v>8</v>
      </c>
      <c r="S47" s="1509">
        <f t="shared" si="12"/>
        <v>100</v>
      </c>
      <c r="T47" s="1508" t="s">
        <v>8</v>
      </c>
      <c r="U47" s="1509">
        <f t="shared" si="13"/>
        <v>100</v>
      </c>
      <c r="V47" s="1508" t="s">
        <v>8</v>
      </c>
      <c r="W47" s="1509">
        <f t="shared" si="14"/>
        <v>100</v>
      </c>
      <c r="X47" s="1502"/>
      <c r="Y47" s="4220"/>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4174" t="str">
        <f>A48</f>
        <v>成交单价（元/平方米）</v>
      </c>
      <c r="Q48" s="4152"/>
      <c r="R48" s="4219">
        <f>E48</f>
        <v>0</v>
      </c>
      <c r="S48" s="4219"/>
      <c r="T48" s="4219">
        <f>G48</f>
        <v>0</v>
      </c>
      <c r="U48" s="4219"/>
      <c r="V48" s="4219">
        <f>I48</f>
        <v>0</v>
      </c>
      <c r="W48" s="4219"/>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4174" t="str">
        <f>A49</f>
        <v>比较价格（元/平方米）</v>
      </c>
      <c r="Q49" s="4152"/>
      <c r="R49" s="4219" t="e">
        <f>IF(F1="售价",ROUND(PRODUCT(R48,AA7:AA47),0),ROUND(PRODUCT(R48,AA7:AA47),1))</f>
        <v>#DIV/0!</v>
      </c>
      <c r="S49" s="4219"/>
      <c r="T49" s="4219" t="e">
        <f>IF(F1="售价",ROUND(PRODUCT(T48,AB7:AB47),0),ROUND(PRODUCT(T48,AB7:AB47),1))</f>
        <v>#DIV/0!</v>
      </c>
      <c r="U49" s="4219"/>
      <c r="V49" s="4219" t="e">
        <f>IF(F1="售价",ROUND(PRODUCT(V48,AC7:AC47),0),ROUND(PRODUCT(V48,AC7:AC47),1))</f>
        <v>#DIV/0!</v>
      </c>
      <c r="W49" s="4219"/>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4224" t="str">
        <f>A50</f>
        <v>估价对象XX用房的比较价格（楼面单价，元/平方米）</v>
      </c>
      <c r="Q50" s="4174"/>
      <c r="R50" s="4218" t="e">
        <f>IF(F1="售价",ROUND(IF(D49="简单平均",AVERAGE(R49:V49),R49*F49+T49*H49+V49*J49),0),ROUND(IF(D49="简单平均",AVERAGE(R49:V49),R49*F49+T49*H49+V49*J49),1))</f>
        <v>#DIV/0!</v>
      </c>
      <c r="S50" s="4218"/>
      <c r="T50" s="4218"/>
      <c r="U50" s="4218"/>
      <c r="V50" s="4218"/>
      <c r="W50" s="4218"/>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3" priority="20" stopIfTrue="1" operator="containsText" text="超过">
      <formula>NOT(ISERROR(SEARCH("超过",F53)))</formula>
    </cfRule>
  </conditionalFormatting>
  <conditionalFormatting sqref="H55">
    <cfRule type="containsText" dxfId="92" priority="19" stopIfTrue="1" operator="containsText" text="超过">
      <formula>NOT(ISERROR(SEARCH("超过",H55)))</formula>
    </cfRule>
  </conditionalFormatting>
  <conditionalFormatting sqref="F55">
    <cfRule type="containsText" dxfId="91" priority="18" stopIfTrue="1" operator="containsText" text="超过">
      <formula>NOT(ISERROR(SEARCH("超过",F55)))</formula>
    </cfRule>
  </conditionalFormatting>
  <conditionalFormatting sqref="F54 H54">
    <cfRule type="containsText" dxfId="90" priority="17" stopIfTrue="1" operator="containsText" text="超过">
      <formula>NOT(ISERROR(SEARCH("超过",F54)))</formula>
    </cfRule>
  </conditionalFormatting>
  <conditionalFormatting sqref="E53">
    <cfRule type="expression" dxfId="89" priority="16" stopIfTrue="1">
      <formula>$F$53="超过30%"</formula>
    </cfRule>
  </conditionalFormatting>
  <conditionalFormatting sqref="E54">
    <cfRule type="expression" dxfId="88" priority="15" stopIfTrue="1">
      <formula>$F$54="超过20%"</formula>
    </cfRule>
  </conditionalFormatting>
  <conditionalFormatting sqref="E55">
    <cfRule type="expression" dxfId="87" priority="14" stopIfTrue="1">
      <formula>$F$55="超过30%"</formula>
    </cfRule>
  </conditionalFormatting>
  <conditionalFormatting sqref="G55">
    <cfRule type="expression" dxfId="86" priority="13" stopIfTrue="1">
      <formula>$H$55="超过30%"</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J53">
    <cfRule type="containsText" dxfId="83" priority="10" stopIfTrue="1" operator="containsText" text="超过">
      <formula>NOT(ISERROR(SEARCH("超过",J53)))</formula>
    </cfRule>
  </conditionalFormatting>
  <conditionalFormatting sqref="J55">
    <cfRule type="containsText" dxfId="82" priority="9" stopIfTrue="1" operator="containsText" text="超过">
      <formula>NOT(ISERROR(SEARCH("超过",J55)))</formula>
    </cfRule>
  </conditionalFormatting>
  <conditionalFormatting sqref="J54">
    <cfRule type="containsText" dxfId="81" priority="8" stopIfTrue="1" operator="containsText" text="超过">
      <formula>NOT(ISERROR(SEARCH("超过",J54)))</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F49">
    <cfRule type="expression" dxfId="77" priority="4">
      <formula>$D$49="简单平均"</formula>
    </cfRule>
  </conditionalFormatting>
  <conditionalFormatting sqref="H49">
    <cfRule type="expression" dxfId="76" priority="3">
      <formula>$D$49="简单平均"</formula>
    </cfRule>
  </conditionalFormatting>
  <conditionalFormatting sqref="J49">
    <cfRule type="expression" dxfId="75" priority="2">
      <formula>$D$49="简单平均"</formula>
    </cfRule>
  </conditionalFormatting>
  <conditionalFormatting sqref="F7:F47 H7:H47 J7:J47">
    <cfRule type="cellIs" dxfId="74" priority="1" operator="notEqual">
      <formula>100</formula>
    </cfRule>
  </conditionalFormatting>
  <dataValidations count="23">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D49" xr:uid="{00000000-0002-0000-21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262"/>
  <sheetViews>
    <sheetView view="pageBreakPreview" zoomScale="80" zoomScaleNormal="50" zoomScaleSheetLayoutView="8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4158" t="s">
        <v>516</v>
      </c>
      <c r="D6" s="4159"/>
      <c r="E6" s="4216" t="s">
        <v>517</v>
      </c>
      <c r="F6" s="4217"/>
      <c r="G6" s="4158" t="s">
        <v>518</v>
      </c>
      <c r="H6" s="4159"/>
      <c r="I6" s="4158" t="s">
        <v>519</v>
      </c>
      <c r="J6" s="4159"/>
      <c r="K6" s="508" t="s">
        <v>520</v>
      </c>
      <c r="L6" s="2015"/>
      <c r="M6" s="2016"/>
      <c r="N6" s="2016"/>
      <c r="O6" s="2016"/>
      <c r="P6" s="4160" t="s">
        <v>521</v>
      </c>
      <c r="Q6" s="4161"/>
      <c r="R6" s="4146" t="s">
        <v>517</v>
      </c>
      <c r="S6" s="4147"/>
      <c r="T6" s="4146" t="s">
        <v>518</v>
      </c>
      <c r="U6" s="4147"/>
      <c r="V6" s="4166" t="s">
        <v>519</v>
      </c>
      <c r="W6" s="4166"/>
      <c r="X6" s="1502"/>
      <c r="Y6" s="4146" t="s">
        <v>521</v>
      </c>
      <c r="Z6" s="4147"/>
      <c r="AA6" s="4141" t="s">
        <v>517</v>
      </c>
      <c r="AB6" s="4142" t="s">
        <v>518</v>
      </c>
      <c r="AC6" s="4141" t="s">
        <v>519</v>
      </c>
    </row>
    <row r="7" spans="1:29" ht="15">
      <c r="A7" s="509"/>
      <c r="B7" s="510"/>
      <c r="C7" s="4169" t="s">
        <v>2897</v>
      </c>
      <c r="D7" s="4170"/>
      <c r="E7" s="4212" t="s">
        <v>2898</v>
      </c>
      <c r="F7" s="4213"/>
      <c r="G7" s="4169" t="s">
        <v>2899</v>
      </c>
      <c r="H7" s="4170"/>
      <c r="I7" s="4169" t="s">
        <v>2900</v>
      </c>
      <c r="J7" s="4170"/>
      <c r="K7" s="508"/>
      <c r="L7" s="2015"/>
      <c r="M7" s="2016"/>
      <c r="N7" s="2016"/>
      <c r="O7" s="2016"/>
      <c r="P7" s="4162"/>
      <c r="Q7" s="4163"/>
      <c r="R7" s="4148"/>
      <c r="S7" s="4149"/>
      <c r="T7" s="4148"/>
      <c r="U7" s="4149"/>
      <c r="V7" s="4166"/>
      <c r="W7" s="4166"/>
      <c r="X7" s="1502"/>
      <c r="Y7" s="4148"/>
      <c r="Z7" s="4149"/>
      <c r="AA7" s="4142"/>
      <c r="AB7" s="4142"/>
      <c r="AC7" s="4142"/>
    </row>
    <row r="8" spans="1:29" ht="15.75" thickBot="1">
      <c r="A8" s="511"/>
      <c r="B8" s="512"/>
      <c r="C8" s="4167" t="s">
        <v>2901</v>
      </c>
      <c r="D8" s="4168"/>
      <c r="E8" s="4214" t="s">
        <v>2901</v>
      </c>
      <c r="F8" s="4215"/>
      <c r="G8" s="4167" t="s">
        <v>2901</v>
      </c>
      <c r="H8" s="4168"/>
      <c r="I8" s="4167" t="s">
        <v>2901</v>
      </c>
      <c r="J8" s="4168"/>
      <c r="K8" s="508" t="s">
        <v>522</v>
      </c>
      <c r="L8" s="2015"/>
      <c r="M8" s="2016"/>
      <c r="N8" s="2016"/>
      <c r="O8" s="2016"/>
      <c r="P8" s="4164"/>
      <c r="Q8" s="4165"/>
      <c r="R8" s="4148"/>
      <c r="S8" s="4149"/>
      <c r="T8" s="4150"/>
      <c r="U8" s="4151"/>
      <c r="V8" s="4166"/>
      <c r="W8" s="4166"/>
      <c r="X8" s="1502"/>
      <c r="Y8" s="4150"/>
      <c r="Z8" s="4151"/>
      <c r="AA8" s="4143"/>
      <c r="AB8" s="4143"/>
      <c r="AC8" s="4143"/>
    </row>
    <row r="9" spans="1:29" s="1203" customFormat="1" ht="15.75" thickBot="1">
      <c r="A9" s="2629"/>
      <c r="B9" s="2636" t="s">
        <v>523</v>
      </c>
      <c r="C9" s="513">
        <f>'数据-取费表'!B2</f>
        <v>44268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4144" t="s">
        <v>524</v>
      </c>
      <c r="Q9" s="4153"/>
      <c r="R9" s="1503" t="s">
        <v>8</v>
      </c>
      <c r="S9" s="1504">
        <f t="shared" ref="S9:S17" si="0">F9</f>
        <v>0</v>
      </c>
      <c r="T9" s="1503" t="s">
        <v>8</v>
      </c>
      <c r="U9" s="1504">
        <f t="shared" ref="U9:U17" si="1">H9</f>
        <v>0</v>
      </c>
      <c r="V9" s="1503" t="s">
        <v>8</v>
      </c>
      <c r="W9" s="1504">
        <f t="shared" ref="W9:W17" si="2">J9</f>
        <v>0</v>
      </c>
      <c r="X9" s="1505"/>
      <c r="Y9" s="4144" t="s">
        <v>524</v>
      </c>
      <c r="Z9" s="4145"/>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4144" t="s">
        <v>527</v>
      </c>
      <c r="Q10" s="4145"/>
      <c r="R10" s="1503" t="s">
        <v>8</v>
      </c>
      <c r="S10" s="1504">
        <f t="shared" si="0"/>
        <v>0</v>
      </c>
      <c r="T10" s="1503" t="s">
        <v>8</v>
      </c>
      <c r="U10" s="1504">
        <f t="shared" si="1"/>
        <v>0</v>
      </c>
      <c r="V10" s="1503" t="s">
        <v>8</v>
      </c>
      <c r="W10" s="1504">
        <f t="shared" si="2"/>
        <v>0</v>
      </c>
      <c r="X10" s="1505"/>
      <c r="Y10" s="4144" t="s">
        <v>527</v>
      </c>
      <c r="Z10" s="4145"/>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4152" t="s">
        <v>529</v>
      </c>
      <c r="Q11" s="1134" t="str">
        <f t="shared" ref="Q11:Q17" si="6">B11</f>
        <v>用途</v>
      </c>
      <c r="R11" s="1503" t="s">
        <v>8</v>
      </c>
      <c r="S11" s="1504">
        <f t="shared" si="0"/>
        <v>100</v>
      </c>
      <c r="T11" s="1503" t="s">
        <v>8</v>
      </c>
      <c r="U11" s="1504">
        <f t="shared" si="1"/>
        <v>100</v>
      </c>
      <c r="V11" s="1503" t="s">
        <v>8</v>
      </c>
      <c r="W11" s="1504">
        <f t="shared" si="2"/>
        <v>100</v>
      </c>
      <c r="X11" s="1505"/>
      <c r="Y11" s="407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4152"/>
      <c r="Q12" s="1134" t="str">
        <f t="shared" si="6"/>
        <v>土地使用年限（年）</v>
      </c>
      <c r="R12" s="1503" t="s">
        <v>8</v>
      </c>
      <c r="S12" s="1504">
        <f t="shared" si="0"/>
        <v>100</v>
      </c>
      <c r="T12" s="1503" t="s">
        <v>8</v>
      </c>
      <c r="U12" s="1504">
        <f t="shared" si="1"/>
        <v>100</v>
      </c>
      <c r="V12" s="1503" t="s">
        <v>8</v>
      </c>
      <c r="W12" s="1504">
        <f t="shared" si="2"/>
        <v>100</v>
      </c>
      <c r="X12" s="1505"/>
      <c r="Y12" s="407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4152"/>
      <c r="Q13" s="1134" t="str">
        <f t="shared" si="6"/>
        <v>容积率</v>
      </c>
      <c r="R13" s="1503" t="s">
        <v>8</v>
      </c>
      <c r="S13" s="1504" t="e">
        <f t="shared" si="0"/>
        <v>#N/A</v>
      </c>
      <c r="T13" s="1503" t="s">
        <v>8</v>
      </c>
      <c r="U13" s="1504" t="e">
        <f t="shared" si="1"/>
        <v>#N/A</v>
      </c>
      <c r="V13" s="1503" t="s">
        <v>8</v>
      </c>
      <c r="W13" s="1504" t="e">
        <f t="shared" si="2"/>
        <v>#N/A</v>
      </c>
      <c r="X13" s="1505"/>
      <c r="Y13" s="407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4152"/>
      <c r="Q14" s="1134">
        <f t="shared" si="6"/>
        <v>111</v>
      </c>
      <c r="R14" s="1503" t="s">
        <v>8</v>
      </c>
      <c r="S14" s="1504">
        <f t="shared" si="0"/>
        <v>100</v>
      </c>
      <c r="T14" s="1503" t="s">
        <v>8</v>
      </c>
      <c r="U14" s="1504">
        <f t="shared" si="1"/>
        <v>100</v>
      </c>
      <c r="V14" s="1503" t="s">
        <v>8</v>
      </c>
      <c r="W14" s="1504">
        <f t="shared" si="2"/>
        <v>100</v>
      </c>
      <c r="X14" s="1505"/>
      <c r="Y14" s="407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4152"/>
      <c r="Q15" s="1134">
        <f t="shared" si="6"/>
        <v>111</v>
      </c>
      <c r="R15" s="1503" t="s">
        <v>8</v>
      </c>
      <c r="S15" s="1504">
        <f t="shared" si="0"/>
        <v>100</v>
      </c>
      <c r="T15" s="1503" t="s">
        <v>8</v>
      </c>
      <c r="U15" s="1504">
        <f t="shared" si="1"/>
        <v>100</v>
      </c>
      <c r="V15" s="1503" t="s">
        <v>8</v>
      </c>
      <c r="W15" s="1504">
        <f t="shared" si="2"/>
        <v>100</v>
      </c>
      <c r="X15" s="1505"/>
      <c r="Y15" s="407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4152"/>
      <c r="Q16" s="1134">
        <f t="shared" si="6"/>
        <v>111</v>
      </c>
      <c r="R16" s="1503" t="s">
        <v>8</v>
      </c>
      <c r="S16" s="1504">
        <f t="shared" si="0"/>
        <v>100</v>
      </c>
      <c r="T16" s="1503" t="s">
        <v>8</v>
      </c>
      <c r="U16" s="1504">
        <f t="shared" si="1"/>
        <v>100</v>
      </c>
      <c r="V16" s="1503" t="s">
        <v>8</v>
      </c>
      <c r="W16" s="1504">
        <f t="shared" si="2"/>
        <v>100</v>
      </c>
      <c r="X16" s="1505"/>
      <c r="Y16" s="407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4154" t="s">
        <v>534</v>
      </c>
      <c r="Q17" s="1507" t="str">
        <f t="shared" si="6"/>
        <v>产业集聚程度</v>
      </c>
      <c r="R17" s="1508" t="s">
        <v>8</v>
      </c>
      <c r="S17" s="1509">
        <f t="shared" si="0"/>
        <v>100</v>
      </c>
      <c r="T17" s="1508" t="s">
        <v>8</v>
      </c>
      <c r="U17" s="1509">
        <f t="shared" si="1"/>
        <v>100</v>
      </c>
      <c r="V17" s="1508" t="s">
        <v>8</v>
      </c>
      <c r="W17" s="1509">
        <f t="shared" si="2"/>
        <v>100</v>
      </c>
      <c r="X17" s="1502"/>
      <c r="Y17" s="4154"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4155"/>
      <c r="Q18" s="1507"/>
      <c r="R18" s="1508"/>
      <c r="S18" s="1509"/>
      <c r="T18" s="1508"/>
      <c r="U18" s="1509"/>
      <c r="V18" s="1508"/>
      <c r="W18" s="1509"/>
      <c r="X18" s="1502"/>
      <c r="Y18" s="4155"/>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4155"/>
      <c r="Q19" s="1507" t="str">
        <f>B19</f>
        <v>交通便捷度</v>
      </c>
      <c r="R19" s="1508" t="s">
        <v>8</v>
      </c>
      <c r="S19" s="1509">
        <f>F19</f>
        <v>100</v>
      </c>
      <c r="T19" s="1508" t="s">
        <v>8</v>
      </c>
      <c r="U19" s="1509">
        <f>H19</f>
        <v>100</v>
      </c>
      <c r="V19" s="1508" t="s">
        <v>8</v>
      </c>
      <c r="W19" s="1509">
        <f>J19</f>
        <v>100</v>
      </c>
      <c r="X19" s="1502"/>
      <c r="Y19" s="4155"/>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4155"/>
      <c r="Q20" s="1507"/>
      <c r="R20" s="1508"/>
      <c r="S20" s="1509"/>
      <c r="T20" s="1508"/>
      <c r="U20" s="1509"/>
      <c r="V20" s="1508"/>
      <c r="W20" s="1509"/>
      <c r="X20" s="1502"/>
      <c r="Y20" s="4155"/>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4155"/>
      <c r="Q21" s="1507" t="str">
        <f t="shared" ref="Q21:Q35" si="8">B21</f>
        <v>区域土地利用方向</v>
      </c>
      <c r="R21" s="1508" t="s">
        <v>8</v>
      </c>
      <c r="S21" s="1509">
        <f>F21</f>
        <v>100</v>
      </c>
      <c r="T21" s="1508" t="s">
        <v>8</v>
      </c>
      <c r="U21" s="1509">
        <f>H21</f>
        <v>100</v>
      </c>
      <c r="V21" s="1508" t="s">
        <v>8</v>
      </c>
      <c r="W21" s="1509">
        <f>J21</f>
        <v>100</v>
      </c>
      <c r="X21" s="1502"/>
      <c r="Y21" s="4155"/>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4155"/>
      <c r="Q22" s="1507"/>
      <c r="R22" s="1508"/>
      <c r="S22" s="1509"/>
      <c r="T22" s="1508"/>
      <c r="U22" s="1509"/>
      <c r="V22" s="1508"/>
      <c r="W22" s="1509"/>
      <c r="X22" s="1502"/>
      <c r="Y22" s="4155"/>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4155"/>
      <c r="Q23" s="1507" t="str">
        <f t="shared" si="8"/>
        <v>环境状况</v>
      </c>
      <c r="R23" s="1508" t="s">
        <v>8</v>
      </c>
      <c r="S23" s="1509">
        <f>F23</f>
        <v>100</v>
      </c>
      <c r="T23" s="1508" t="s">
        <v>8</v>
      </c>
      <c r="U23" s="1509">
        <f>H23</f>
        <v>100</v>
      </c>
      <c r="V23" s="1508" t="s">
        <v>8</v>
      </c>
      <c r="W23" s="1509">
        <f>J23</f>
        <v>100</v>
      </c>
      <c r="X23" s="1502"/>
      <c r="Y23" s="4155"/>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4155"/>
      <c r="Q24" s="1507"/>
      <c r="R24" s="1508"/>
      <c r="S24" s="1509"/>
      <c r="T24" s="1508"/>
      <c r="U24" s="1509"/>
      <c r="V24" s="1508"/>
      <c r="W24" s="1509"/>
      <c r="X24" s="1502"/>
      <c r="Y24" s="4155"/>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4155"/>
      <c r="Q25" s="1134" t="str">
        <f t="shared" si="8"/>
        <v>公共配套设施</v>
      </c>
      <c r="R25" s="1503" t="s">
        <v>8</v>
      </c>
      <c r="S25" s="1504">
        <f>F25</f>
        <v>100</v>
      </c>
      <c r="T25" s="1503" t="s">
        <v>8</v>
      </c>
      <c r="U25" s="1504">
        <f>H25</f>
        <v>100</v>
      </c>
      <c r="V25" s="1503" t="s">
        <v>8</v>
      </c>
      <c r="W25" s="1504">
        <f>J25</f>
        <v>100</v>
      </c>
      <c r="X25" s="1505"/>
      <c r="Y25" s="4155"/>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4155"/>
      <c r="Q26" s="1134"/>
      <c r="R26" s="1503"/>
      <c r="S26" s="1504"/>
      <c r="T26" s="1503"/>
      <c r="U26" s="1504"/>
      <c r="V26" s="1503"/>
      <c r="W26" s="1504"/>
      <c r="X26" s="1505"/>
      <c r="Y26" s="4155"/>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4155"/>
      <c r="Q27" s="2428" t="str">
        <f t="shared" ref="Q27" si="9">B27</f>
        <v>基础设施水平</v>
      </c>
      <c r="R27" s="1503" t="s">
        <v>8</v>
      </c>
      <c r="S27" s="1504">
        <f>F27</f>
        <v>100</v>
      </c>
      <c r="T27" s="1503" t="s">
        <v>8</v>
      </c>
      <c r="U27" s="1504">
        <f>H27</f>
        <v>100</v>
      </c>
      <c r="V27" s="1503" t="s">
        <v>8</v>
      </c>
      <c r="W27" s="1504">
        <f>J27</f>
        <v>100</v>
      </c>
      <c r="X27" s="1505"/>
      <c r="Y27" s="4155"/>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4155"/>
      <c r="Q28" s="2428"/>
      <c r="R28" s="1503"/>
      <c r="S28" s="1504"/>
      <c r="T28" s="1503"/>
      <c r="U28" s="1504"/>
      <c r="V28" s="1503"/>
      <c r="W28" s="1504"/>
      <c r="X28" s="1505"/>
      <c r="Y28" s="4155"/>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4155"/>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4155"/>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4155"/>
      <c r="Q30" s="1507" t="str">
        <f t="shared" si="8"/>
        <v>毗邻道路的类型与等级</v>
      </c>
      <c r="R30" s="1508" t="s">
        <v>8</v>
      </c>
      <c r="S30" s="1509">
        <f t="shared" si="10"/>
        <v>100</v>
      </c>
      <c r="T30" s="1508" t="s">
        <v>8</v>
      </c>
      <c r="U30" s="1509">
        <f t="shared" si="11"/>
        <v>100</v>
      </c>
      <c r="V30" s="1508" t="s">
        <v>8</v>
      </c>
      <c r="W30" s="1509">
        <f t="shared" si="12"/>
        <v>100</v>
      </c>
      <c r="X30" s="1502"/>
      <c r="Y30" s="4155"/>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4155"/>
      <c r="Q31" s="1507"/>
      <c r="R31" s="1508"/>
      <c r="S31" s="1509"/>
      <c r="T31" s="1508"/>
      <c r="U31" s="1509"/>
      <c r="V31" s="1508"/>
      <c r="W31" s="1509"/>
      <c r="X31" s="1502"/>
      <c r="Y31" s="4155"/>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4155"/>
      <c r="Q32" s="1507" t="str">
        <f t="shared" si="8"/>
        <v>土地级别</v>
      </c>
      <c r="R32" s="1508" t="s">
        <v>8</v>
      </c>
      <c r="S32" s="1509">
        <f t="shared" si="10"/>
        <v>100</v>
      </c>
      <c r="T32" s="1508" t="s">
        <v>8</v>
      </c>
      <c r="U32" s="1509">
        <f t="shared" si="11"/>
        <v>100</v>
      </c>
      <c r="V32" s="1508" t="s">
        <v>8</v>
      </c>
      <c r="W32" s="1509">
        <f t="shared" si="12"/>
        <v>100</v>
      </c>
      <c r="X32" s="1502"/>
      <c r="Y32" s="4155"/>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4155"/>
      <c r="Q33" s="1507">
        <f t="shared" si="8"/>
        <v>111</v>
      </c>
      <c r="R33" s="1508" t="s">
        <v>8</v>
      </c>
      <c r="S33" s="1509">
        <f t="shared" si="10"/>
        <v>100</v>
      </c>
      <c r="T33" s="1508" t="s">
        <v>8</v>
      </c>
      <c r="U33" s="1509">
        <f t="shared" si="11"/>
        <v>100</v>
      </c>
      <c r="V33" s="1508" t="s">
        <v>8</v>
      </c>
      <c r="W33" s="1509">
        <f t="shared" si="12"/>
        <v>100</v>
      </c>
      <c r="X33" s="1502"/>
      <c r="Y33" s="4155"/>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4156" t="s">
        <v>544</v>
      </c>
      <c r="Q34" s="1507">
        <f t="shared" si="8"/>
        <v>111</v>
      </c>
      <c r="R34" s="1508" t="s">
        <v>8</v>
      </c>
      <c r="S34" s="1509">
        <f t="shared" si="10"/>
        <v>100</v>
      </c>
      <c r="T34" s="1508" t="s">
        <v>8</v>
      </c>
      <c r="U34" s="1509">
        <f t="shared" si="11"/>
        <v>100</v>
      </c>
      <c r="V34" s="1508" t="s">
        <v>8</v>
      </c>
      <c r="W34" s="1509">
        <f t="shared" si="12"/>
        <v>100</v>
      </c>
      <c r="X34" s="1502"/>
      <c r="Y34" s="4157"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4157"/>
      <c r="Q35" s="1507">
        <f t="shared" si="8"/>
        <v>111</v>
      </c>
      <c r="R35" s="1512" t="s">
        <v>8</v>
      </c>
      <c r="S35" s="1513">
        <f t="shared" si="10"/>
        <v>100</v>
      </c>
      <c r="T35" s="1512" t="s">
        <v>8</v>
      </c>
      <c r="U35" s="1513">
        <f t="shared" si="11"/>
        <v>100</v>
      </c>
      <c r="V35" s="1512" t="s">
        <v>8</v>
      </c>
      <c r="W35" s="1513">
        <f t="shared" si="12"/>
        <v>100</v>
      </c>
      <c r="X35" s="1514"/>
      <c r="Y35" s="4157"/>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4157"/>
      <c r="Q36" s="1507" t="str">
        <f>B36</f>
        <v>宗地面积</v>
      </c>
      <c r="R36" s="1508" t="s">
        <v>8</v>
      </c>
      <c r="S36" s="1509" t="e">
        <f t="shared" si="10"/>
        <v>#N/A</v>
      </c>
      <c r="T36" s="1508" t="s">
        <v>8</v>
      </c>
      <c r="U36" s="1509" t="e">
        <f t="shared" si="11"/>
        <v>#N/A</v>
      </c>
      <c r="V36" s="1508" t="s">
        <v>8</v>
      </c>
      <c r="W36" s="1509" t="e">
        <f t="shared" si="12"/>
        <v>#N/A</v>
      </c>
      <c r="X36" s="1502"/>
      <c r="Y36" s="4157"/>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4157"/>
      <c r="Q37" s="1507" t="str">
        <f t="shared" ref="Q37:Q42" si="14">B37</f>
        <v>宗地形状</v>
      </c>
      <c r="R37" s="1508" t="s">
        <v>8</v>
      </c>
      <c r="S37" s="1509">
        <f t="shared" si="10"/>
        <v>100</v>
      </c>
      <c r="T37" s="1508" t="s">
        <v>8</v>
      </c>
      <c r="U37" s="1509">
        <f t="shared" si="11"/>
        <v>100</v>
      </c>
      <c r="V37" s="1508" t="s">
        <v>8</v>
      </c>
      <c r="W37" s="1509">
        <f t="shared" si="12"/>
        <v>100</v>
      </c>
      <c r="X37" s="1502"/>
      <c r="Y37" s="4157"/>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4157"/>
      <c r="Q38" s="1507" t="str">
        <f t="shared" si="14"/>
        <v>宗地开发程度</v>
      </c>
      <c r="R38" s="1503" t="s">
        <v>8</v>
      </c>
      <c r="S38" s="1504">
        <f t="shared" si="10"/>
        <v>100</v>
      </c>
      <c r="T38" s="1503" t="s">
        <v>8</v>
      </c>
      <c r="U38" s="1504">
        <f t="shared" si="11"/>
        <v>100</v>
      </c>
      <c r="V38" s="1503" t="s">
        <v>8</v>
      </c>
      <c r="W38" s="1504">
        <f t="shared" si="12"/>
        <v>100</v>
      </c>
      <c r="X38" s="1505"/>
      <c r="Y38" s="4157"/>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4157" t="s">
        <v>595</v>
      </c>
      <c r="Q39" s="1507" t="str">
        <f t="shared" si="14"/>
        <v>工程地质条件</v>
      </c>
      <c r="R39" s="1508" t="s">
        <v>8</v>
      </c>
      <c r="S39" s="1509">
        <f t="shared" si="10"/>
        <v>100</v>
      </c>
      <c r="T39" s="1508" t="s">
        <v>8</v>
      </c>
      <c r="U39" s="1509">
        <f t="shared" si="11"/>
        <v>100</v>
      </c>
      <c r="V39" s="1508" t="s">
        <v>8</v>
      </c>
      <c r="W39" s="1509">
        <f t="shared" si="12"/>
        <v>100</v>
      </c>
      <c r="X39" s="1502"/>
      <c r="Y39" s="4157"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4157"/>
      <c r="Q40" s="1507">
        <f t="shared" si="14"/>
        <v>111</v>
      </c>
      <c r="R40" s="1508" t="s">
        <v>8</v>
      </c>
      <c r="S40" s="1509">
        <f t="shared" si="10"/>
        <v>100</v>
      </c>
      <c r="T40" s="1508" t="s">
        <v>8</v>
      </c>
      <c r="U40" s="1509">
        <f t="shared" si="11"/>
        <v>100</v>
      </c>
      <c r="V40" s="1508" t="s">
        <v>8</v>
      </c>
      <c r="W40" s="1509">
        <f t="shared" si="12"/>
        <v>100</v>
      </c>
      <c r="X40" s="1502"/>
      <c r="Y40" s="4157"/>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4157"/>
      <c r="Q41" s="1507">
        <f t="shared" si="14"/>
        <v>111</v>
      </c>
      <c r="R41" s="1508" t="s">
        <v>8</v>
      </c>
      <c r="S41" s="1509">
        <f t="shared" si="10"/>
        <v>100</v>
      </c>
      <c r="T41" s="1508" t="s">
        <v>8</v>
      </c>
      <c r="U41" s="1509">
        <f t="shared" si="11"/>
        <v>100</v>
      </c>
      <c r="V41" s="1508" t="s">
        <v>8</v>
      </c>
      <c r="W41" s="1509">
        <f t="shared" si="12"/>
        <v>100</v>
      </c>
      <c r="X41" s="1502"/>
      <c r="Y41" s="4157"/>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4157"/>
      <c r="Q42" s="1507">
        <f t="shared" si="14"/>
        <v>111</v>
      </c>
      <c r="R42" s="1512" t="s">
        <v>8</v>
      </c>
      <c r="S42" s="1513">
        <f t="shared" si="10"/>
        <v>100</v>
      </c>
      <c r="T42" s="1512" t="s">
        <v>8</v>
      </c>
      <c r="U42" s="1513">
        <f t="shared" si="11"/>
        <v>100</v>
      </c>
      <c r="V42" s="1512" t="s">
        <v>8</v>
      </c>
      <c r="W42" s="1513">
        <f t="shared" si="12"/>
        <v>100</v>
      </c>
      <c r="X42" s="1514"/>
      <c r="Y42" s="4157"/>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4152" t="str">
        <f>A43</f>
        <v>成交单价</v>
      </c>
      <c r="Q43" s="4152"/>
      <c r="R43" s="4166">
        <f>E43</f>
        <v>0</v>
      </c>
      <c r="S43" s="4166"/>
      <c r="T43" s="4166">
        <f>G43</f>
        <v>0</v>
      </c>
      <c r="U43" s="4166"/>
      <c r="V43" s="4166">
        <f>I43</f>
        <v>0</v>
      </c>
      <c r="W43" s="4166"/>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4152" t="str">
        <f>A44</f>
        <v>比较价格（元/平方米）</v>
      </c>
      <c r="Q44" s="4152"/>
      <c r="R44" s="4176" t="e">
        <f>ROUND(PRODUCT(R43,AA9:AA42),0)</f>
        <v>#DIV/0!</v>
      </c>
      <c r="S44" s="4176"/>
      <c r="T44" s="4176" t="e">
        <f>ROUND(PRODUCT(T43,AB9:AB42),0)</f>
        <v>#DIV/0!</v>
      </c>
      <c r="U44" s="4176"/>
      <c r="V44" s="4176" t="e">
        <f>ROUND(PRODUCT(V43,AC9:AC42),0)</f>
        <v>#DIV/0!</v>
      </c>
      <c r="W44" s="4176"/>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4173" t="str">
        <f>A45</f>
        <v>估价对象XX用房的比较价格（楼面单价，元/平方米）</v>
      </c>
      <c r="Q45" s="4174"/>
      <c r="R45" s="4230" t="e">
        <f>ROUND(IF(D44="简单平均",AVERAGE(R44:W44),R44*F44+T44*H44+V44*J44),0)</f>
        <v>#DIV/0!</v>
      </c>
      <c r="S45" s="4230"/>
      <c r="T45" s="4230"/>
      <c r="U45" s="4230"/>
      <c r="V45" s="4230"/>
      <c r="W45" s="4230"/>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4225" t="s">
        <v>2272</v>
      </c>
      <c r="H52" s="4226"/>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26088.75</v>
      </c>
      <c r="F53" s="1864" t="e">
        <f t="shared" ref="F53:F62" si="15">ROUND(B53*E53/10000,0)</f>
        <v>#DIV/0!</v>
      </c>
      <c r="G53" s="4227"/>
      <c r="H53" s="4228"/>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4229"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4229"/>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4229"/>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4229"/>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26088.75</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73" priority="18" stopIfTrue="1" operator="containsText" text="超过">
      <formula>NOT(ISERROR(SEARCH("超过",F48)))</formula>
    </cfRule>
  </conditionalFormatting>
  <conditionalFormatting sqref="J50">
    <cfRule type="containsText" dxfId="72" priority="17" stopIfTrue="1" operator="containsText" text="超过">
      <formula>NOT(ISERROR(SEARCH("超过",J50)))</formula>
    </cfRule>
  </conditionalFormatting>
  <conditionalFormatting sqref="H50">
    <cfRule type="containsText" dxfId="71" priority="16" stopIfTrue="1" operator="containsText" text="超过">
      <formula>NOT(ISERROR(SEARCH("超过",H50)))</formula>
    </cfRule>
  </conditionalFormatting>
  <conditionalFormatting sqref="F50">
    <cfRule type="containsText" dxfId="70" priority="15" stopIfTrue="1" operator="containsText" text="超过">
      <formula>NOT(ISERROR(SEARCH("超过",F50)))</formula>
    </cfRule>
  </conditionalFormatting>
  <conditionalFormatting sqref="F49 H49 J49">
    <cfRule type="containsText" dxfId="69" priority="14" stopIfTrue="1" operator="containsText" text="超过">
      <formula>NOT(ISERROR(SEARCH("超过",F49)))</formula>
    </cfRule>
  </conditionalFormatting>
  <conditionalFormatting sqref="E48">
    <cfRule type="expression" dxfId="68" priority="13" stopIfTrue="1">
      <formula>$F$48="超过30%"</formula>
    </cfRule>
  </conditionalFormatting>
  <conditionalFormatting sqref="G50">
    <cfRule type="expression" dxfId="67" priority="12" stopIfTrue="1">
      <formula>$H$50="超过30%"</formula>
    </cfRule>
  </conditionalFormatting>
  <conditionalFormatting sqref="E50">
    <cfRule type="expression" dxfId="66" priority="10" stopIfTrue="1">
      <formula>$F$50="超过30%"</formula>
    </cfRule>
  </conditionalFormatting>
  <conditionalFormatting sqref="G48">
    <cfRule type="expression" dxfId="65" priority="9" stopIfTrue="1">
      <formula>$H$48="超过30%"</formula>
    </cfRule>
  </conditionalFormatting>
  <conditionalFormatting sqref="G49">
    <cfRule type="expression" dxfId="64" priority="8" stopIfTrue="1">
      <formula>$H$49="超过20%"</formula>
    </cfRule>
  </conditionalFormatting>
  <conditionalFormatting sqref="I48">
    <cfRule type="expression" dxfId="63" priority="7" stopIfTrue="1">
      <formula>$J$48="超过30%"</formula>
    </cfRule>
  </conditionalFormatting>
  <conditionalFormatting sqref="I49">
    <cfRule type="expression" dxfId="62" priority="6" stopIfTrue="1">
      <formula>$J$49="超过20%"</formula>
    </cfRule>
  </conditionalFormatting>
  <conditionalFormatting sqref="I50">
    <cfRule type="expression" dxfId="61" priority="5" stopIfTrue="1">
      <formula>$J$50="超过30%"</formula>
    </cfRule>
  </conditionalFormatting>
  <conditionalFormatting sqref="E49">
    <cfRule type="expression" dxfId="60" priority="51" stopIfTrue="1">
      <formula>#REF!+$F$49="超过20%"</formula>
    </cfRule>
  </conditionalFormatting>
  <conditionalFormatting sqref="F44">
    <cfRule type="expression" dxfId="59" priority="4">
      <formula>$D$44="简单平均"</formula>
    </cfRule>
  </conditionalFormatting>
  <conditionalFormatting sqref="H44">
    <cfRule type="expression" dxfId="58" priority="3">
      <formula>$D$44="简单平均"</formula>
    </cfRule>
  </conditionalFormatting>
  <conditionalFormatting sqref="J44">
    <cfRule type="expression" dxfId="57" priority="2">
      <formula>$D$44="简单平均"</formula>
    </cfRule>
  </conditionalFormatting>
  <conditionalFormatting sqref="F9:F42 H9:H42 J9:J42">
    <cfRule type="cellIs" dxfId="56" priority="1" operator="notEqual">
      <formula>100</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I26 G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C22 G22 I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G59" xr:uid="{00000000-0002-0000-2200-00000A000000}">
      <formula1>"商业,办公,住宅,工业"</formula1>
    </dataValidation>
    <dataValidation type="list" allowBlank="1" showInputMessage="1" showErrorMessage="1" sqref="G60" xr:uid="{00000000-0002-0000-2200-00000B000000}">
      <formula1>"住宅,工业"</formula1>
    </dataValidation>
    <dataValidation type="list" allowBlank="1" showInputMessage="1" showErrorMessage="1" sqref="D54:D62" xr:uid="{00000000-0002-0000-2200-00000C000000}">
      <formula1>"25%,1"</formula1>
    </dataValidation>
    <dataValidation type="list" allowBlank="1" showInputMessage="1" showErrorMessage="1" sqref="C18 E18 G18 I18" xr:uid="{00000000-0002-0000-2200-00000D000000}">
      <formula1>产业集聚程度</formula1>
    </dataValidation>
    <dataValidation type="list" allowBlank="1" showInputMessage="1" showErrorMessage="1" sqref="C28 E28 G28 I28" xr:uid="{00000000-0002-0000-2200-00000E000000}">
      <formula1>基础设施水平</formula1>
    </dataValidation>
    <dataValidation type="list" allowBlank="1" showInputMessage="1" showErrorMessage="1" sqref="C31 E31 G31 I31" xr:uid="{00000000-0002-0000-2200-00000F000000}">
      <formula1>套工临街等级</formula1>
    </dataValidation>
    <dataValidation type="list" allowBlank="1" showInputMessage="1" showErrorMessage="1" sqref="C37 E37 G37 I37" xr:uid="{00000000-0002-0000-2200-000010000000}">
      <formula1>套工宗地形状</formula1>
    </dataValidation>
    <dataValidation type="list" allowBlank="1" showInputMessage="1" showErrorMessage="1" sqref="C38 E38 G38 I38" xr:uid="{00000000-0002-0000-2200-000011000000}">
      <formula1>套工开发程度</formula1>
    </dataValidation>
    <dataValidation type="list" allowBlank="1" showInputMessage="1" showErrorMessage="1" sqref="C39 E39 G39 I39" xr:uid="{00000000-0002-0000-2200-000012000000}">
      <formula1>套工工程地质条件</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dimension ref="A1:V39"/>
  <sheetViews>
    <sheetView topLeftCell="A7" workbookViewId="0">
      <selection activeCell="G17" sqref="G17"/>
    </sheetView>
  </sheetViews>
  <sheetFormatPr defaultColWidth="8.875" defaultRowHeight="13.5"/>
  <cols>
    <col min="1" max="2" width="9" style="3284" bestFit="1" customWidth="1"/>
    <col min="3" max="3" width="15.375" style="3284" customWidth="1"/>
    <col min="4" max="4" width="9" style="3284" bestFit="1" customWidth="1"/>
    <col min="5" max="5" width="10.75" style="3284" customWidth="1"/>
    <col min="6" max="6" width="9" style="3284" bestFit="1" customWidth="1"/>
    <col min="7" max="7" width="11.25" style="3284" customWidth="1"/>
    <col min="8" max="8" width="9" style="3284" bestFit="1" customWidth="1"/>
    <col min="9" max="9" width="12" style="3284" customWidth="1"/>
    <col min="10" max="10" width="9" style="3284" bestFit="1" customWidth="1"/>
    <col min="11" max="11" width="11.25" style="3284" customWidth="1"/>
    <col min="12" max="12" width="9" style="3284" bestFit="1" customWidth="1"/>
    <col min="13" max="13" width="12" style="3284" customWidth="1"/>
    <col min="14" max="17" width="9" style="3284" bestFit="1" customWidth="1"/>
    <col min="18" max="18" width="13.125" style="3284" customWidth="1"/>
    <col min="19" max="20" width="9" style="3284" bestFit="1" customWidth="1"/>
    <col min="21" max="21" width="12" style="3284" customWidth="1"/>
    <col min="22" max="32" width="9" style="3284" bestFit="1" customWidth="1"/>
    <col min="33" max="256" width="8.875" style="3284"/>
    <col min="257" max="258" width="9" style="3284" bestFit="1" customWidth="1"/>
    <col min="259" max="259" width="15.375" style="3284" customWidth="1"/>
    <col min="260" max="260" width="9" style="3284" bestFit="1" customWidth="1"/>
    <col min="261" max="261" width="10.75" style="3284" customWidth="1"/>
    <col min="262" max="262" width="9" style="3284" bestFit="1" customWidth="1"/>
    <col min="263" max="263" width="11.25" style="3284" customWidth="1"/>
    <col min="264" max="264" width="9" style="3284" bestFit="1" customWidth="1"/>
    <col min="265" max="265" width="12" style="3284" customWidth="1"/>
    <col min="266" max="266" width="9" style="3284" bestFit="1" customWidth="1"/>
    <col min="267" max="267" width="11.25" style="3284" customWidth="1"/>
    <col min="268" max="268" width="9" style="3284" bestFit="1" customWidth="1"/>
    <col min="269" max="269" width="12" style="3284" customWidth="1"/>
    <col min="270" max="273" width="9" style="3284" bestFit="1" customWidth="1"/>
    <col min="274" max="274" width="13.125" style="3284" customWidth="1"/>
    <col min="275" max="276" width="9" style="3284" bestFit="1" customWidth="1"/>
    <col min="277" max="277" width="9.625" style="3284" customWidth="1"/>
    <col min="278" max="288" width="9" style="3284" bestFit="1" customWidth="1"/>
    <col min="289" max="512" width="8.875" style="3284"/>
    <col min="513" max="514" width="9" style="3284" bestFit="1" customWidth="1"/>
    <col min="515" max="515" width="15.375" style="3284" customWidth="1"/>
    <col min="516" max="516" width="9" style="3284" bestFit="1" customWidth="1"/>
    <col min="517" max="517" width="10.75" style="3284" customWidth="1"/>
    <col min="518" max="518" width="9" style="3284" bestFit="1" customWidth="1"/>
    <col min="519" max="519" width="11.25" style="3284" customWidth="1"/>
    <col min="520" max="520" width="9" style="3284" bestFit="1" customWidth="1"/>
    <col min="521" max="521" width="12" style="3284" customWidth="1"/>
    <col min="522" max="522" width="9" style="3284" bestFit="1" customWidth="1"/>
    <col min="523" max="523" width="11.25" style="3284" customWidth="1"/>
    <col min="524" max="524" width="9" style="3284" bestFit="1" customWidth="1"/>
    <col min="525" max="525" width="12" style="3284" customWidth="1"/>
    <col min="526" max="529" width="9" style="3284" bestFit="1" customWidth="1"/>
    <col min="530" max="530" width="13.125" style="3284" customWidth="1"/>
    <col min="531" max="532" width="9" style="3284" bestFit="1" customWidth="1"/>
    <col min="533" max="533" width="9.625" style="3284" customWidth="1"/>
    <col min="534" max="544" width="9" style="3284" bestFit="1" customWidth="1"/>
    <col min="545" max="768" width="8.875" style="3284"/>
    <col min="769" max="770" width="9" style="3284" bestFit="1" customWidth="1"/>
    <col min="771" max="771" width="15.375" style="3284" customWidth="1"/>
    <col min="772" max="772" width="9" style="3284" bestFit="1" customWidth="1"/>
    <col min="773" max="773" width="10.75" style="3284" customWidth="1"/>
    <col min="774" max="774" width="9" style="3284" bestFit="1" customWidth="1"/>
    <col min="775" max="775" width="11.25" style="3284" customWidth="1"/>
    <col min="776" max="776" width="9" style="3284" bestFit="1" customWidth="1"/>
    <col min="777" max="777" width="12" style="3284" customWidth="1"/>
    <col min="778" max="778" width="9" style="3284" bestFit="1" customWidth="1"/>
    <col min="779" max="779" width="11.25" style="3284" customWidth="1"/>
    <col min="780" max="780" width="9" style="3284" bestFit="1" customWidth="1"/>
    <col min="781" max="781" width="12" style="3284" customWidth="1"/>
    <col min="782" max="785" width="9" style="3284" bestFit="1" customWidth="1"/>
    <col min="786" max="786" width="13.125" style="3284" customWidth="1"/>
    <col min="787" max="788" width="9" style="3284" bestFit="1" customWidth="1"/>
    <col min="789" max="789" width="9.625" style="3284" customWidth="1"/>
    <col min="790" max="800" width="9" style="3284" bestFit="1" customWidth="1"/>
    <col min="801" max="1024" width="8.875" style="3284"/>
    <col min="1025" max="1026" width="9" style="3284" bestFit="1" customWidth="1"/>
    <col min="1027" max="1027" width="15.375" style="3284" customWidth="1"/>
    <col min="1028" max="1028" width="9" style="3284" bestFit="1" customWidth="1"/>
    <col min="1029" max="1029" width="10.75" style="3284" customWidth="1"/>
    <col min="1030" max="1030" width="9" style="3284" bestFit="1" customWidth="1"/>
    <col min="1031" max="1031" width="11.25" style="3284" customWidth="1"/>
    <col min="1032" max="1032" width="9" style="3284" bestFit="1" customWidth="1"/>
    <col min="1033" max="1033" width="12" style="3284" customWidth="1"/>
    <col min="1034" max="1034" width="9" style="3284" bestFit="1" customWidth="1"/>
    <col min="1035" max="1035" width="11.25" style="3284" customWidth="1"/>
    <col min="1036" max="1036" width="9" style="3284" bestFit="1" customWidth="1"/>
    <col min="1037" max="1037" width="12" style="3284" customWidth="1"/>
    <col min="1038" max="1041" width="9" style="3284" bestFit="1" customWidth="1"/>
    <col min="1042" max="1042" width="13.125" style="3284" customWidth="1"/>
    <col min="1043" max="1044" width="9" style="3284" bestFit="1" customWidth="1"/>
    <col min="1045" max="1045" width="9.625" style="3284" customWidth="1"/>
    <col min="1046" max="1056" width="9" style="3284" bestFit="1" customWidth="1"/>
    <col min="1057" max="1280" width="8.875" style="3284"/>
    <col min="1281" max="1282" width="9" style="3284" bestFit="1" customWidth="1"/>
    <col min="1283" max="1283" width="15.375" style="3284" customWidth="1"/>
    <col min="1284" max="1284" width="9" style="3284" bestFit="1" customWidth="1"/>
    <col min="1285" max="1285" width="10.75" style="3284" customWidth="1"/>
    <col min="1286" max="1286" width="9" style="3284" bestFit="1" customWidth="1"/>
    <col min="1287" max="1287" width="11.25" style="3284" customWidth="1"/>
    <col min="1288" max="1288" width="9" style="3284" bestFit="1" customWidth="1"/>
    <col min="1289" max="1289" width="12" style="3284" customWidth="1"/>
    <col min="1290" max="1290" width="9" style="3284" bestFit="1" customWidth="1"/>
    <col min="1291" max="1291" width="11.25" style="3284" customWidth="1"/>
    <col min="1292" max="1292" width="9" style="3284" bestFit="1" customWidth="1"/>
    <col min="1293" max="1293" width="12" style="3284" customWidth="1"/>
    <col min="1294" max="1297" width="9" style="3284" bestFit="1" customWidth="1"/>
    <col min="1298" max="1298" width="13.125" style="3284" customWidth="1"/>
    <col min="1299" max="1300" width="9" style="3284" bestFit="1" customWidth="1"/>
    <col min="1301" max="1301" width="9.625" style="3284" customWidth="1"/>
    <col min="1302" max="1312" width="9" style="3284" bestFit="1" customWidth="1"/>
    <col min="1313" max="1536" width="8.875" style="3284"/>
    <col min="1537" max="1538" width="9" style="3284" bestFit="1" customWidth="1"/>
    <col min="1539" max="1539" width="15.375" style="3284" customWidth="1"/>
    <col min="1540" max="1540" width="9" style="3284" bestFit="1" customWidth="1"/>
    <col min="1541" max="1541" width="10.75" style="3284" customWidth="1"/>
    <col min="1542" max="1542" width="9" style="3284" bestFit="1" customWidth="1"/>
    <col min="1543" max="1543" width="11.25" style="3284" customWidth="1"/>
    <col min="1544" max="1544" width="9" style="3284" bestFit="1" customWidth="1"/>
    <col min="1545" max="1545" width="12" style="3284" customWidth="1"/>
    <col min="1546" max="1546" width="9" style="3284" bestFit="1" customWidth="1"/>
    <col min="1547" max="1547" width="11.25" style="3284" customWidth="1"/>
    <col min="1548" max="1548" width="9" style="3284" bestFit="1" customWidth="1"/>
    <col min="1549" max="1549" width="12" style="3284" customWidth="1"/>
    <col min="1550" max="1553" width="9" style="3284" bestFit="1" customWidth="1"/>
    <col min="1554" max="1554" width="13.125" style="3284" customWidth="1"/>
    <col min="1555" max="1556" width="9" style="3284" bestFit="1" customWidth="1"/>
    <col min="1557" max="1557" width="9.625" style="3284" customWidth="1"/>
    <col min="1558" max="1568" width="9" style="3284" bestFit="1" customWidth="1"/>
    <col min="1569" max="1792" width="8.875" style="3284"/>
    <col min="1793" max="1794" width="9" style="3284" bestFit="1" customWidth="1"/>
    <col min="1795" max="1795" width="15.375" style="3284" customWidth="1"/>
    <col min="1796" max="1796" width="9" style="3284" bestFit="1" customWidth="1"/>
    <col min="1797" max="1797" width="10.75" style="3284" customWidth="1"/>
    <col min="1798" max="1798" width="9" style="3284" bestFit="1" customWidth="1"/>
    <col min="1799" max="1799" width="11.25" style="3284" customWidth="1"/>
    <col min="1800" max="1800" width="9" style="3284" bestFit="1" customWidth="1"/>
    <col min="1801" max="1801" width="12" style="3284" customWidth="1"/>
    <col min="1802" max="1802" width="9" style="3284" bestFit="1" customWidth="1"/>
    <col min="1803" max="1803" width="11.25" style="3284" customWidth="1"/>
    <col min="1804" max="1804" width="9" style="3284" bestFit="1" customWidth="1"/>
    <col min="1805" max="1805" width="12" style="3284" customWidth="1"/>
    <col min="1806" max="1809" width="9" style="3284" bestFit="1" customWidth="1"/>
    <col min="1810" max="1810" width="13.125" style="3284" customWidth="1"/>
    <col min="1811" max="1812" width="9" style="3284" bestFit="1" customWidth="1"/>
    <col min="1813" max="1813" width="9.625" style="3284" customWidth="1"/>
    <col min="1814" max="1824" width="9" style="3284" bestFit="1" customWidth="1"/>
    <col min="1825" max="2048" width="8.875" style="3284"/>
    <col min="2049" max="2050" width="9" style="3284" bestFit="1" customWidth="1"/>
    <col min="2051" max="2051" width="15.375" style="3284" customWidth="1"/>
    <col min="2052" max="2052" width="9" style="3284" bestFit="1" customWidth="1"/>
    <col min="2053" max="2053" width="10.75" style="3284" customWidth="1"/>
    <col min="2054" max="2054" width="9" style="3284" bestFit="1" customWidth="1"/>
    <col min="2055" max="2055" width="11.25" style="3284" customWidth="1"/>
    <col min="2056" max="2056" width="9" style="3284" bestFit="1" customWidth="1"/>
    <col min="2057" max="2057" width="12" style="3284" customWidth="1"/>
    <col min="2058" max="2058" width="9" style="3284" bestFit="1" customWidth="1"/>
    <col min="2059" max="2059" width="11.25" style="3284" customWidth="1"/>
    <col min="2060" max="2060" width="9" style="3284" bestFit="1" customWidth="1"/>
    <col min="2061" max="2061" width="12" style="3284" customWidth="1"/>
    <col min="2062" max="2065" width="9" style="3284" bestFit="1" customWidth="1"/>
    <col min="2066" max="2066" width="13.125" style="3284" customWidth="1"/>
    <col min="2067" max="2068" width="9" style="3284" bestFit="1" customWidth="1"/>
    <col min="2069" max="2069" width="9.625" style="3284" customWidth="1"/>
    <col min="2070" max="2080" width="9" style="3284" bestFit="1" customWidth="1"/>
    <col min="2081" max="2304" width="8.875" style="3284"/>
    <col min="2305" max="2306" width="9" style="3284" bestFit="1" customWidth="1"/>
    <col min="2307" max="2307" width="15.375" style="3284" customWidth="1"/>
    <col min="2308" max="2308" width="9" style="3284" bestFit="1" customWidth="1"/>
    <col min="2309" max="2309" width="10.75" style="3284" customWidth="1"/>
    <col min="2310" max="2310" width="9" style="3284" bestFit="1" customWidth="1"/>
    <col min="2311" max="2311" width="11.25" style="3284" customWidth="1"/>
    <col min="2312" max="2312" width="9" style="3284" bestFit="1" customWidth="1"/>
    <col min="2313" max="2313" width="12" style="3284" customWidth="1"/>
    <col min="2314" max="2314" width="9" style="3284" bestFit="1" customWidth="1"/>
    <col min="2315" max="2315" width="11.25" style="3284" customWidth="1"/>
    <col min="2316" max="2316" width="9" style="3284" bestFit="1" customWidth="1"/>
    <col min="2317" max="2317" width="12" style="3284" customWidth="1"/>
    <col min="2318" max="2321" width="9" style="3284" bestFit="1" customWidth="1"/>
    <col min="2322" max="2322" width="13.125" style="3284" customWidth="1"/>
    <col min="2323" max="2324" width="9" style="3284" bestFit="1" customWidth="1"/>
    <col min="2325" max="2325" width="9.625" style="3284" customWidth="1"/>
    <col min="2326" max="2336" width="9" style="3284" bestFit="1" customWidth="1"/>
    <col min="2337" max="2560" width="8.875" style="3284"/>
    <col min="2561" max="2562" width="9" style="3284" bestFit="1" customWidth="1"/>
    <col min="2563" max="2563" width="15.375" style="3284" customWidth="1"/>
    <col min="2564" max="2564" width="9" style="3284" bestFit="1" customWidth="1"/>
    <col min="2565" max="2565" width="10.75" style="3284" customWidth="1"/>
    <col min="2566" max="2566" width="9" style="3284" bestFit="1" customWidth="1"/>
    <col min="2567" max="2567" width="11.25" style="3284" customWidth="1"/>
    <col min="2568" max="2568" width="9" style="3284" bestFit="1" customWidth="1"/>
    <col min="2569" max="2569" width="12" style="3284" customWidth="1"/>
    <col min="2570" max="2570" width="9" style="3284" bestFit="1" customWidth="1"/>
    <col min="2571" max="2571" width="11.25" style="3284" customWidth="1"/>
    <col min="2572" max="2572" width="9" style="3284" bestFit="1" customWidth="1"/>
    <col min="2573" max="2573" width="12" style="3284" customWidth="1"/>
    <col min="2574" max="2577" width="9" style="3284" bestFit="1" customWidth="1"/>
    <col min="2578" max="2578" width="13.125" style="3284" customWidth="1"/>
    <col min="2579" max="2580" width="9" style="3284" bestFit="1" customWidth="1"/>
    <col min="2581" max="2581" width="9.625" style="3284" customWidth="1"/>
    <col min="2582" max="2592" width="9" style="3284" bestFit="1" customWidth="1"/>
    <col min="2593" max="2816" width="8.875" style="3284"/>
    <col min="2817" max="2818" width="9" style="3284" bestFit="1" customWidth="1"/>
    <col min="2819" max="2819" width="15.375" style="3284" customWidth="1"/>
    <col min="2820" max="2820" width="9" style="3284" bestFit="1" customWidth="1"/>
    <col min="2821" max="2821" width="10.75" style="3284" customWidth="1"/>
    <col min="2822" max="2822" width="9" style="3284" bestFit="1" customWidth="1"/>
    <col min="2823" max="2823" width="11.25" style="3284" customWidth="1"/>
    <col min="2824" max="2824" width="9" style="3284" bestFit="1" customWidth="1"/>
    <col min="2825" max="2825" width="12" style="3284" customWidth="1"/>
    <col min="2826" max="2826" width="9" style="3284" bestFit="1" customWidth="1"/>
    <col min="2827" max="2827" width="11.25" style="3284" customWidth="1"/>
    <col min="2828" max="2828" width="9" style="3284" bestFit="1" customWidth="1"/>
    <col min="2829" max="2829" width="12" style="3284" customWidth="1"/>
    <col min="2830" max="2833" width="9" style="3284" bestFit="1" customWidth="1"/>
    <col min="2834" max="2834" width="13.125" style="3284" customWidth="1"/>
    <col min="2835" max="2836" width="9" style="3284" bestFit="1" customWidth="1"/>
    <col min="2837" max="2837" width="9.625" style="3284" customWidth="1"/>
    <col min="2838" max="2848" width="9" style="3284" bestFit="1" customWidth="1"/>
    <col min="2849" max="3072" width="8.875" style="3284"/>
    <col min="3073" max="3074" width="9" style="3284" bestFit="1" customWidth="1"/>
    <col min="3075" max="3075" width="15.375" style="3284" customWidth="1"/>
    <col min="3076" max="3076" width="9" style="3284" bestFit="1" customWidth="1"/>
    <col min="3077" max="3077" width="10.75" style="3284" customWidth="1"/>
    <col min="3078" max="3078" width="9" style="3284" bestFit="1" customWidth="1"/>
    <col min="3079" max="3079" width="11.25" style="3284" customWidth="1"/>
    <col min="3080" max="3080" width="9" style="3284" bestFit="1" customWidth="1"/>
    <col min="3081" max="3081" width="12" style="3284" customWidth="1"/>
    <col min="3082" max="3082" width="9" style="3284" bestFit="1" customWidth="1"/>
    <col min="3083" max="3083" width="11.25" style="3284" customWidth="1"/>
    <col min="3084" max="3084" width="9" style="3284" bestFit="1" customWidth="1"/>
    <col min="3085" max="3085" width="12" style="3284" customWidth="1"/>
    <col min="3086" max="3089" width="9" style="3284" bestFit="1" customWidth="1"/>
    <col min="3090" max="3090" width="13.125" style="3284" customWidth="1"/>
    <col min="3091" max="3092" width="9" style="3284" bestFit="1" customWidth="1"/>
    <col min="3093" max="3093" width="9.625" style="3284" customWidth="1"/>
    <col min="3094" max="3104" width="9" style="3284" bestFit="1" customWidth="1"/>
    <col min="3105" max="3328" width="8.875" style="3284"/>
    <col min="3329" max="3330" width="9" style="3284" bestFit="1" customWidth="1"/>
    <col min="3331" max="3331" width="15.375" style="3284" customWidth="1"/>
    <col min="3332" max="3332" width="9" style="3284" bestFit="1" customWidth="1"/>
    <col min="3333" max="3333" width="10.75" style="3284" customWidth="1"/>
    <col min="3334" max="3334" width="9" style="3284" bestFit="1" customWidth="1"/>
    <col min="3335" max="3335" width="11.25" style="3284" customWidth="1"/>
    <col min="3336" max="3336" width="9" style="3284" bestFit="1" customWidth="1"/>
    <col min="3337" max="3337" width="12" style="3284" customWidth="1"/>
    <col min="3338" max="3338" width="9" style="3284" bestFit="1" customWidth="1"/>
    <col min="3339" max="3339" width="11.25" style="3284" customWidth="1"/>
    <col min="3340" max="3340" width="9" style="3284" bestFit="1" customWidth="1"/>
    <col min="3341" max="3341" width="12" style="3284" customWidth="1"/>
    <col min="3342" max="3345" width="9" style="3284" bestFit="1" customWidth="1"/>
    <col min="3346" max="3346" width="13.125" style="3284" customWidth="1"/>
    <col min="3347" max="3348" width="9" style="3284" bestFit="1" customWidth="1"/>
    <col min="3349" max="3349" width="9.625" style="3284" customWidth="1"/>
    <col min="3350" max="3360" width="9" style="3284" bestFit="1" customWidth="1"/>
    <col min="3361" max="3584" width="8.875" style="3284"/>
    <col min="3585" max="3586" width="9" style="3284" bestFit="1" customWidth="1"/>
    <col min="3587" max="3587" width="15.375" style="3284" customWidth="1"/>
    <col min="3588" max="3588" width="9" style="3284" bestFit="1" customWidth="1"/>
    <col min="3589" max="3589" width="10.75" style="3284" customWidth="1"/>
    <col min="3590" max="3590" width="9" style="3284" bestFit="1" customWidth="1"/>
    <col min="3591" max="3591" width="11.25" style="3284" customWidth="1"/>
    <col min="3592" max="3592" width="9" style="3284" bestFit="1" customWidth="1"/>
    <col min="3593" max="3593" width="12" style="3284" customWidth="1"/>
    <col min="3594" max="3594" width="9" style="3284" bestFit="1" customWidth="1"/>
    <col min="3595" max="3595" width="11.25" style="3284" customWidth="1"/>
    <col min="3596" max="3596" width="9" style="3284" bestFit="1" customWidth="1"/>
    <col min="3597" max="3597" width="12" style="3284" customWidth="1"/>
    <col min="3598" max="3601" width="9" style="3284" bestFit="1" customWidth="1"/>
    <col min="3602" max="3602" width="13.125" style="3284" customWidth="1"/>
    <col min="3603" max="3604" width="9" style="3284" bestFit="1" customWidth="1"/>
    <col min="3605" max="3605" width="9.625" style="3284" customWidth="1"/>
    <col min="3606" max="3616" width="9" style="3284" bestFit="1" customWidth="1"/>
    <col min="3617" max="3840" width="8.875" style="3284"/>
    <col min="3841" max="3842" width="9" style="3284" bestFit="1" customWidth="1"/>
    <col min="3843" max="3843" width="15.375" style="3284" customWidth="1"/>
    <col min="3844" max="3844" width="9" style="3284" bestFit="1" customWidth="1"/>
    <col min="3845" max="3845" width="10.75" style="3284" customWidth="1"/>
    <col min="3846" max="3846" width="9" style="3284" bestFit="1" customWidth="1"/>
    <col min="3847" max="3847" width="11.25" style="3284" customWidth="1"/>
    <col min="3848" max="3848" width="9" style="3284" bestFit="1" customWidth="1"/>
    <col min="3849" max="3849" width="12" style="3284" customWidth="1"/>
    <col min="3850" max="3850" width="9" style="3284" bestFit="1" customWidth="1"/>
    <col min="3851" max="3851" width="11.25" style="3284" customWidth="1"/>
    <col min="3852" max="3852" width="9" style="3284" bestFit="1" customWidth="1"/>
    <col min="3853" max="3853" width="12" style="3284" customWidth="1"/>
    <col min="3854" max="3857" width="9" style="3284" bestFit="1" customWidth="1"/>
    <col min="3858" max="3858" width="13.125" style="3284" customWidth="1"/>
    <col min="3859" max="3860" width="9" style="3284" bestFit="1" customWidth="1"/>
    <col min="3861" max="3861" width="9.625" style="3284" customWidth="1"/>
    <col min="3862" max="3872" width="9" style="3284" bestFit="1" customWidth="1"/>
    <col min="3873" max="4096" width="8.875" style="3284"/>
    <col min="4097" max="4098" width="9" style="3284" bestFit="1" customWidth="1"/>
    <col min="4099" max="4099" width="15.375" style="3284" customWidth="1"/>
    <col min="4100" max="4100" width="9" style="3284" bestFit="1" customWidth="1"/>
    <col min="4101" max="4101" width="10.75" style="3284" customWidth="1"/>
    <col min="4102" max="4102" width="9" style="3284" bestFit="1" customWidth="1"/>
    <col min="4103" max="4103" width="11.25" style="3284" customWidth="1"/>
    <col min="4104" max="4104" width="9" style="3284" bestFit="1" customWidth="1"/>
    <col min="4105" max="4105" width="12" style="3284" customWidth="1"/>
    <col min="4106" max="4106" width="9" style="3284" bestFit="1" customWidth="1"/>
    <col min="4107" max="4107" width="11.25" style="3284" customWidth="1"/>
    <col min="4108" max="4108" width="9" style="3284" bestFit="1" customWidth="1"/>
    <col min="4109" max="4109" width="12" style="3284" customWidth="1"/>
    <col min="4110" max="4113" width="9" style="3284" bestFit="1" customWidth="1"/>
    <col min="4114" max="4114" width="13.125" style="3284" customWidth="1"/>
    <col min="4115" max="4116" width="9" style="3284" bestFit="1" customWidth="1"/>
    <col min="4117" max="4117" width="9.625" style="3284" customWidth="1"/>
    <col min="4118" max="4128" width="9" style="3284" bestFit="1" customWidth="1"/>
    <col min="4129" max="4352" width="8.875" style="3284"/>
    <col min="4353" max="4354" width="9" style="3284" bestFit="1" customWidth="1"/>
    <col min="4355" max="4355" width="15.375" style="3284" customWidth="1"/>
    <col min="4356" max="4356" width="9" style="3284" bestFit="1" customWidth="1"/>
    <col min="4357" max="4357" width="10.75" style="3284" customWidth="1"/>
    <col min="4358" max="4358" width="9" style="3284" bestFit="1" customWidth="1"/>
    <col min="4359" max="4359" width="11.25" style="3284" customWidth="1"/>
    <col min="4360" max="4360" width="9" style="3284" bestFit="1" customWidth="1"/>
    <col min="4361" max="4361" width="12" style="3284" customWidth="1"/>
    <col min="4362" max="4362" width="9" style="3284" bestFit="1" customWidth="1"/>
    <col min="4363" max="4363" width="11.25" style="3284" customWidth="1"/>
    <col min="4364" max="4364" width="9" style="3284" bestFit="1" customWidth="1"/>
    <col min="4365" max="4365" width="12" style="3284" customWidth="1"/>
    <col min="4366" max="4369" width="9" style="3284" bestFit="1" customWidth="1"/>
    <col min="4370" max="4370" width="13.125" style="3284" customWidth="1"/>
    <col min="4371" max="4372" width="9" style="3284" bestFit="1" customWidth="1"/>
    <col min="4373" max="4373" width="9.625" style="3284" customWidth="1"/>
    <col min="4374" max="4384" width="9" style="3284" bestFit="1" customWidth="1"/>
    <col min="4385" max="4608" width="8.875" style="3284"/>
    <col min="4609" max="4610" width="9" style="3284" bestFit="1" customWidth="1"/>
    <col min="4611" max="4611" width="15.375" style="3284" customWidth="1"/>
    <col min="4612" max="4612" width="9" style="3284" bestFit="1" customWidth="1"/>
    <col min="4613" max="4613" width="10.75" style="3284" customWidth="1"/>
    <col min="4614" max="4614" width="9" style="3284" bestFit="1" customWidth="1"/>
    <col min="4615" max="4615" width="11.25" style="3284" customWidth="1"/>
    <col min="4616" max="4616" width="9" style="3284" bestFit="1" customWidth="1"/>
    <col min="4617" max="4617" width="12" style="3284" customWidth="1"/>
    <col min="4618" max="4618" width="9" style="3284" bestFit="1" customWidth="1"/>
    <col min="4619" max="4619" width="11.25" style="3284" customWidth="1"/>
    <col min="4620" max="4620" width="9" style="3284" bestFit="1" customWidth="1"/>
    <col min="4621" max="4621" width="12" style="3284" customWidth="1"/>
    <col min="4622" max="4625" width="9" style="3284" bestFit="1" customWidth="1"/>
    <col min="4626" max="4626" width="13.125" style="3284" customWidth="1"/>
    <col min="4627" max="4628" width="9" style="3284" bestFit="1" customWidth="1"/>
    <col min="4629" max="4629" width="9.625" style="3284" customWidth="1"/>
    <col min="4630" max="4640" width="9" style="3284" bestFit="1" customWidth="1"/>
    <col min="4641" max="4864" width="8.875" style="3284"/>
    <col min="4865" max="4866" width="9" style="3284" bestFit="1" customWidth="1"/>
    <col min="4867" max="4867" width="15.375" style="3284" customWidth="1"/>
    <col min="4868" max="4868" width="9" style="3284" bestFit="1" customWidth="1"/>
    <col min="4869" max="4869" width="10.75" style="3284" customWidth="1"/>
    <col min="4870" max="4870" width="9" style="3284" bestFit="1" customWidth="1"/>
    <col min="4871" max="4871" width="11.25" style="3284" customWidth="1"/>
    <col min="4872" max="4872" width="9" style="3284" bestFit="1" customWidth="1"/>
    <col min="4873" max="4873" width="12" style="3284" customWidth="1"/>
    <col min="4874" max="4874" width="9" style="3284" bestFit="1" customWidth="1"/>
    <col min="4875" max="4875" width="11.25" style="3284" customWidth="1"/>
    <col min="4876" max="4876" width="9" style="3284" bestFit="1" customWidth="1"/>
    <col min="4877" max="4877" width="12" style="3284" customWidth="1"/>
    <col min="4878" max="4881" width="9" style="3284" bestFit="1" customWidth="1"/>
    <col min="4882" max="4882" width="13.125" style="3284" customWidth="1"/>
    <col min="4883" max="4884" width="9" style="3284" bestFit="1" customWidth="1"/>
    <col min="4885" max="4885" width="9.625" style="3284" customWidth="1"/>
    <col min="4886" max="4896" width="9" style="3284" bestFit="1" customWidth="1"/>
    <col min="4897" max="5120" width="8.875" style="3284"/>
    <col min="5121" max="5122" width="9" style="3284" bestFit="1" customWidth="1"/>
    <col min="5123" max="5123" width="15.375" style="3284" customWidth="1"/>
    <col min="5124" max="5124" width="9" style="3284" bestFit="1" customWidth="1"/>
    <col min="5125" max="5125" width="10.75" style="3284" customWidth="1"/>
    <col min="5126" max="5126" width="9" style="3284" bestFit="1" customWidth="1"/>
    <col min="5127" max="5127" width="11.25" style="3284" customWidth="1"/>
    <col min="5128" max="5128" width="9" style="3284" bestFit="1" customWidth="1"/>
    <col min="5129" max="5129" width="12" style="3284" customWidth="1"/>
    <col min="5130" max="5130" width="9" style="3284" bestFit="1" customWidth="1"/>
    <col min="5131" max="5131" width="11.25" style="3284" customWidth="1"/>
    <col min="5132" max="5132" width="9" style="3284" bestFit="1" customWidth="1"/>
    <col min="5133" max="5133" width="12" style="3284" customWidth="1"/>
    <col min="5134" max="5137" width="9" style="3284" bestFit="1" customWidth="1"/>
    <col min="5138" max="5138" width="13.125" style="3284" customWidth="1"/>
    <col min="5139" max="5140" width="9" style="3284" bestFit="1" customWidth="1"/>
    <col min="5141" max="5141" width="9.625" style="3284" customWidth="1"/>
    <col min="5142" max="5152" width="9" style="3284" bestFit="1" customWidth="1"/>
    <col min="5153" max="5376" width="8.875" style="3284"/>
    <col min="5377" max="5378" width="9" style="3284" bestFit="1" customWidth="1"/>
    <col min="5379" max="5379" width="15.375" style="3284" customWidth="1"/>
    <col min="5380" max="5380" width="9" style="3284" bestFit="1" customWidth="1"/>
    <col min="5381" max="5381" width="10.75" style="3284" customWidth="1"/>
    <col min="5382" max="5382" width="9" style="3284" bestFit="1" customWidth="1"/>
    <col min="5383" max="5383" width="11.25" style="3284" customWidth="1"/>
    <col min="5384" max="5384" width="9" style="3284" bestFit="1" customWidth="1"/>
    <col min="5385" max="5385" width="12" style="3284" customWidth="1"/>
    <col min="5386" max="5386" width="9" style="3284" bestFit="1" customWidth="1"/>
    <col min="5387" max="5387" width="11.25" style="3284" customWidth="1"/>
    <col min="5388" max="5388" width="9" style="3284" bestFit="1" customWidth="1"/>
    <col min="5389" max="5389" width="12" style="3284" customWidth="1"/>
    <col min="5390" max="5393" width="9" style="3284" bestFit="1" customWidth="1"/>
    <col min="5394" max="5394" width="13.125" style="3284" customWidth="1"/>
    <col min="5395" max="5396" width="9" style="3284" bestFit="1" customWidth="1"/>
    <col min="5397" max="5397" width="9.625" style="3284" customWidth="1"/>
    <col min="5398" max="5408" width="9" style="3284" bestFit="1" customWidth="1"/>
    <col min="5409" max="5632" width="8.875" style="3284"/>
    <col min="5633" max="5634" width="9" style="3284" bestFit="1" customWidth="1"/>
    <col min="5635" max="5635" width="15.375" style="3284" customWidth="1"/>
    <col min="5636" max="5636" width="9" style="3284" bestFit="1" customWidth="1"/>
    <col min="5637" max="5637" width="10.75" style="3284" customWidth="1"/>
    <col min="5638" max="5638" width="9" style="3284" bestFit="1" customWidth="1"/>
    <col min="5639" max="5639" width="11.25" style="3284" customWidth="1"/>
    <col min="5640" max="5640" width="9" style="3284" bestFit="1" customWidth="1"/>
    <col min="5641" max="5641" width="12" style="3284" customWidth="1"/>
    <col min="5642" max="5642" width="9" style="3284" bestFit="1" customWidth="1"/>
    <col min="5643" max="5643" width="11.25" style="3284" customWidth="1"/>
    <col min="5644" max="5644" width="9" style="3284" bestFit="1" customWidth="1"/>
    <col min="5645" max="5645" width="12" style="3284" customWidth="1"/>
    <col min="5646" max="5649" width="9" style="3284" bestFit="1" customWidth="1"/>
    <col min="5650" max="5650" width="13.125" style="3284" customWidth="1"/>
    <col min="5651" max="5652" width="9" style="3284" bestFit="1" customWidth="1"/>
    <col min="5653" max="5653" width="9.625" style="3284" customWidth="1"/>
    <col min="5654" max="5664" width="9" style="3284" bestFit="1" customWidth="1"/>
    <col min="5665" max="5888" width="8.875" style="3284"/>
    <col min="5889" max="5890" width="9" style="3284" bestFit="1" customWidth="1"/>
    <col min="5891" max="5891" width="15.375" style="3284" customWidth="1"/>
    <col min="5892" max="5892" width="9" style="3284" bestFit="1" customWidth="1"/>
    <col min="5893" max="5893" width="10.75" style="3284" customWidth="1"/>
    <col min="5894" max="5894" width="9" style="3284" bestFit="1" customWidth="1"/>
    <col min="5895" max="5895" width="11.25" style="3284" customWidth="1"/>
    <col min="5896" max="5896" width="9" style="3284" bestFit="1" customWidth="1"/>
    <col min="5897" max="5897" width="12" style="3284" customWidth="1"/>
    <col min="5898" max="5898" width="9" style="3284" bestFit="1" customWidth="1"/>
    <col min="5899" max="5899" width="11.25" style="3284" customWidth="1"/>
    <col min="5900" max="5900" width="9" style="3284" bestFit="1" customWidth="1"/>
    <col min="5901" max="5901" width="12" style="3284" customWidth="1"/>
    <col min="5902" max="5905" width="9" style="3284" bestFit="1" customWidth="1"/>
    <col min="5906" max="5906" width="13.125" style="3284" customWidth="1"/>
    <col min="5907" max="5908" width="9" style="3284" bestFit="1" customWidth="1"/>
    <col min="5909" max="5909" width="9.625" style="3284" customWidth="1"/>
    <col min="5910" max="5920" width="9" style="3284" bestFit="1" customWidth="1"/>
    <col min="5921" max="6144" width="8.875" style="3284"/>
    <col min="6145" max="6146" width="9" style="3284" bestFit="1" customWidth="1"/>
    <col min="6147" max="6147" width="15.375" style="3284" customWidth="1"/>
    <col min="6148" max="6148" width="9" style="3284" bestFit="1" customWidth="1"/>
    <col min="6149" max="6149" width="10.75" style="3284" customWidth="1"/>
    <col min="6150" max="6150" width="9" style="3284" bestFit="1" customWidth="1"/>
    <col min="6151" max="6151" width="11.25" style="3284" customWidth="1"/>
    <col min="6152" max="6152" width="9" style="3284" bestFit="1" customWidth="1"/>
    <col min="6153" max="6153" width="12" style="3284" customWidth="1"/>
    <col min="6154" max="6154" width="9" style="3284" bestFit="1" customWidth="1"/>
    <col min="6155" max="6155" width="11.25" style="3284" customWidth="1"/>
    <col min="6156" max="6156" width="9" style="3284" bestFit="1" customWidth="1"/>
    <col min="6157" max="6157" width="12" style="3284" customWidth="1"/>
    <col min="6158" max="6161" width="9" style="3284" bestFit="1" customWidth="1"/>
    <col min="6162" max="6162" width="13.125" style="3284" customWidth="1"/>
    <col min="6163" max="6164" width="9" style="3284" bestFit="1" customWidth="1"/>
    <col min="6165" max="6165" width="9.625" style="3284" customWidth="1"/>
    <col min="6166" max="6176" width="9" style="3284" bestFit="1" customWidth="1"/>
    <col min="6177" max="6400" width="8.875" style="3284"/>
    <col min="6401" max="6402" width="9" style="3284" bestFit="1" customWidth="1"/>
    <col min="6403" max="6403" width="15.375" style="3284" customWidth="1"/>
    <col min="6404" max="6404" width="9" style="3284" bestFit="1" customWidth="1"/>
    <col min="6405" max="6405" width="10.75" style="3284" customWidth="1"/>
    <col min="6406" max="6406" width="9" style="3284" bestFit="1" customWidth="1"/>
    <col min="6407" max="6407" width="11.25" style="3284" customWidth="1"/>
    <col min="6408" max="6408" width="9" style="3284" bestFit="1" customWidth="1"/>
    <col min="6409" max="6409" width="12" style="3284" customWidth="1"/>
    <col min="6410" max="6410" width="9" style="3284" bestFit="1" customWidth="1"/>
    <col min="6411" max="6411" width="11.25" style="3284" customWidth="1"/>
    <col min="6412" max="6412" width="9" style="3284" bestFit="1" customWidth="1"/>
    <col min="6413" max="6413" width="12" style="3284" customWidth="1"/>
    <col min="6414" max="6417" width="9" style="3284" bestFit="1" customWidth="1"/>
    <col min="6418" max="6418" width="13.125" style="3284" customWidth="1"/>
    <col min="6419" max="6420" width="9" style="3284" bestFit="1" customWidth="1"/>
    <col min="6421" max="6421" width="9.625" style="3284" customWidth="1"/>
    <col min="6422" max="6432" width="9" style="3284" bestFit="1" customWidth="1"/>
    <col min="6433" max="6656" width="8.875" style="3284"/>
    <col min="6657" max="6658" width="9" style="3284" bestFit="1" customWidth="1"/>
    <col min="6659" max="6659" width="15.375" style="3284" customWidth="1"/>
    <col min="6660" max="6660" width="9" style="3284" bestFit="1" customWidth="1"/>
    <col min="6661" max="6661" width="10.75" style="3284" customWidth="1"/>
    <col min="6662" max="6662" width="9" style="3284" bestFit="1" customWidth="1"/>
    <col min="6663" max="6663" width="11.25" style="3284" customWidth="1"/>
    <col min="6664" max="6664" width="9" style="3284" bestFit="1" customWidth="1"/>
    <col min="6665" max="6665" width="12" style="3284" customWidth="1"/>
    <col min="6666" max="6666" width="9" style="3284" bestFit="1" customWidth="1"/>
    <col min="6667" max="6667" width="11.25" style="3284" customWidth="1"/>
    <col min="6668" max="6668" width="9" style="3284" bestFit="1" customWidth="1"/>
    <col min="6669" max="6669" width="12" style="3284" customWidth="1"/>
    <col min="6670" max="6673" width="9" style="3284" bestFit="1" customWidth="1"/>
    <col min="6674" max="6674" width="13.125" style="3284" customWidth="1"/>
    <col min="6675" max="6676" width="9" style="3284" bestFit="1" customWidth="1"/>
    <col min="6677" max="6677" width="9.625" style="3284" customWidth="1"/>
    <col min="6678" max="6688" width="9" style="3284" bestFit="1" customWidth="1"/>
    <col min="6689" max="6912" width="8.875" style="3284"/>
    <col min="6913" max="6914" width="9" style="3284" bestFit="1" customWidth="1"/>
    <col min="6915" max="6915" width="15.375" style="3284" customWidth="1"/>
    <col min="6916" max="6916" width="9" style="3284" bestFit="1" customWidth="1"/>
    <col min="6917" max="6917" width="10.75" style="3284" customWidth="1"/>
    <col min="6918" max="6918" width="9" style="3284" bestFit="1" customWidth="1"/>
    <col min="6919" max="6919" width="11.25" style="3284" customWidth="1"/>
    <col min="6920" max="6920" width="9" style="3284" bestFit="1" customWidth="1"/>
    <col min="6921" max="6921" width="12" style="3284" customWidth="1"/>
    <col min="6922" max="6922" width="9" style="3284" bestFit="1" customWidth="1"/>
    <col min="6923" max="6923" width="11.25" style="3284" customWidth="1"/>
    <col min="6924" max="6924" width="9" style="3284" bestFit="1" customWidth="1"/>
    <col min="6925" max="6925" width="12" style="3284" customWidth="1"/>
    <col min="6926" max="6929" width="9" style="3284" bestFit="1" customWidth="1"/>
    <col min="6930" max="6930" width="13.125" style="3284" customWidth="1"/>
    <col min="6931" max="6932" width="9" style="3284" bestFit="1" customWidth="1"/>
    <col min="6933" max="6933" width="9.625" style="3284" customWidth="1"/>
    <col min="6934" max="6944" width="9" style="3284" bestFit="1" customWidth="1"/>
    <col min="6945" max="7168" width="8.875" style="3284"/>
    <col min="7169" max="7170" width="9" style="3284" bestFit="1" customWidth="1"/>
    <col min="7171" max="7171" width="15.375" style="3284" customWidth="1"/>
    <col min="7172" max="7172" width="9" style="3284" bestFit="1" customWidth="1"/>
    <col min="7173" max="7173" width="10.75" style="3284" customWidth="1"/>
    <col min="7174" max="7174" width="9" style="3284" bestFit="1" customWidth="1"/>
    <col min="7175" max="7175" width="11.25" style="3284" customWidth="1"/>
    <col min="7176" max="7176" width="9" style="3284" bestFit="1" customWidth="1"/>
    <col min="7177" max="7177" width="12" style="3284" customWidth="1"/>
    <col min="7178" max="7178" width="9" style="3284" bestFit="1" customWidth="1"/>
    <col min="7179" max="7179" width="11.25" style="3284" customWidth="1"/>
    <col min="7180" max="7180" width="9" style="3284" bestFit="1" customWidth="1"/>
    <col min="7181" max="7181" width="12" style="3284" customWidth="1"/>
    <col min="7182" max="7185" width="9" style="3284" bestFit="1" customWidth="1"/>
    <col min="7186" max="7186" width="13.125" style="3284" customWidth="1"/>
    <col min="7187" max="7188" width="9" style="3284" bestFit="1" customWidth="1"/>
    <col min="7189" max="7189" width="9.625" style="3284" customWidth="1"/>
    <col min="7190" max="7200" width="9" style="3284" bestFit="1" customWidth="1"/>
    <col min="7201" max="7424" width="8.875" style="3284"/>
    <col min="7425" max="7426" width="9" style="3284" bestFit="1" customWidth="1"/>
    <col min="7427" max="7427" width="15.375" style="3284" customWidth="1"/>
    <col min="7428" max="7428" width="9" style="3284" bestFit="1" customWidth="1"/>
    <col min="7429" max="7429" width="10.75" style="3284" customWidth="1"/>
    <col min="7430" max="7430" width="9" style="3284" bestFit="1" customWidth="1"/>
    <col min="7431" max="7431" width="11.25" style="3284" customWidth="1"/>
    <col min="7432" max="7432" width="9" style="3284" bestFit="1" customWidth="1"/>
    <col min="7433" max="7433" width="12" style="3284" customWidth="1"/>
    <col min="7434" max="7434" width="9" style="3284" bestFit="1" customWidth="1"/>
    <col min="7435" max="7435" width="11.25" style="3284" customWidth="1"/>
    <col min="7436" max="7436" width="9" style="3284" bestFit="1" customWidth="1"/>
    <col min="7437" max="7437" width="12" style="3284" customWidth="1"/>
    <col min="7438" max="7441" width="9" style="3284" bestFit="1" customWidth="1"/>
    <col min="7442" max="7442" width="13.125" style="3284" customWidth="1"/>
    <col min="7443" max="7444" width="9" style="3284" bestFit="1" customWidth="1"/>
    <col min="7445" max="7445" width="9.625" style="3284" customWidth="1"/>
    <col min="7446" max="7456" width="9" style="3284" bestFit="1" customWidth="1"/>
    <col min="7457" max="7680" width="8.875" style="3284"/>
    <col min="7681" max="7682" width="9" style="3284" bestFit="1" customWidth="1"/>
    <col min="7683" max="7683" width="15.375" style="3284" customWidth="1"/>
    <col min="7684" max="7684" width="9" style="3284" bestFit="1" customWidth="1"/>
    <col min="7685" max="7685" width="10.75" style="3284" customWidth="1"/>
    <col min="7686" max="7686" width="9" style="3284" bestFit="1" customWidth="1"/>
    <col min="7687" max="7687" width="11.25" style="3284" customWidth="1"/>
    <col min="7688" max="7688" width="9" style="3284" bestFit="1" customWidth="1"/>
    <col min="7689" max="7689" width="12" style="3284" customWidth="1"/>
    <col min="7690" max="7690" width="9" style="3284" bestFit="1" customWidth="1"/>
    <col min="7691" max="7691" width="11.25" style="3284" customWidth="1"/>
    <col min="7692" max="7692" width="9" style="3284" bestFit="1" customWidth="1"/>
    <col min="7693" max="7693" width="12" style="3284" customWidth="1"/>
    <col min="7694" max="7697" width="9" style="3284" bestFit="1" customWidth="1"/>
    <col min="7698" max="7698" width="13.125" style="3284" customWidth="1"/>
    <col min="7699" max="7700" width="9" style="3284" bestFit="1" customWidth="1"/>
    <col min="7701" max="7701" width="9.625" style="3284" customWidth="1"/>
    <col min="7702" max="7712" width="9" style="3284" bestFit="1" customWidth="1"/>
    <col min="7713" max="7936" width="8.875" style="3284"/>
    <col min="7937" max="7938" width="9" style="3284" bestFit="1" customWidth="1"/>
    <col min="7939" max="7939" width="15.375" style="3284" customWidth="1"/>
    <col min="7940" max="7940" width="9" style="3284" bestFit="1" customWidth="1"/>
    <col min="7941" max="7941" width="10.75" style="3284" customWidth="1"/>
    <col min="7942" max="7942" width="9" style="3284" bestFit="1" customWidth="1"/>
    <col min="7943" max="7943" width="11.25" style="3284" customWidth="1"/>
    <col min="7944" max="7944" width="9" style="3284" bestFit="1" customWidth="1"/>
    <col min="7945" max="7945" width="12" style="3284" customWidth="1"/>
    <col min="7946" max="7946" width="9" style="3284" bestFit="1" customWidth="1"/>
    <col min="7947" max="7947" width="11.25" style="3284" customWidth="1"/>
    <col min="7948" max="7948" width="9" style="3284" bestFit="1" customWidth="1"/>
    <col min="7949" max="7949" width="12" style="3284" customWidth="1"/>
    <col min="7950" max="7953" width="9" style="3284" bestFit="1" customWidth="1"/>
    <col min="7954" max="7954" width="13.125" style="3284" customWidth="1"/>
    <col min="7955" max="7956" width="9" style="3284" bestFit="1" customWidth="1"/>
    <col min="7957" max="7957" width="9.625" style="3284" customWidth="1"/>
    <col min="7958" max="7968" width="9" style="3284" bestFit="1" customWidth="1"/>
    <col min="7969" max="8192" width="8.875" style="3284"/>
    <col min="8193" max="8194" width="9" style="3284" bestFit="1" customWidth="1"/>
    <col min="8195" max="8195" width="15.375" style="3284" customWidth="1"/>
    <col min="8196" max="8196" width="9" style="3284" bestFit="1" customWidth="1"/>
    <col min="8197" max="8197" width="10.75" style="3284" customWidth="1"/>
    <col min="8198" max="8198" width="9" style="3284" bestFit="1" customWidth="1"/>
    <col min="8199" max="8199" width="11.25" style="3284" customWidth="1"/>
    <col min="8200" max="8200" width="9" style="3284" bestFit="1" customWidth="1"/>
    <col min="8201" max="8201" width="12" style="3284" customWidth="1"/>
    <col min="8202" max="8202" width="9" style="3284" bestFit="1" customWidth="1"/>
    <col min="8203" max="8203" width="11.25" style="3284" customWidth="1"/>
    <col min="8204" max="8204" width="9" style="3284" bestFit="1" customWidth="1"/>
    <col min="8205" max="8205" width="12" style="3284" customWidth="1"/>
    <col min="8206" max="8209" width="9" style="3284" bestFit="1" customWidth="1"/>
    <col min="8210" max="8210" width="13.125" style="3284" customWidth="1"/>
    <col min="8211" max="8212" width="9" style="3284" bestFit="1" customWidth="1"/>
    <col min="8213" max="8213" width="9.625" style="3284" customWidth="1"/>
    <col min="8214" max="8224" width="9" style="3284" bestFit="1" customWidth="1"/>
    <col min="8225" max="8448" width="8.875" style="3284"/>
    <col min="8449" max="8450" width="9" style="3284" bestFit="1" customWidth="1"/>
    <col min="8451" max="8451" width="15.375" style="3284" customWidth="1"/>
    <col min="8452" max="8452" width="9" style="3284" bestFit="1" customWidth="1"/>
    <col min="8453" max="8453" width="10.75" style="3284" customWidth="1"/>
    <col min="8454" max="8454" width="9" style="3284" bestFit="1" customWidth="1"/>
    <col min="8455" max="8455" width="11.25" style="3284" customWidth="1"/>
    <col min="8456" max="8456" width="9" style="3284" bestFit="1" customWidth="1"/>
    <col min="8457" max="8457" width="12" style="3284" customWidth="1"/>
    <col min="8458" max="8458" width="9" style="3284" bestFit="1" customWidth="1"/>
    <col min="8459" max="8459" width="11.25" style="3284" customWidth="1"/>
    <col min="8460" max="8460" width="9" style="3284" bestFit="1" customWidth="1"/>
    <col min="8461" max="8461" width="12" style="3284" customWidth="1"/>
    <col min="8462" max="8465" width="9" style="3284" bestFit="1" customWidth="1"/>
    <col min="8466" max="8466" width="13.125" style="3284" customWidth="1"/>
    <col min="8467" max="8468" width="9" style="3284" bestFit="1" customWidth="1"/>
    <col min="8469" max="8469" width="9.625" style="3284" customWidth="1"/>
    <col min="8470" max="8480" width="9" style="3284" bestFit="1" customWidth="1"/>
    <col min="8481" max="8704" width="8.875" style="3284"/>
    <col min="8705" max="8706" width="9" style="3284" bestFit="1" customWidth="1"/>
    <col min="8707" max="8707" width="15.375" style="3284" customWidth="1"/>
    <col min="8708" max="8708" width="9" style="3284" bestFit="1" customWidth="1"/>
    <col min="8709" max="8709" width="10.75" style="3284" customWidth="1"/>
    <col min="8710" max="8710" width="9" style="3284" bestFit="1" customWidth="1"/>
    <col min="8711" max="8711" width="11.25" style="3284" customWidth="1"/>
    <col min="8712" max="8712" width="9" style="3284" bestFit="1" customWidth="1"/>
    <col min="8713" max="8713" width="12" style="3284" customWidth="1"/>
    <col min="8714" max="8714" width="9" style="3284" bestFit="1" customWidth="1"/>
    <col min="8715" max="8715" width="11.25" style="3284" customWidth="1"/>
    <col min="8716" max="8716" width="9" style="3284" bestFit="1" customWidth="1"/>
    <col min="8717" max="8717" width="12" style="3284" customWidth="1"/>
    <col min="8718" max="8721" width="9" style="3284" bestFit="1" customWidth="1"/>
    <col min="8722" max="8722" width="13.125" style="3284" customWidth="1"/>
    <col min="8723" max="8724" width="9" style="3284" bestFit="1" customWidth="1"/>
    <col min="8725" max="8725" width="9.625" style="3284" customWidth="1"/>
    <col min="8726" max="8736" width="9" style="3284" bestFit="1" customWidth="1"/>
    <col min="8737" max="8960" width="8.875" style="3284"/>
    <col min="8961" max="8962" width="9" style="3284" bestFit="1" customWidth="1"/>
    <col min="8963" max="8963" width="15.375" style="3284" customWidth="1"/>
    <col min="8964" max="8964" width="9" style="3284" bestFit="1" customWidth="1"/>
    <col min="8965" max="8965" width="10.75" style="3284" customWidth="1"/>
    <col min="8966" max="8966" width="9" style="3284" bestFit="1" customWidth="1"/>
    <col min="8967" max="8967" width="11.25" style="3284" customWidth="1"/>
    <col min="8968" max="8968" width="9" style="3284" bestFit="1" customWidth="1"/>
    <col min="8969" max="8969" width="12" style="3284" customWidth="1"/>
    <col min="8970" max="8970" width="9" style="3284" bestFit="1" customWidth="1"/>
    <col min="8971" max="8971" width="11.25" style="3284" customWidth="1"/>
    <col min="8972" max="8972" width="9" style="3284" bestFit="1" customWidth="1"/>
    <col min="8973" max="8973" width="12" style="3284" customWidth="1"/>
    <col min="8974" max="8977" width="9" style="3284" bestFit="1" customWidth="1"/>
    <col min="8978" max="8978" width="13.125" style="3284" customWidth="1"/>
    <col min="8979" max="8980" width="9" style="3284" bestFit="1" customWidth="1"/>
    <col min="8981" max="8981" width="9.625" style="3284" customWidth="1"/>
    <col min="8982" max="8992" width="9" style="3284" bestFit="1" customWidth="1"/>
    <col min="8993" max="9216" width="8.875" style="3284"/>
    <col min="9217" max="9218" width="9" style="3284" bestFit="1" customWidth="1"/>
    <col min="9219" max="9219" width="15.375" style="3284" customWidth="1"/>
    <col min="9220" max="9220" width="9" style="3284" bestFit="1" customWidth="1"/>
    <col min="9221" max="9221" width="10.75" style="3284" customWidth="1"/>
    <col min="9222" max="9222" width="9" style="3284" bestFit="1" customWidth="1"/>
    <col min="9223" max="9223" width="11.25" style="3284" customWidth="1"/>
    <col min="9224" max="9224" width="9" style="3284" bestFit="1" customWidth="1"/>
    <col min="9225" max="9225" width="12" style="3284" customWidth="1"/>
    <col min="9226" max="9226" width="9" style="3284" bestFit="1" customWidth="1"/>
    <col min="9227" max="9227" width="11.25" style="3284" customWidth="1"/>
    <col min="9228" max="9228" width="9" style="3284" bestFit="1" customWidth="1"/>
    <col min="9229" max="9229" width="12" style="3284" customWidth="1"/>
    <col min="9230" max="9233" width="9" style="3284" bestFit="1" customWidth="1"/>
    <col min="9234" max="9234" width="13.125" style="3284" customWidth="1"/>
    <col min="9235" max="9236" width="9" style="3284" bestFit="1" customWidth="1"/>
    <col min="9237" max="9237" width="9.625" style="3284" customWidth="1"/>
    <col min="9238" max="9248" width="9" style="3284" bestFit="1" customWidth="1"/>
    <col min="9249" max="9472" width="8.875" style="3284"/>
    <col min="9473" max="9474" width="9" style="3284" bestFit="1" customWidth="1"/>
    <col min="9475" max="9475" width="15.375" style="3284" customWidth="1"/>
    <col min="9476" max="9476" width="9" style="3284" bestFit="1" customWidth="1"/>
    <col min="9477" max="9477" width="10.75" style="3284" customWidth="1"/>
    <col min="9478" max="9478" width="9" style="3284" bestFit="1" customWidth="1"/>
    <col min="9479" max="9479" width="11.25" style="3284" customWidth="1"/>
    <col min="9480" max="9480" width="9" style="3284" bestFit="1" customWidth="1"/>
    <col min="9481" max="9481" width="12" style="3284" customWidth="1"/>
    <col min="9482" max="9482" width="9" style="3284" bestFit="1" customWidth="1"/>
    <col min="9483" max="9483" width="11.25" style="3284" customWidth="1"/>
    <col min="9484" max="9484" width="9" style="3284" bestFit="1" customWidth="1"/>
    <col min="9485" max="9485" width="12" style="3284" customWidth="1"/>
    <col min="9486" max="9489" width="9" style="3284" bestFit="1" customWidth="1"/>
    <col min="9490" max="9490" width="13.125" style="3284" customWidth="1"/>
    <col min="9491" max="9492" width="9" style="3284" bestFit="1" customWidth="1"/>
    <col min="9493" max="9493" width="9.625" style="3284" customWidth="1"/>
    <col min="9494" max="9504" width="9" style="3284" bestFit="1" customWidth="1"/>
    <col min="9505" max="9728" width="8.875" style="3284"/>
    <col min="9729" max="9730" width="9" style="3284" bestFit="1" customWidth="1"/>
    <col min="9731" max="9731" width="15.375" style="3284" customWidth="1"/>
    <col min="9732" max="9732" width="9" style="3284" bestFit="1" customWidth="1"/>
    <col min="9733" max="9733" width="10.75" style="3284" customWidth="1"/>
    <col min="9734" max="9734" width="9" style="3284" bestFit="1" customWidth="1"/>
    <col min="9735" max="9735" width="11.25" style="3284" customWidth="1"/>
    <col min="9736" max="9736" width="9" style="3284" bestFit="1" customWidth="1"/>
    <col min="9737" max="9737" width="12" style="3284" customWidth="1"/>
    <col min="9738" max="9738" width="9" style="3284" bestFit="1" customWidth="1"/>
    <col min="9739" max="9739" width="11.25" style="3284" customWidth="1"/>
    <col min="9740" max="9740" width="9" style="3284" bestFit="1" customWidth="1"/>
    <col min="9741" max="9741" width="12" style="3284" customWidth="1"/>
    <col min="9742" max="9745" width="9" style="3284" bestFit="1" customWidth="1"/>
    <col min="9746" max="9746" width="13.125" style="3284" customWidth="1"/>
    <col min="9747" max="9748" width="9" style="3284" bestFit="1" customWidth="1"/>
    <col min="9749" max="9749" width="9.625" style="3284" customWidth="1"/>
    <col min="9750" max="9760" width="9" style="3284" bestFit="1" customWidth="1"/>
    <col min="9761" max="9984" width="8.875" style="3284"/>
    <col min="9985" max="9986" width="9" style="3284" bestFit="1" customWidth="1"/>
    <col min="9987" max="9987" width="15.375" style="3284" customWidth="1"/>
    <col min="9988" max="9988" width="9" style="3284" bestFit="1" customWidth="1"/>
    <col min="9989" max="9989" width="10.75" style="3284" customWidth="1"/>
    <col min="9990" max="9990" width="9" style="3284" bestFit="1" customWidth="1"/>
    <col min="9991" max="9991" width="11.25" style="3284" customWidth="1"/>
    <col min="9992" max="9992" width="9" style="3284" bestFit="1" customWidth="1"/>
    <col min="9993" max="9993" width="12" style="3284" customWidth="1"/>
    <col min="9994" max="9994" width="9" style="3284" bestFit="1" customWidth="1"/>
    <col min="9995" max="9995" width="11.25" style="3284" customWidth="1"/>
    <col min="9996" max="9996" width="9" style="3284" bestFit="1" customWidth="1"/>
    <col min="9997" max="9997" width="12" style="3284" customWidth="1"/>
    <col min="9998" max="10001" width="9" style="3284" bestFit="1" customWidth="1"/>
    <col min="10002" max="10002" width="13.125" style="3284" customWidth="1"/>
    <col min="10003" max="10004" width="9" style="3284" bestFit="1" customWidth="1"/>
    <col min="10005" max="10005" width="9.625" style="3284" customWidth="1"/>
    <col min="10006" max="10016" width="9" style="3284" bestFit="1" customWidth="1"/>
    <col min="10017" max="10240" width="8.875" style="3284"/>
    <col min="10241" max="10242" width="9" style="3284" bestFit="1" customWidth="1"/>
    <col min="10243" max="10243" width="15.375" style="3284" customWidth="1"/>
    <col min="10244" max="10244" width="9" style="3284" bestFit="1" customWidth="1"/>
    <col min="10245" max="10245" width="10.75" style="3284" customWidth="1"/>
    <col min="10246" max="10246" width="9" style="3284" bestFit="1" customWidth="1"/>
    <col min="10247" max="10247" width="11.25" style="3284" customWidth="1"/>
    <col min="10248" max="10248" width="9" style="3284" bestFit="1" customWidth="1"/>
    <col min="10249" max="10249" width="12" style="3284" customWidth="1"/>
    <col min="10250" max="10250" width="9" style="3284" bestFit="1" customWidth="1"/>
    <col min="10251" max="10251" width="11.25" style="3284" customWidth="1"/>
    <col min="10252" max="10252" width="9" style="3284" bestFit="1" customWidth="1"/>
    <col min="10253" max="10253" width="12" style="3284" customWidth="1"/>
    <col min="10254" max="10257" width="9" style="3284" bestFit="1" customWidth="1"/>
    <col min="10258" max="10258" width="13.125" style="3284" customWidth="1"/>
    <col min="10259" max="10260" width="9" style="3284" bestFit="1" customWidth="1"/>
    <col min="10261" max="10261" width="9.625" style="3284" customWidth="1"/>
    <col min="10262" max="10272" width="9" style="3284" bestFit="1" customWidth="1"/>
    <col min="10273" max="10496" width="8.875" style="3284"/>
    <col min="10497" max="10498" width="9" style="3284" bestFit="1" customWidth="1"/>
    <col min="10499" max="10499" width="15.375" style="3284" customWidth="1"/>
    <col min="10500" max="10500" width="9" style="3284" bestFit="1" customWidth="1"/>
    <col min="10501" max="10501" width="10.75" style="3284" customWidth="1"/>
    <col min="10502" max="10502" width="9" style="3284" bestFit="1" customWidth="1"/>
    <col min="10503" max="10503" width="11.25" style="3284" customWidth="1"/>
    <col min="10504" max="10504" width="9" style="3284" bestFit="1" customWidth="1"/>
    <col min="10505" max="10505" width="12" style="3284" customWidth="1"/>
    <col min="10506" max="10506" width="9" style="3284" bestFit="1" customWidth="1"/>
    <col min="10507" max="10507" width="11.25" style="3284" customWidth="1"/>
    <col min="10508" max="10508" width="9" style="3284" bestFit="1" customWidth="1"/>
    <col min="10509" max="10509" width="12" style="3284" customWidth="1"/>
    <col min="10510" max="10513" width="9" style="3284" bestFit="1" customWidth="1"/>
    <col min="10514" max="10514" width="13.125" style="3284" customWidth="1"/>
    <col min="10515" max="10516" width="9" style="3284" bestFit="1" customWidth="1"/>
    <col min="10517" max="10517" width="9.625" style="3284" customWidth="1"/>
    <col min="10518" max="10528" width="9" style="3284" bestFit="1" customWidth="1"/>
    <col min="10529" max="10752" width="8.875" style="3284"/>
    <col min="10753" max="10754" width="9" style="3284" bestFit="1" customWidth="1"/>
    <col min="10755" max="10755" width="15.375" style="3284" customWidth="1"/>
    <col min="10756" max="10756" width="9" style="3284" bestFit="1" customWidth="1"/>
    <col min="10757" max="10757" width="10.75" style="3284" customWidth="1"/>
    <col min="10758" max="10758" width="9" style="3284" bestFit="1" customWidth="1"/>
    <col min="10759" max="10759" width="11.25" style="3284" customWidth="1"/>
    <col min="10760" max="10760" width="9" style="3284" bestFit="1" customWidth="1"/>
    <col min="10761" max="10761" width="12" style="3284" customWidth="1"/>
    <col min="10762" max="10762" width="9" style="3284" bestFit="1" customWidth="1"/>
    <col min="10763" max="10763" width="11.25" style="3284" customWidth="1"/>
    <col min="10764" max="10764" width="9" style="3284" bestFit="1" customWidth="1"/>
    <col min="10765" max="10765" width="12" style="3284" customWidth="1"/>
    <col min="10766" max="10769" width="9" style="3284" bestFit="1" customWidth="1"/>
    <col min="10770" max="10770" width="13.125" style="3284" customWidth="1"/>
    <col min="10771" max="10772" width="9" style="3284" bestFit="1" customWidth="1"/>
    <col min="10773" max="10773" width="9.625" style="3284" customWidth="1"/>
    <col min="10774" max="10784" width="9" style="3284" bestFit="1" customWidth="1"/>
    <col min="10785" max="11008" width="8.875" style="3284"/>
    <col min="11009" max="11010" width="9" style="3284" bestFit="1" customWidth="1"/>
    <col min="11011" max="11011" width="15.375" style="3284" customWidth="1"/>
    <col min="11012" max="11012" width="9" style="3284" bestFit="1" customWidth="1"/>
    <col min="11013" max="11013" width="10.75" style="3284" customWidth="1"/>
    <col min="11014" max="11014" width="9" style="3284" bestFit="1" customWidth="1"/>
    <col min="11015" max="11015" width="11.25" style="3284" customWidth="1"/>
    <col min="11016" max="11016" width="9" style="3284" bestFit="1" customWidth="1"/>
    <col min="11017" max="11017" width="12" style="3284" customWidth="1"/>
    <col min="11018" max="11018" width="9" style="3284" bestFit="1" customWidth="1"/>
    <col min="11019" max="11019" width="11.25" style="3284" customWidth="1"/>
    <col min="11020" max="11020" width="9" style="3284" bestFit="1" customWidth="1"/>
    <col min="11021" max="11021" width="12" style="3284" customWidth="1"/>
    <col min="11022" max="11025" width="9" style="3284" bestFit="1" customWidth="1"/>
    <col min="11026" max="11026" width="13.125" style="3284" customWidth="1"/>
    <col min="11027" max="11028" width="9" style="3284" bestFit="1" customWidth="1"/>
    <col min="11029" max="11029" width="9.625" style="3284" customWidth="1"/>
    <col min="11030" max="11040" width="9" style="3284" bestFit="1" customWidth="1"/>
    <col min="11041" max="11264" width="8.875" style="3284"/>
    <col min="11265" max="11266" width="9" style="3284" bestFit="1" customWidth="1"/>
    <col min="11267" max="11267" width="15.375" style="3284" customWidth="1"/>
    <col min="11268" max="11268" width="9" style="3284" bestFit="1" customWidth="1"/>
    <col min="11269" max="11269" width="10.75" style="3284" customWidth="1"/>
    <col min="11270" max="11270" width="9" style="3284" bestFit="1" customWidth="1"/>
    <col min="11271" max="11271" width="11.25" style="3284" customWidth="1"/>
    <col min="11272" max="11272" width="9" style="3284" bestFit="1" customWidth="1"/>
    <col min="11273" max="11273" width="12" style="3284" customWidth="1"/>
    <col min="11274" max="11274" width="9" style="3284" bestFit="1" customWidth="1"/>
    <col min="11275" max="11275" width="11.25" style="3284" customWidth="1"/>
    <col min="11276" max="11276" width="9" style="3284" bestFit="1" customWidth="1"/>
    <col min="11277" max="11277" width="12" style="3284" customWidth="1"/>
    <col min="11278" max="11281" width="9" style="3284" bestFit="1" customWidth="1"/>
    <col min="11282" max="11282" width="13.125" style="3284" customWidth="1"/>
    <col min="11283" max="11284" width="9" style="3284" bestFit="1" customWidth="1"/>
    <col min="11285" max="11285" width="9.625" style="3284" customWidth="1"/>
    <col min="11286" max="11296" width="9" style="3284" bestFit="1" customWidth="1"/>
    <col min="11297" max="11520" width="8.875" style="3284"/>
    <col min="11521" max="11522" width="9" style="3284" bestFit="1" customWidth="1"/>
    <col min="11523" max="11523" width="15.375" style="3284" customWidth="1"/>
    <col min="11524" max="11524" width="9" style="3284" bestFit="1" customWidth="1"/>
    <col min="11525" max="11525" width="10.75" style="3284" customWidth="1"/>
    <col min="11526" max="11526" width="9" style="3284" bestFit="1" customWidth="1"/>
    <col min="11527" max="11527" width="11.25" style="3284" customWidth="1"/>
    <col min="11528" max="11528" width="9" style="3284" bestFit="1" customWidth="1"/>
    <col min="11529" max="11529" width="12" style="3284" customWidth="1"/>
    <col min="11530" max="11530" width="9" style="3284" bestFit="1" customWidth="1"/>
    <col min="11531" max="11531" width="11.25" style="3284" customWidth="1"/>
    <col min="11532" max="11532" width="9" style="3284" bestFit="1" customWidth="1"/>
    <col min="11533" max="11533" width="12" style="3284" customWidth="1"/>
    <col min="11534" max="11537" width="9" style="3284" bestFit="1" customWidth="1"/>
    <col min="11538" max="11538" width="13.125" style="3284" customWidth="1"/>
    <col min="11539" max="11540" width="9" style="3284" bestFit="1" customWidth="1"/>
    <col min="11541" max="11541" width="9.625" style="3284" customWidth="1"/>
    <col min="11542" max="11552" width="9" style="3284" bestFit="1" customWidth="1"/>
    <col min="11553" max="11776" width="8.875" style="3284"/>
    <col min="11777" max="11778" width="9" style="3284" bestFit="1" customWidth="1"/>
    <col min="11779" max="11779" width="15.375" style="3284" customWidth="1"/>
    <col min="11780" max="11780" width="9" style="3284" bestFit="1" customWidth="1"/>
    <col min="11781" max="11781" width="10.75" style="3284" customWidth="1"/>
    <col min="11782" max="11782" width="9" style="3284" bestFit="1" customWidth="1"/>
    <col min="11783" max="11783" width="11.25" style="3284" customWidth="1"/>
    <col min="11784" max="11784" width="9" style="3284" bestFit="1" customWidth="1"/>
    <col min="11785" max="11785" width="12" style="3284" customWidth="1"/>
    <col min="11786" max="11786" width="9" style="3284" bestFit="1" customWidth="1"/>
    <col min="11787" max="11787" width="11.25" style="3284" customWidth="1"/>
    <col min="11788" max="11788" width="9" style="3284" bestFit="1" customWidth="1"/>
    <col min="11789" max="11789" width="12" style="3284" customWidth="1"/>
    <col min="11790" max="11793" width="9" style="3284" bestFit="1" customWidth="1"/>
    <col min="11794" max="11794" width="13.125" style="3284" customWidth="1"/>
    <col min="11795" max="11796" width="9" style="3284" bestFit="1" customWidth="1"/>
    <col min="11797" max="11797" width="9.625" style="3284" customWidth="1"/>
    <col min="11798" max="11808" width="9" style="3284" bestFit="1" customWidth="1"/>
    <col min="11809" max="12032" width="8.875" style="3284"/>
    <col min="12033" max="12034" width="9" style="3284" bestFit="1" customWidth="1"/>
    <col min="12035" max="12035" width="15.375" style="3284" customWidth="1"/>
    <col min="12036" max="12036" width="9" style="3284" bestFit="1" customWidth="1"/>
    <col min="12037" max="12037" width="10.75" style="3284" customWidth="1"/>
    <col min="12038" max="12038" width="9" style="3284" bestFit="1" customWidth="1"/>
    <col min="12039" max="12039" width="11.25" style="3284" customWidth="1"/>
    <col min="12040" max="12040" width="9" style="3284" bestFit="1" customWidth="1"/>
    <col min="12041" max="12041" width="12" style="3284" customWidth="1"/>
    <col min="12042" max="12042" width="9" style="3284" bestFit="1" customWidth="1"/>
    <col min="12043" max="12043" width="11.25" style="3284" customWidth="1"/>
    <col min="12044" max="12044" width="9" style="3284" bestFit="1" customWidth="1"/>
    <col min="12045" max="12045" width="12" style="3284" customWidth="1"/>
    <col min="12046" max="12049" width="9" style="3284" bestFit="1" customWidth="1"/>
    <col min="12050" max="12050" width="13.125" style="3284" customWidth="1"/>
    <col min="12051" max="12052" width="9" style="3284" bestFit="1" customWidth="1"/>
    <col min="12053" max="12053" width="9.625" style="3284" customWidth="1"/>
    <col min="12054" max="12064" width="9" style="3284" bestFit="1" customWidth="1"/>
    <col min="12065" max="12288" width="8.875" style="3284"/>
    <col min="12289" max="12290" width="9" style="3284" bestFit="1" customWidth="1"/>
    <col min="12291" max="12291" width="15.375" style="3284" customWidth="1"/>
    <col min="12292" max="12292" width="9" style="3284" bestFit="1" customWidth="1"/>
    <col min="12293" max="12293" width="10.75" style="3284" customWidth="1"/>
    <col min="12294" max="12294" width="9" style="3284" bestFit="1" customWidth="1"/>
    <col min="12295" max="12295" width="11.25" style="3284" customWidth="1"/>
    <col min="12296" max="12296" width="9" style="3284" bestFit="1" customWidth="1"/>
    <col min="12297" max="12297" width="12" style="3284" customWidth="1"/>
    <col min="12298" max="12298" width="9" style="3284" bestFit="1" customWidth="1"/>
    <col min="12299" max="12299" width="11.25" style="3284" customWidth="1"/>
    <col min="12300" max="12300" width="9" style="3284" bestFit="1" customWidth="1"/>
    <col min="12301" max="12301" width="12" style="3284" customWidth="1"/>
    <col min="12302" max="12305" width="9" style="3284" bestFit="1" customWidth="1"/>
    <col min="12306" max="12306" width="13.125" style="3284" customWidth="1"/>
    <col min="12307" max="12308" width="9" style="3284" bestFit="1" customWidth="1"/>
    <col min="12309" max="12309" width="9.625" style="3284" customWidth="1"/>
    <col min="12310" max="12320" width="9" style="3284" bestFit="1" customWidth="1"/>
    <col min="12321" max="12544" width="8.875" style="3284"/>
    <col min="12545" max="12546" width="9" style="3284" bestFit="1" customWidth="1"/>
    <col min="12547" max="12547" width="15.375" style="3284" customWidth="1"/>
    <col min="12548" max="12548" width="9" style="3284" bestFit="1" customWidth="1"/>
    <col min="12549" max="12549" width="10.75" style="3284" customWidth="1"/>
    <col min="12550" max="12550" width="9" style="3284" bestFit="1" customWidth="1"/>
    <col min="12551" max="12551" width="11.25" style="3284" customWidth="1"/>
    <col min="12552" max="12552" width="9" style="3284" bestFit="1" customWidth="1"/>
    <col min="12553" max="12553" width="12" style="3284" customWidth="1"/>
    <col min="12554" max="12554" width="9" style="3284" bestFit="1" customWidth="1"/>
    <col min="12555" max="12555" width="11.25" style="3284" customWidth="1"/>
    <col min="12556" max="12556" width="9" style="3284" bestFit="1" customWidth="1"/>
    <col min="12557" max="12557" width="12" style="3284" customWidth="1"/>
    <col min="12558" max="12561" width="9" style="3284" bestFit="1" customWidth="1"/>
    <col min="12562" max="12562" width="13.125" style="3284" customWidth="1"/>
    <col min="12563" max="12564" width="9" style="3284" bestFit="1" customWidth="1"/>
    <col min="12565" max="12565" width="9.625" style="3284" customWidth="1"/>
    <col min="12566" max="12576" width="9" style="3284" bestFit="1" customWidth="1"/>
    <col min="12577" max="12800" width="8.875" style="3284"/>
    <col min="12801" max="12802" width="9" style="3284" bestFit="1" customWidth="1"/>
    <col min="12803" max="12803" width="15.375" style="3284" customWidth="1"/>
    <col min="12804" max="12804" width="9" style="3284" bestFit="1" customWidth="1"/>
    <col min="12805" max="12805" width="10.75" style="3284" customWidth="1"/>
    <col min="12806" max="12806" width="9" style="3284" bestFit="1" customWidth="1"/>
    <col min="12807" max="12807" width="11.25" style="3284" customWidth="1"/>
    <col min="12808" max="12808" width="9" style="3284" bestFit="1" customWidth="1"/>
    <col min="12809" max="12809" width="12" style="3284" customWidth="1"/>
    <col min="12810" max="12810" width="9" style="3284" bestFit="1" customWidth="1"/>
    <col min="12811" max="12811" width="11.25" style="3284" customWidth="1"/>
    <col min="12812" max="12812" width="9" style="3284" bestFit="1" customWidth="1"/>
    <col min="12813" max="12813" width="12" style="3284" customWidth="1"/>
    <col min="12814" max="12817" width="9" style="3284" bestFit="1" customWidth="1"/>
    <col min="12818" max="12818" width="13.125" style="3284" customWidth="1"/>
    <col min="12819" max="12820" width="9" style="3284" bestFit="1" customWidth="1"/>
    <col min="12821" max="12821" width="9.625" style="3284" customWidth="1"/>
    <col min="12822" max="12832" width="9" style="3284" bestFit="1" customWidth="1"/>
    <col min="12833" max="13056" width="8.875" style="3284"/>
    <col min="13057" max="13058" width="9" style="3284" bestFit="1" customWidth="1"/>
    <col min="13059" max="13059" width="15.375" style="3284" customWidth="1"/>
    <col min="13060" max="13060" width="9" style="3284" bestFit="1" customWidth="1"/>
    <col min="13061" max="13061" width="10.75" style="3284" customWidth="1"/>
    <col min="13062" max="13062" width="9" style="3284" bestFit="1" customWidth="1"/>
    <col min="13063" max="13063" width="11.25" style="3284" customWidth="1"/>
    <col min="13064" max="13064" width="9" style="3284" bestFit="1" customWidth="1"/>
    <col min="13065" max="13065" width="12" style="3284" customWidth="1"/>
    <col min="13066" max="13066" width="9" style="3284" bestFit="1" customWidth="1"/>
    <col min="13067" max="13067" width="11.25" style="3284" customWidth="1"/>
    <col min="13068" max="13068" width="9" style="3284" bestFit="1" customWidth="1"/>
    <col min="13069" max="13069" width="12" style="3284" customWidth="1"/>
    <col min="13070" max="13073" width="9" style="3284" bestFit="1" customWidth="1"/>
    <col min="13074" max="13074" width="13.125" style="3284" customWidth="1"/>
    <col min="13075" max="13076" width="9" style="3284" bestFit="1" customWidth="1"/>
    <col min="13077" max="13077" width="9.625" style="3284" customWidth="1"/>
    <col min="13078" max="13088" width="9" style="3284" bestFit="1" customWidth="1"/>
    <col min="13089" max="13312" width="8.875" style="3284"/>
    <col min="13313" max="13314" width="9" style="3284" bestFit="1" customWidth="1"/>
    <col min="13315" max="13315" width="15.375" style="3284" customWidth="1"/>
    <col min="13316" max="13316" width="9" style="3284" bestFit="1" customWidth="1"/>
    <col min="13317" max="13317" width="10.75" style="3284" customWidth="1"/>
    <col min="13318" max="13318" width="9" style="3284" bestFit="1" customWidth="1"/>
    <col min="13319" max="13319" width="11.25" style="3284" customWidth="1"/>
    <col min="13320" max="13320" width="9" style="3284" bestFit="1" customWidth="1"/>
    <col min="13321" max="13321" width="12" style="3284" customWidth="1"/>
    <col min="13322" max="13322" width="9" style="3284" bestFit="1" customWidth="1"/>
    <col min="13323" max="13323" width="11.25" style="3284" customWidth="1"/>
    <col min="13324" max="13324" width="9" style="3284" bestFit="1" customWidth="1"/>
    <col min="13325" max="13325" width="12" style="3284" customWidth="1"/>
    <col min="13326" max="13329" width="9" style="3284" bestFit="1" customWidth="1"/>
    <col min="13330" max="13330" width="13.125" style="3284" customWidth="1"/>
    <col min="13331" max="13332" width="9" style="3284" bestFit="1" customWidth="1"/>
    <col min="13333" max="13333" width="9.625" style="3284" customWidth="1"/>
    <col min="13334" max="13344" width="9" style="3284" bestFit="1" customWidth="1"/>
    <col min="13345" max="13568" width="8.875" style="3284"/>
    <col min="13569" max="13570" width="9" style="3284" bestFit="1" customWidth="1"/>
    <col min="13571" max="13571" width="15.375" style="3284" customWidth="1"/>
    <col min="13572" max="13572" width="9" style="3284" bestFit="1" customWidth="1"/>
    <col min="13573" max="13573" width="10.75" style="3284" customWidth="1"/>
    <col min="13574" max="13574" width="9" style="3284" bestFit="1" customWidth="1"/>
    <col min="13575" max="13575" width="11.25" style="3284" customWidth="1"/>
    <col min="13576" max="13576" width="9" style="3284" bestFit="1" customWidth="1"/>
    <col min="13577" max="13577" width="12" style="3284" customWidth="1"/>
    <col min="13578" max="13578" width="9" style="3284" bestFit="1" customWidth="1"/>
    <col min="13579" max="13579" width="11.25" style="3284" customWidth="1"/>
    <col min="13580" max="13580" width="9" style="3284" bestFit="1" customWidth="1"/>
    <col min="13581" max="13581" width="12" style="3284" customWidth="1"/>
    <col min="13582" max="13585" width="9" style="3284" bestFit="1" customWidth="1"/>
    <col min="13586" max="13586" width="13.125" style="3284" customWidth="1"/>
    <col min="13587" max="13588" width="9" style="3284" bestFit="1" customWidth="1"/>
    <col min="13589" max="13589" width="9.625" style="3284" customWidth="1"/>
    <col min="13590" max="13600" width="9" style="3284" bestFit="1" customWidth="1"/>
    <col min="13601" max="13824" width="8.875" style="3284"/>
    <col min="13825" max="13826" width="9" style="3284" bestFit="1" customWidth="1"/>
    <col min="13827" max="13827" width="15.375" style="3284" customWidth="1"/>
    <col min="13828" max="13828" width="9" style="3284" bestFit="1" customWidth="1"/>
    <col min="13829" max="13829" width="10.75" style="3284" customWidth="1"/>
    <col min="13830" max="13830" width="9" style="3284" bestFit="1" customWidth="1"/>
    <col min="13831" max="13831" width="11.25" style="3284" customWidth="1"/>
    <col min="13832" max="13832" width="9" style="3284" bestFit="1" customWidth="1"/>
    <col min="13833" max="13833" width="12" style="3284" customWidth="1"/>
    <col min="13834" max="13834" width="9" style="3284" bestFit="1" customWidth="1"/>
    <col min="13835" max="13835" width="11.25" style="3284" customWidth="1"/>
    <col min="13836" max="13836" width="9" style="3284" bestFit="1" customWidth="1"/>
    <col min="13837" max="13837" width="12" style="3284" customWidth="1"/>
    <col min="13838" max="13841" width="9" style="3284" bestFit="1" customWidth="1"/>
    <col min="13842" max="13842" width="13.125" style="3284" customWidth="1"/>
    <col min="13843" max="13844" width="9" style="3284" bestFit="1" customWidth="1"/>
    <col min="13845" max="13845" width="9.625" style="3284" customWidth="1"/>
    <col min="13846" max="13856" width="9" style="3284" bestFit="1" customWidth="1"/>
    <col min="13857" max="14080" width="8.875" style="3284"/>
    <col min="14081" max="14082" width="9" style="3284" bestFit="1" customWidth="1"/>
    <col min="14083" max="14083" width="15.375" style="3284" customWidth="1"/>
    <col min="14084" max="14084" width="9" style="3284" bestFit="1" customWidth="1"/>
    <col min="14085" max="14085" width="10.75" style="3284" customWidth="1"/>
    <col min="14086" max="14086" width="9" style="3284" bestFit="1" customWidth="1"/>
    <col min="14087" max="14087" width="11.25" style="3284" customWidth="1"/>
    <col min="14088" max="14088" width="9" style="3284" bestFit="1" customWidth="1"/>
    <col min="14089" max="14089" width="12" style="3284" customWidth="1"/>
    <col min="14090" max="14090" width="9" style="3284" bestFit="1" customWidth="1"/>
    <col min="14091" max="14091" width="11.25" style="3284" customWidth="1"/>
    <col min="14092" max="14092" width="9" style="3284" bestFit="1" customWidth="1"/>
    <col min="14093" max="14093" width="12" style="3284" customWidth="1"/>
    <col min="14094" max="14097" width="9" style="3284" bestFit="1" customWidth="1"/>
    <col min="14098" max="14098" width="13.125" style="3284" customWidth="1"/>
    <col min="14099" max="14100" width="9" style="3284" bestFit="1" customWidth="1"/>
    <col min="14101" max="14101" width="9.625" style="3284" customWidth="1"/>
    <col min="14102" max="14112" width="9" style="3284" bestFit="1" customWidth="1"/>
    <col min="14113" max="14336" width="8.875" style="3284"/>
    <col min="14337" max="14338" width="9" style="3284" bestFit="1" customWidth="1"/>
    <col min="14339" max="14339" width="15.375" style="3284" customWidth="1"/>
    <col min="14340" max="14340" width="9" style="3284" bestFit="1" customWidth="1"/>
    <col min="14341" max="14341" width="10.75" style="3284" customWidth="1"/>
    <col min="14342" max="14342" width="9" style="3284" bestFit="1" customWidth="1"/>
    <col min="14343" max="14343" width="11.25" style="3284" customWidth="1"/>
    <col min="14344" max="14344" width="9" style="3284" bestFit="1" customWidth="1"/>
    <col min="14345" max="14345" width="12" style="3284" customWidth="1"/>
    <col min="14346" max="14346" width="9" style="3284" bestFit="1" customWidth="1"/>
    <col min="14347" max="14347" width="11.25" style="3284" customWidth="1"/>
    <col min="14348" max="14348" width="9" style="3284" bestFit="1" customWidth="1"/>
    <col min="14349" max="14349" width="12" style="3284" customWidth="1"/>
    <col min="14350" max="14353" width="9" style="3284" bestFit="1" customWidth="1"/>
    <col min="14354" max="14354" width="13.125" style="3284" customWidth="1"/>
    <col min="14355" max="14356" width="9" style="3284" bestFit="1" customWidth="1"/>
    <col min="14357" max="14357" width="9.625" style="3284" customWidth="1"/>
    <col min="14358" max="14368" width="9" style="3284" bestFit="1" customWidth="1"/>
    <col min="14369" max="14592" width="8.875" style="3284"/>
    <col min="14593" max="14594" width="9" style="3284" bestFit="1" customWidth="1"/>
    <col min="14595" max="14595" width="15.375" style="3284" customWidth="1"/>
    <col min="14596" max="14596" width="9" style="3284" bestFit="1" customWidth="1"/>
    <col min="14597" max="14597" width="10.75" style="3284" customWidth="1"/>
    <col min="14598" max="14598" width="9" style="3284" bestFit="1" customWidth="1"/>
    <col min="14599" max="14599" width="11.25" style="3284" customWidth="1"/>
    <col min="14600" max="14600" width="9" style="3284" bestFit="1" customWidth="1"/>
    <col min="14601" max="14601" width="12" style="3284" customWidth="1"/>
    <col min="14602" max="14602" width="9" style="3284" bestFit="1" customWidth="1"/>
    <col min="14603" max="14603" width="11.25" style="3284" customWidth="1"/>
    <col min="14604" max="14604" width="9" style="3284" bestFit="1" customWidth="1"/>
    <col min="14605" max="14605" width="12" style="3284" customWidth="1"/>
    <col min="14606" max="14609" width="9" style="3284" bestFit="1" customWidth="1"/>
    <col min="14610" max="14610" width="13.125" style="3284" customWidth="1"/>
    <col min="14611" max="14612" width="9" style="3284" bestFit="1" customWidth="1"/>
    <col min="14613" max="14613" width="9.625" style="3284" customWidth="1"/>
    <col min="14614" max="14624" width="9" style="3284" bestFit="1" customWidth="1"/>
    <col min="14625" max="14848" width="8.875" style="3284"/>
    <col min="14849" max="14850" width="9" style="3284" bestFit="1" customWidth="1"/>
    <col min="14851" max="14851" width="15.375" style="3284" customWidth="1"/>
    <col min="14852" max="14852" width="9" style="3284" bestFit="1" customWidth="1"/>
    <col min="14853" max="14853" width="10.75" style="3284" customWidth="1"/>
    <col min="14854" max="14854" width="9" style="3284" bestFit="1" customWidth="1"/>
    <col min="14855" max="14855" width="11.25" style="3284" customWidth="1"/>
    <col min="14856" max="14856" width="9" style="3284" bestFit="1" customWidth="1"/>
    <col min="14857" max="14857" width="12" style="3284" customWidth="1"/>
    <col min="14858" max="14858" width="9" style="3284" bestFit="1" customWidth="1"/>
    <col min="14859" max="14859" width="11.25" style="3284" customWidth="1"/>
    <col min="14860" max="14860" width="9" style="3284" bestFit="1" customWidth="1"/>
    <col min="14861" max="14861" width="12" style="3284" customWidth="1"/>
    <col min="14862" max="14865" width="9" style="3284" bestFit="1" customWidth="1"/>
    <col min="14866" max="14866" width="13.125" style="3284" customWidth="1"/>
    <col min="14867" max="14868" width="9" style="3284" bestFit="1" customWidth="1"/>
    <col min="14869" max="14869" width="9.625" style="3284" customWidth="1"/>
    <col min="14870" max="14880" width="9" style="3284" bestFit="1" customWidth="1"/>
    <col min="14881" max="15104" width="8.875" style="3284"/>
    <col min="15105" max="15106" width="9" style="3284" bestFit="1" customWidth="1"/>
    <col min="15107" max="15107" width="15.375" style="3284" customWidth="1"/>
    <col min="15108" max="15108" width="9" style="3284" bestFit="1" customWidth="1"/>
    <col min="15109" max="15109" width="10.75" style="3284" customWidth="1"/>
    <col min="15110" max="15110" width="9" style="3284" bestFit="1" customWidth="1"/>
    <col min="15111" max="15111" width="11.25" style="3284" customWidth="1"/>
    <col min="15112" max="15112" width="9" style="3284" bestFit="1" customWidth="1"/>
    <col min="15113" max="15113" width="12" style="3284" customWidth="1"/>
    <col min="15114" max="15114" width="9" style="3284" bestFit="1" customWidth="1"/>
    <col min="15115" max="15115" width="11.25" style="3284" customWidth="1"/>
    <col min="15116" max="15116" width="9" style="3284" bestFit="1" customWidth="1"/>
    <col min="15117" max="15117" width="12" style="3284" customWidth="1"/>
    <col min="15118" max="15121" width="9" style="3284" bestFit="1" customWidth="1"/>
    <col min="15122" max="15122" width="13.125" style="3284" customWidth="1"/>
    <col min="15123" max="15124" width="9" style="3284" bestFit="1" customWidth="1"/>
    <col min="15125" max="15125" width="9.625" style="3284" customWidth="1"/>
    <col min="15126" max="15136" width="9" style="3284" bestFit="1" customWidth="1"/>
    <col min="15137" max="15360" width="8.875" style="3284"/>
    <col min="15361" max="15362" width="9" style="3284" bestFit="1" customWidth="1"/>
    <col min="15363" max="15363" width="15.375" style="3284" customWidth="1"/>
    <col min="15364" max="15364" width="9" style="3284" bestFit="1" customWidth="1"/>
    <col min="15365" max="15365" width="10.75" style="3284" customWidth="1"/>
    <col min="15366" max="15366" width="9" style="3284" bestFit="1" customWidth="1"/>
    <col min="15367" max="15367" width="11.25" style="3284" customWidth="1"/>
    <col min="15368" max="15368" width="9" style="3284" bestFit="1" customWidth="1"/>
    <col min="15369" max="15369" width="12" style="3284" customWidth="1"/>
    <col min="15370" max="15370" width="9" style="3284" bestFit="1" customWidth="1"/>
    <col min="15371" max="15371" width="11.25" style="3284" customWidth="1"/>
    <col min="15372" max="15372" width="9" style="3284" bestFit="1" customWidth="1"/>
    <col min="15373" max="15373" width="12" style="3284" customWidth="1"/>
    <col min="15374" max="15377" width="9" style="3284" bestFit="1" customWidth="1"/>
    <col min="15378" max="15378" width="13.125" style="3284" customWidth="1"/>
    <col min="15379" max="15380" width="9" style="3284" bestFit="1" customWidth="1"/>
    <col min="15381" max="15381" width="9.625" style="3284" customWidth="1"/>
    <col min="15382" max="15392" width="9" style="3284" bestFit="1" customWidth="1"/>
    <col min="15393" max="15616" width="8.875" style="3284"/>
    <col min="15617" max="15618" width="9" style="3284" bestFit="1" customWidth="1"/>
    <col min="15619" max="15619" width="15.375" style="3284" customWidth="1"/>
    <col min="15620" max="15620" width="9" style="3284" bestFit="1" customWidth="1"/>
    <col min="15621" max="15621" width="10.75" style="3284" customWidth="1"/>
    <col min="15622" max="15622" width="9" style="3284" bestFit="1" customWidth="1"/>
    <col min="15623" max="15623" width="11.25" style="3284" customWidth="1"/>
    <col min="15624" max="15624" width="9" style="3284" bestFit="1" customWidth="1"/>
    <col min="15625" max="15625" width="12" style="3284" customWidth="1"/>
    <col min="15626" max="15626" width="9" style="3284" bestFit="1" customWidth="1"/>
    <col min="15627" max="15627" width="11.25" style="3284" customWidth="1"/>
    <col min="15628" max="15628" width="9" style="3284" bestFit="1" customWidth="1"/>
    <col min="15629" max="15629" width="12" style="3284" customWidth="1"/>
    <col min="15630" max="15633" width="9" style="3284" bestFit="1" customWidth="1"/>
    <col min="15634" max="15634" width="13.125" style="3284" customWidth="1"/>
    <col min="15635" max="15636" width="9" style="3284" bestFit="1" customWidth="1"/>
    <col min="15637" max="15637" width="9.625" style="3284" customWidth="1"/>
    <col min="15638" max="15648" width="9" style="3284" bestFit="1" customWidth="1"/>
    <col min="15649" max="15872" width="8.875" style="3284"/>
    <col min="15873" max="15874" width="9" style="3284" bestFit="1" customWidth="1"/>
    <col min="15875" max="15875" width="15.375" style="3284" customWidth="1"/>
    <col min="15876" max="15876" width="9" style="3284" bestFit="1" customWidth="1"/>
    <col min="15877" max="15877" width="10.75" style="3284" customWidth="1"/>
    <col min="15878" max="15878" width="9" style="3284" bestFit="1" customWidth="1"/>
    <col min="15879" max="15879" width="11.25" style="3284" customWidth="1"/>
    <col min="15880" max="15880" width="9" style="3284" bestFit="1" customWidth="1"/>
    <col min="15881" max="15881" width="12" style="3284" customWidth="1"/>
    <col min="15882" max="15882" width="9" style="3284" bestFit="1" customWidth="1"/>
    <col min="15883" max="15883" width="11.25" style="3284" customWidth="1"/>
    <col min="15884" max="15884" width="9" style="3284" bestFit="1" customWidth="1"/>
    <col min="15885" max="15885" width="12" style="3284" customWidth="1"/>
    <col min="15886" max="15889" width="9" style="3284" bestFit="1" customWidth="1"/>
    <col min="15890" max="15890" width="13.125" style="3284" customWidth="1"/>
    <col min="15891" max="15892" width="9" style="3284" bestFit="1" customWidth="1"/>
    <col min="15893" max="15893" width="9.625" style="3284" customWidth="1"/>
    <col min="15894" max="15904" width="9" style="3284" bestFit="1" customWidth="1"/>
    <col min="15905" max="16128" width="8.875" style="3284"/>
    <col min="16129" max="16130" width="9" style="3284" bestFit="1" customWidth="1"/>
    <col min="16131" max="16131" width="15.375" style="3284" customWidth="1"/>
    <col min="16132" max="16132" width="9" style="3284" bestFit="1" customWidth="1"/>
    <col min="16133" max="16133" width="10.75" style="3284" customWidth="1"/>
    <col min="16134" max="16134" width="9" style="3284" bestFit="1" customWidth="1"/>
    <col min="16135" max="16135" width="11.25" style="3284" customWidth="1"/>
    <col min="16136" max="16136" width="9" style="3284" bestFit="1" customWidth="1"/>
    <col min="16137" max="16137" width="12" style="3284" customWidth="1"/>
    <col min="16138" max="16138" width="9" style="3284" bestFit="1" customWidth="1"/>
    <col min="16139" max="16139" width="11.25" style="3284" customWidth="1"/>
    <col min="16140" max="16140" width="9" style="3284" bestFit="1" customWidth="1"/>
    <col min="16141" max="16141" width="12" style="3284" customWidth="1"/>
    <col min="16142" max="16145" width="9" style="3284" bestFit="1" customWidth="1"/>
    <col min="16146" max="16146" width="13.125" style="3284" customWidth="1"/>
    <col min="16147" max="16148" width="9" style="3284" bestFit="1" customWidth="1"/>
    <col min="16149" max="16149" width="9.625" style="3284" customWidth="1"/>
    <col min="16150" max="16160" width="9" style="3284" bestFit="1" customWidth="1"/>
    <col min="16161" max="16384" width="8.875" style="3284"/>
  </cols>
  <sheetData>
    <row r="1" spans="1:22">
      <c r="A1" s="4231" t="s">
        <v>3095</v>
      </c>
      <c r="B1" s="4231"/>
      <c r="C1" s="4231"/>
      <c r="D1" s="4231"/>
      <c r="E1" s="4231"/>
      <c r="F1" s="4231"/>
      <c r="G1" s="4231"/>
      <c r="H1" s="4231"/>
      <c r="I1" s="4231"/>
      <c r="J1" s="4231"/>
    </row>
    <row r="2" spans="1:22">
      <c r="A2" s="3285"/>
      <c r="B2" s="3285"/>
      <c r="C2" s="3285"/>
      <c r="D2" s="3285"/>
      <c r="E2" s="3285"/>
      <c r="F2" s="3285"/>
      <c r="G2" s="3285"/>
      <c r="H2" s="3285"/>
      <c r="I2" s="3285"/>
      <c r="J2" s="3285"/>
      <c r="K2" s="3285"/>
      <c r="L2" s="3285"/>
      <c r="M2" s="3285"/>
      <c r="N2" s="3285"/>
    </row>
    <row r="3" spans="1:22" ht="15">
      <c r="A3" s="4232" t="s">
        <v>2361</v>
      </c>
      <c r="B3" s="4232"/>
      <c r="C3" s="4233" t="s">
        <v>3096</v>
      </c>
      <c r="D3" s="4233"/>
      <c r="E3" s="4233" t="s">
        <v>3097</v>
      </c>
      <c r="F3" s="4233"/>
      <c r="G3" s="4233" t="s">
        <v>3098</v>
      </c>
      <c r="H3" s="4233"/>
      <c r="I3" s="4233" t="s">
        <v>3099</v>
      </c>
      <c r="J3" s="4233"/>
      <c r="K3" s="4233" t="s">
        <v>3100</v>
      </c>
      <c r="L3" s="4233"/>
      <c r="M3" s="4233" t="s">
        <v>3101</v>
      </c>
      <c r="N3" s="4233"/>
      <c r="P3" s="1977"/>
      <c r="Q3" s="1977"/>
      <c r="R3" s="1977"/>
      <c r="S3" s="1977"/>
      <c r="T3" s="3286"/>
      <c r="U3" s="3287"/>
      <c r="V3" s="1977"/>
    </row>
    <row r="4" spans="1:22" ht="48.75" customHeight="1">
      <c r="A4" s="4232" t="s">
        <v>3102</v>
      </c>
      <c r="B4" s="4232"/>
      <c r="C4" s="4234"/>
      <c r="D4" s="4235"/>
      <c r="E4" s="4236" t="str">
        <f>[4]土地案例!F10</f>
        <v>顺义区高丽营镇于庄土地一级开发项目03-21、03-31地块</v>
      </c>
      <c r="F4" s="4235"/>
      <c r="G4" s="4236" t="str">
        <f>[4]土地案例!F12</f>
        <v>怀柔区怀柔镇04街区HR00-0004-6001、6002、6003、6004地块F2用地及0050地块供燃气用地</v>
      </c>
      <c r="H4" s="4235"/>
      <c r="I4" s="4236" t="str">
        <f>[4]土地案例!F14</f>
        <v>顺义区国际鲜花港土地一级开发项目A-01地块</v>
      </c>
      <c r="J4" s="4235"/>
      <c r="K4" s="4236" t="str">
        <f>[4]土地案例!F19</f>
        <v>顺义卫星城牛栏山组团东南部土地一级开发项目SY00-0017-6001、1103、1202等地块</v>
      </c>
      <c r="L4" s="4235"/>
      <c r="M4" s="4236" t="str">
        <f>[4]土地案例!F28</f>
        <v>怀柔区雁栖镇陈各庄村土地一级开发项目</v>
      </c>
      <c r="N4" s="4235"/>
      <c r="P4" s="3288"/>
      <c r="Q4" s="1977"/>
      <c r="R4" s="3288"/>
      <c r="S4" s="1977"/>
      <c r="T4" s="3286"/>
      <c r="U4" s="3287"/>
      <c r="V4" s="3287"/>
    </row>
    <row r="5" spans="1:22" ht="10.5" customHeight="1">
      <c r="A5" s="4232" t="s">
        <v>3103</v>
      </c>
      <c r="B5" s="4232"/>
      <c r="C5" s="4240" t="s">
        <v>3104</v>
      </c>
      <c r="D5" s="4235"/>
      <c r="E5" s="4234">
        <f>[5]橡树湾数据!H7</f>
        <v>109.08</v>
      </c>
      <c r="F5" s="4235"/>
      <c r="G5" s="4234">
        <f>[5]领秀硅谷数据!H6</f>
        <v>101.33</v>
      </c>
      <c r="H5" s="4235"/>
      <c r="I5" s="4234">
        <f>[5]毛纺厂西数据!H6</f>
        <v>110.5</v>
      </c>
      <c r="J5" s="4235"/>
      <c r="K5" s="4234">
        <f>[5]专家国际花园数据!H6</f>
        <v>102</v>
      </c>
      <c r="L5" s="4235"/>
      <c r="M5" s="4234">
        <f>[5]尚品公寓数据!H6</f>
        <v>98.25</v>
      </c>
      <c r="N5" s="4235"/>
      <c r="P5" s="3289"/>
      <c r="Q5" s="3290"/>
      <c r="R5" s="3291"/>
      <c r="S5" s="3290"/>
      <c r="T5" s="3286"/>
      <c r="U5" s="3287"/>
      <c r="V5" s="3287"/>
    </row>
    <row r="6" spans="1:22" ht="15">
      <c r="A6" s="4232" t="s">
        <v>3105</v>
      </c>
      <c r="B6" s="4232"/>
      <c r="C6" s="3292">
        <v>44268</v>
      </c>
      <c r="D6" s="3293">
        <v>100</v>
      </c>
      <c r="E6" s="3294">
        <v>2017.3</v>
      </c>
      <c r="F6" s="3293">
        <f>T39</f>
        <v>98.4</v>
      </c>
      <c r="G6" s="3294">
        <v>2017.3</v>
      </c>
      <c r="H6" s="3293">
        <v>98.4</v>
      </c>
      <c r="I6" s="3294" t="s">
        <v>3106</v>
      </c>
      <c r="J6" s="3293">
        <f>T38</f>
        <v>98.3</v>
      </c>
      <c r="K6" s="3294" t="s">
        <v>3107</v>
      </c>
      <c r="L6" s="3293">
        <f>T37</f>
        <v>98.3</v>
      </c>
      <c r="M6" s="3294" t="s">
        <v>3108</v>
      </c>
      <c r="N6" s="3293">
        <f>T32</f>
        <v>98.7</v>
      </c>
      <c r="P6" s="3295"/>
      <c r="Q6" s="3290"/>
      <c r="R6" s="3291"/>
      <c r="S6" s="3290"/>
      <c r="T6" s="3286"/>
      <c r="U6" s="3287"/>
      <c r="V6" s="3287"/>
    </row>
    <row r="7" spans="1:22" ht="15">
      <c r="A7" s="4232" t="s">
        <v>3109</v>
      </c>
      <c r="B7" s="4232"/>
      <c r="C7" s="3296" t="s">
        <v>3110</v>
      </c>
      <c r="D7" s="3297">
        <v>100</v>
      </c>
      <c r="E7" s="3296" t="s">
        <v>3110</v>
      </c>
      <c r="F7" s="3297">
        <v>100</v>
      </c>
      <c r="G7" s="3296" t="s">
        <v>3110</v>
      </c>
      <c r="H7" s="3297">
        <f>IF(G7=C7,100,"请调整")</f>
        <v>100</v>
      </c>
      <c r="I7" s="3296" t="s">
        <v>3110</v>
      </c>
      <c r="J7" s="3297">
        <f>IF(I7=C7,100,"请调整")</f>
        <v>100</v>
      </c>
      <c r="K7" s="3296" t="s">
        <v>3110</v>
      </c>
      <c r="L7" s="3297">
        <f>IF(K7=G7,100,"请调整")</f>
        <v>100</v>
      </c>
      <c r="M7" s="3296" t="s">
        <v>3110</v>
      </c>
      <c r="N7" s="3297">
        <f>IF(M7=G7,100,"请调整")</f>
        <v>100</v>
      </c>
      <c r="P7" s="3295"/>
      <c r="Q7" s="3290"/>
      <c r="R7" s="3291"/>
      <c r="S7" s="3290"/>
      <c r="T7" s="3286"/>
      <c r="U7" s="3287"/>
      <c r="V7" s="3287"/>
    </row>
    <row r="8" spans="1:22" ht="24">
      <c r="A8" s="4237" t="s">
        <v>3111</v>
      </c>
      <c r="B8" s="3298" t="s">
        <v>1646</v>
      </c>
      <c r="C8" s="3296" t="s">
        <v>3092</v>
      </c>
      <c r="D8" s="3296">
        <v>100</v>
      </c>
      <c r="E8" s="3296" t="s">
        <v>3094</v>
      </c>
      <c r="F8" s="3296">
        <v>125</v>
      </c>
      <c r="G8" s="3296" t="s">
        <v>3094</v>
      </c>
      <c r="H8" s="3296">
        <f>F8</f>
        <v>125</v>
      </c>
      <c r="I8" s="3296" t="s">
        <v>3094</v>
      </c>
      <c r="J8" s="3296">
        <f>H8</f>
        <v>125</v>
      </c>
      <c r="K8" s="3296" t="s">
        <v>3094</v>
      </c>
      <c r="L8" s="3296">
        <f>J8</f>
        <v>125</v>
      </c>
      <c r="M8" s="3296" t="s">
        <v>3092</v>
      </c>
      <c r="N8" s="3297">
        <v>100</v>
      </c>
      <c r="P8" s="3295"/>
      <c r="Q8" s="3290"/>
      <c r="R8" s="3299"/>
      <c r="S8" s="3290"/>
      <c r="T8" s="3286"/>
      <c r="U8" s="3287"/>
      <c r="V8" s="3287"/>
    </row>
    <row r="9" spans="1:22" ht="15">
      <c r="A9" s="4238"/>
      <c r="B9" s="3298" t="s">
        <v>3112</v>
      </c>
      <c r="C9" s="3296" t="s">
        <v>3092</v>
      </c>
      <c r="D9" s="3296">
        <v>100</v>
      </c>
      <c r="E9" s="3296" t="s">
        <v>3092</v>
      </c>
      <c r="F9" s="3296">
        <v>100</v>
      </c>
      <c r="G9" s="3296" t="s">
        <v>3092</v>
      </c>
      <c r="H9" s="3296">
        <v>100</v>
      </c>
      <c r="I9" s="3296" t="s">
        <v>3092</v>
      </c>
      <c r="J9" s="3296">
        <v>100</v>
      </c>
      <c r="K9" s="3296" t="s">
        <v>3092</v>
      </c>
      <c r="L9" s="3296">
        <v>100</v>
      </c>
      <c r="M9" s="3296" t="s">
        <v>3092</v>
      </c>
      <c r="N9" s="3297">
        <v>100</v>
      </c>
      <c r="P9" s="3295"/>
      <c r="Q9" s="3290"/>
      <c r="R9" s="3299"/>
      <c r="S9" s="3290"/>
      <c r="T9" s="3286"/>
      <c r="U9" s="3287"/>
      <c r="V9" s="3287"/>
    </row>
    <row r="10" spans="1:22" ht="24">
      <c r="A10" s="4238"/>
      <c r="B10" s="3298" t="s">
        <v>3113</v>
      </c>
      <c r="C10" s="3296" t="s">
        <v>3114</v>
      </c>
      <c r="D10" s="3296">
        <v>100</v>
      </c>
      <c r="E10" s="3916" t="s">
        <v>3115</v>
      </c>
      <c r="F10" s="3916">
        <v>124</v>
      </c>
      <c r="G10" s="3296" t="s">
        <v>3114</v>
      </c>
      <c r="H10" s="3296">
        <v>100</v>
      </c>
      <c r="I10" s="3296" t="s">
        <v>3116</v>
      </c>
      <c r="J10" s="3296">
        <v>115</v>
      </c>
      <c r="K10" s="3296" t="s">
        <v>3116</v>
      </c>
      <c r="L10" s="3296">
        <v>115</v>
      </c>
      <c r="M10" s="3296" t="s">
        <v>3114</v>
      </c>
      <c r="N10" s="3297">
        <v>100</v>
      </c>
      <c r="P10" s="3290"/>
      <c r="Q10" s="3290"/>
      <c r="R10" s="3290"/>
      <c r="S10" s="3290"/>
      <c r="T10" s="3286"/>
      <c r="U10" s="3287"/>
      <c r="V10" s="3287"/>
    </row>
    <row r="11" spans="1:22" ht="48">
      <c r="A11" s="4238"/>
      <c r="B11" s="3300" t="s">
        <v>3117</v>
      </c>
      <c r="C11" s="3298" t="s">
        <v>3118</v>
      </c>
      <c r="D11" s="3296">
        <v>100</v>
      </c>
      <c r="E11" s="3922" t="s">
        <v>3119</v>
      </c>
      <c r="F11" s="3916">
        <v>124</v>
      </c>
      <c r="G11" s="3922" t="s">
        <v>3119</v>
      </c>
      <c r="H11" s="3917">
        <f>F11</f>
        <v>124</v>
      </c>
      <c r="I11" s="3298" t="s">
        <v>3119</v>
      </c>
      <c r="J11" s="3297">
        <f>H11</f>
        <v>124</v>
      </c>
      <c r="K11" s="3298" t="s">
        <v>3119</v>
      </c>
      <c r="L11" s="3297">
        <f>J11</f>
        <v>124</v>
      </c>
      <c r="M11" s="3922" t="s">
        <v>3118</v>
      </c>
      <c r="N11" s="3917">
        <f>L11</f>
        <v>124</v>
      </c>
      <c r="P11" s="3290"/>
      <c r="Q11" s="3290"/>
      <c r="R11" s="3291"/>
      <c r="S11" s="3290"/>
      <c r="T11" s="3286"/>
      <c r="U11" s="3287"/>
      <c r="V11" s="3287"/>
    </row>
    <row r="12" spans="1:22" ht="31.5" hidden="1" customHeight="1">
      <c r="A12" s="4238"/>
      <c r="B12" s="3298" t="s">
        <v>3113</v>
      </c>
      <c r="C12" s="3296" t="s">
        <v>3114</v>
      </c>
      <c r="D12" s="3297">
        <v>100</v>
      </c>
      <c r="E12" s="3296" t="s">
        <v>3115</v>
      </c>
      <c r="F12" s="3297">
        <v>100</v>
      </c>
      <c r="G12" s="3296" t="s">
        <v>3114</v>
      </c>
      <c r="H12" s="3297">
        <v>100</v>
      </c>
      <c r="I12" s="3296" t="s">
        <v>3116</v>
      </c>
      <c r="J12" s="3297">
        <v>100</v>
      </c>
      <c r="K12" s="3296" t="s">
        <v>3116</v>
      </c>
      <c r="L12" s="3296">
        <v>100</v>
      </c>
      <c r="M12" s="3296" t="s">
        <v>3114</v>
      </c>
      <c r="N12" s="3297">
        <v>100</v>
      </c>
    </row>
    <row r="13" spans="1:22" ht="24">
      <c r="A13" s="4239"/>
      <c r="B13" s="3298" t="s">
        <v>3120</v>
      </c>
      <c r="C13" s="3296" t="s">
        <v>3094</v>
      </c>
      <c r="D13" s="3297">
        <v>100</v>
      </c>
      <c r="E13" s="3296" t="s">
        <v>3094</v>
      </c>
      <c r="F13" s="3297">
        <v>100</v>
      </c>
      <c r="G13" s="3296" t="s">
        <v>3094</v>
      </c>
      <c r="H13" s="3297">
        <v>100</v>
      </c>
      <c r="I13" s="3296" t="s">
        <v>3094</v>
      </c>
      <c r="J13" s="3297">
        <v>100</v>
      </c>
      <c r="K13" s="3296" t="s">
        <v>3094</v>
      </c>
      <c r="L13" s="3296">
        <v>100</v>
      </c>
      <c r="M13" s="3296" t="s">
        <v>3094</v>
      </c>
      <c r="N13" s="3297">
        <v>100</v>
      </c>
    </row>
    <row r="14" spans="1:22">
      <c r="A14" s="4241" t="s">
        <v>3121</v>
      </c>
      <c r="B14" s="3300" t="s">
        <v>3122</v>
      </c>
      <c r="C14" s="3296" t="s">
        <v>3123</v>
      </c>
      <c r="D14" s="3297">
        <v>100</v>
      </c>
      <c r="E14" s="3296" t="s">
        <v>3124</v>
      </c>
      <c r="F14" s="3297">
        <v>125</v>
      </c>
      <c r="G14" s="3296" t="s">
        <v>3124</v>
      </c>
      <c r="H14" s="3297">
        <f>F14</f>
        <v>125</v>
      </c>
      <c r="I14" s="3296" t="s">
        <v>3124</v>
      </c>
      <c r="J14" s="3297">
        <f>H14</f>
        <v>125</v>
      </c>
      <c r="K14" s="3296" t="s">
        <v>3124</v>
      </c>
      <c r="L14" s="3297">
        <f>J14</f>
        <v>125</v>
      </c>
      <c r="M14" s="3296" t="s">
        <v>3124</v>
      </c>
      <c r="N14" s="3297">
        <f>L14</f>
        <v>125</v>
      </c>
    </row>
    <row r="15" spans="1:22" ht="24" customHeight="1">
      <c r="A15" s="4242"/>
      <c r="B15" s="3300" t="s">
        <v>3125</v>
      </c>
      <c r="C15" s="3296" t="s">
        <v>3126</v>
      </c>
      <c r="D15" s="3297">
        <v>100</v>
      </c>
      <c r="E15" s="3916" t="s">
        <v>3127</v>
      </c>
      <c r="F15" s="3917">
        <v>97</v>
      </c>
      <c r="G15" s="3916" t="s">
        <v>3127</v>
      </c>
      <c r="H15" s="3917">
        <v>97</v>
      </c>
      <c r="I15" s="3296" t="s">
        <v>3127</v>
      </c>
      <c r="J15" s="3297">
        <f>F15</f>
        <v>97</v>
      </c>
      <c r="K15" s="3296" t="s">
        <v>3127</v>
      </c>
      <c r="L15" s="3297">
        <f>F15</f>
        <v>97</v>
      </c>
      <c r="M15" s="3916" t="s">
        <v>3128</v>
      </c>
      <c r="N15" s="3917">
        <v>101.5</v>
      </c>
    </row>
    <row r="16" spans="1:22">
      <c r="A16" s="4242"/>
      <c r="B16" s="3300" t="s">
        <v>3129</v>
      </c>
      <c r="C16" s="3296" t="s">
        <v>3130</v>
      </c>
      <c r="D16" s="3297">
        <v>100</v>
      </c>
      <c r="E16" s="3296" t="s">
        <v>3131</v>
      </c>
      <c r="F16" s="3297">
        <v>125</v>
      </c>
      <c r="G16" s="3296" t="s">
        <v>3131</v>
      </c>
      <c r="H16" s="3297">
        <f>F16</f>
        <v>125</v>
      </c>
      <c r="I16" s="3296" t="s">
        <v>3131</v>
      </c>
      <c r="J16" s="3297">
        <f>H16</f>
        <v>125</v>
      </c>
      <c r="K16" s="3296" t="s">
        <v>3131</v>
      </c>
      <c r="L16" s="3297">
        <f>J16</f>
        <v>125</v>
      </c>
      <c r="M16" s="3296" t="s">
        <v>3131</v>
      </c>
      <c r="N16" s="3297">
        <f>L16</f>
        <v>125</v>
      </c>
      <c r="P16" s="3339" t="s">
        <v>3221</v>
      </c>
      <c r="Q16" s="2371"/>
      <c r="R16" s="2371"/>
      <c r="S16" s="3339" t="s">
        <v>3220</v>
      </c>
      <c r="T16" s="2371"/>
    </row>
    <row r="17" spans="1:20" ht="24">
      <c r="A17" s="4243"/>
      <c r="B17" s="3300" t="s">
        <v>3132</v>
      </c>
      <c r="C17" s="3296">
        <f>'数据-汇总表'!D3/10000</f>
        <v>2.6088749999999998</v>
      </c>
      <c r="D17" s="3297">
        <v>100</v>
      </c>
      <c r="E17" s="3296">
        <v>96.99</v>
      </c>
      <c r="F17" s="3297">
        <v>102</v>
      </c>
      <c r="G17" s="3296">
        <v>116.6</v>
      </c>
      <c r="H17" s="3297">
        <v>104</v>
      </c>
      <c r="I17" s="3296">
        <v>19.989999999999998</v>
      </c>
      <c r="J17" s="3297">
        <v>98</v>
      </c>
      <c r="K17" s="3296">
        <v>132.25</v>
      </c>
      <c r="L17" s="3297">
        <v>104</v>
      </c>
      <c r="M17" s="3296">
        <v>49.58</v>
      </c>
      <c r="N17" s="3297">
        <v>98</v>
      </c>
      <c r="P17" s="3340" t="s">
        <v>3204</v>
      </c>
      <c r="Q17" s="3341">
        <f>地价!Q6</f>
        <v>2.69E-2</v>
      </c>
      <c r="R17" s="3341">
        <f>1+Q17</f>
        <v>1.0268999999999999</v>
      </c>
      <c r="S17" s="3342">
        <f>100/R17</f>
        <v>97.380465478624998</v>
      </c>
      <c r="T17" s="2371"/>
    </row>
    <row r="18" spans="1:20" ht="36" hidden="1">
      <c r="A18" s="4237" t="s">
        <v>3133</v>
      </c>
      <c r="B18" s="3298" t="s">
        <v>3134</v>
      </c>
      <c r="C18" s="3296" t="s">
        <v>3135</v>
      </c>
      <c r="D18" s="3297">
        <v>100</v>
      </c>
      <c r="E18" s="3296" t="s">
        <v>3135</v>
      </c>
      <c r="F18" s="3297">
        <v>100</v>
      </c>
      <c r="G18" s="3296" t="s">
        <v>3135</v>
      </c>
      <c r="H18" s="3297">
        <v>100</v>
      </c>
      <c r="I18" s="3296" t="s">
        <v>3135</v>
      </c>
      <c r="J18" s="3297">
        <v>100</v>
      </c>
      <c r="K18" s="3296" t="s">
        <v>3135</v>
      </c>
      <c r="L18" s="3297">
        <v>100</v>
      </c>
      <c r="M18" s="3296" t="s">
        <v>3135</v>
      </c>
      <c r="N18" s="3297">
        <v>100</v>
      </c>
      <c r="P18" s="3343"/>
      <c r="Q18" s="3344">
        <f>地价!Q7</f>
        <v>7.000000000000001E-4</v>
      </c>
      <c r="R18" s="3344">
        <f t="shared" ref="R18:R39" si="0">1+Q18</f>
        <v>1.0006999999999999</v>
      </c>
      <c r="S18" s="2371">
        <f t="shared" ref="S18:S39" si="1">100/R18</f>
        <v>99.930048965723998</v>
      </c>
      <c r="T18" s="2371"/>
    </row>
    <row r="19" spans="1:20" ht="24" hidden="1">
      <c r="A19" s="4238"/>
      <c r="B19" s="3298" t="s">
        <v>3136</v>
      </c>
      <c r="C19" s="3301" t="s">
        <v>3137</v>
      </c>
      <c r="D19" s="3297">
        <v>100</v>
      </c>
      <c r="E19" s="3301" t="s">
        <v>3137</v>
      </c>
      <c r="F19" s="3297">
        <v>100</v>
      </c>
      <c r="G19" s="3301" t="s">
        <v>3137</v>
      </c>
      <c r="H19" s="3297">
        <v>100</v>
      </c>
      <c r="I19" s="3301" t="s">
        <v>3137</v>
      </c>
      <c r="J19" s="3297">
        <v>100</v>
      </c>
      <c r="K19" s="3301" t="s">
        <v>3137</v>
      </c>
      <c r="L19" s="3297">
        <v>100</v>
      </c>
      <c r="M19" s="3301" t="s">
        <v>3137</v>
      </c>
      <c r="N19" s="3297">
        <v>100</v>
      </c>
      <c r="P19" s="3343"/>
      <c r="Q19" s="3344">
        <f>地价!Q8</f>
        <v>4.6999999999999993E-3</v>
      </c>
      <c r="R19" s="3344">
        <f t="shared" si="0"/>
        <v>1.0046999999999999</v>
      </c>
      <c r="S19" s="2371">
        <f t="shared" si="1"/>
        <v>99.532198666268542</v>
      </c>
      <c r="T19" s="2371"/>
    </row>
    <row r="20" spans="1:20" ht="24" hidden="1">
      <c r="A20" s="4238"/>
      <c r="B20" s="3298" t="s">
        <v>3138</v>
      </c>
      <c r="C20" s="3296" t="s">
        <v>3139</v>
      </c>
      <c r="D20" s="3297">
        <v>100</v>
      </c>
      <c r="E20" s="3296" t="s">
        <v>3139</v>
      </c>
      <c r="F20" s="3297">
        <v>100</v>
      </c>
      <c r="G20" s="3296" t="s">
        <v>3139</v>
      </c>
      <c r="H20" s="3297">
        <v>100</v>
      </c>
      <c r="I20" s="3296" t="s">
        <v>3139</v>
      </c>
      <c r="J20" s="3297">
        <v>100</v>
      </c>
      <c r="K20" s="3296" t="s">
        <v>3139</v>
      </c>
      <c r="L20" s="3297">
        <v>100</v>
      </c>
      <c r="M20" s="3296" t="s">
        <v>3139</v>
      </c>
      <c r="N20" s="3297">
        <v>100</v>
      </c>
      <c r="P20" s="3343"/>
      <c r="Q20" s="3344">
        <f>地价!Q9</f>
        <v>2.7000000000000001E-3</v>
      </c>
      <c r="R20" s="3344">
        <f t="shared" si="0"/>
        <v>1.0026999999999999</v>
      </c>
      <c r="S20" s="2371">
        <f t="shared" si="1"/>
        <v>99.730727037000108</v>
      </c>
      <c r="T20" s="2371"/>
    </row>
    <row r="21" spans="1:20" ht="48" hidden="1">
      <c r="A21" s="4238"/>
      <c r="B21" s="3298" t="s">
        <v>3140</v>
      </c>
      <c r="C21" s="3296" t="s">
        <v>3141</v>
      </c>
      <c r="D21" s="3297">
        <v>100</v>
      </c>
      <c r="E21" s="3296" t="s">
        <v>3142</v>
      </c>
      <c r="F21" s="3302">
        <v>100</v>
      </c>
      <c r="G21" s="3296" t="s">
        <v>3142</v>
      </c>
      <c r="H21" s="3302">
        <v>100</v>
      </c>
      <c r="I21" s="3296" t="s">
        <v>3142</v>
      </c>
      <c r="J21" s="3302">
        <v>100</v>
      </c>
      <c r="K21" s="3296" t="s">
        <v>3142</v>
      </c>
      <c r="L21" s="3302">
        <v>100</v>
      </c>
      <c r="M21" s="3296" t="s">
        <v>3142</v>
      </c>
      <c r="N21" s="3302">
        <v>100</v>
      </c>
      <c r="P21" s="3343"/>
      <c r="Q21" s="3344">
        <f>地价!Q10</f>
        <v>4.7999999999999996E-3</v>
      </c>
      <c r="R21" s="3344">
        <f t="shared" si="0"/>
        <v>1.0047999999999999</v>
      </c>
      <c r="S21" s="2371">
        <f t="shared" si="1"/>
        <v>99.522292993630586</v>
      </c>
      <c r="T21" s="2371"/>
    </row>
    <row r="22" spans="1:20" ht="36" hidden="1">
      <c r="A22" s="4238"/>
      <c r="B22" s="3298" t="s">
        <v>3143</v>
      </c>
      <c r="C22" s="3296" t="s">
        <v>3144</v>
      </c>
      <c r="D22" s="3297">
        <v>100</v>
      </c>
      <c r="E22" s="3296" t="s">
        <v>3144</v>
      </c>
      <c r="F22" s="3297">
        <v>100</v>
      </c>
      <c r="G22" s="3296" t="s">
        <v>3144</v>
      </c>
      <c r="H22" s="3297">
        <v>100</v>
      </c>
      <c r="I22" s="3296" t="s">
        <v>3144</v>
      </c>
      <c r="J22" s="3297">
        <v>100</v>
      </c>
      <c r="K22" s="3296" t="s">
        <v>3144</v>
      </c>
      <c r="L22" s="3297">
        <v>100</v>
      </c>
      <c r="M22" s="3296" t="s">
        <v>3144</v>
      </c>
      <c r="N22" s="3297">
        <v>100</v>
      </c>
      <c r="P22" s="3343"/>
      <c r="Q22" s="3344">
        <f>地价!Q11</f>
        <v>1.03E-2</v>
      </c>
      <c r="R22" s="3344">
        <f t="shared" si="0"/>
        <v>1.0103</v>
      </c>
      <c r="S22" s="2371">
        <f t="shared" si="1"/>
        <v>98.980500841334262</v>
      </c>
      <c r="T22" s="2371"/>
    </row>
    <row r="23" spans="1:20" ht="24" hidden="1">
      <c r="A23" s="4238"/>
      <c r="B23" s="3298" t="s">
        <v>3145</v>
      </c>
      <c r="C23" s="3296" t="s">
        <v>3146</v>
      </c>
      <c r="D23" s="3297">
        <v>100</v>
      </c>
      <c r="E23" s="3296" t="s">
        <v>3146</v>
      </c>
      <c r="F23" s="3297">
        <v>100</v>
      </c>
      <c r="G23" s="3296" t="s">
        <v>3146</v>
      </c>
      <c r="H23" s="3297">
        <v>100</v>
      </c>
      <c r="I23" s="3296" t="s">
        <v>3146</v>
      </c>
      <c r="J23" s="3297">
        <v>100</v>
      </c>
      <c r="K23" s="3296" t="s">
        <v>3146</v>
      </c>
      <c r="L23" s="3297">
        <v>100</v>
      </c>
      <c r="M23" s="3296" t="s">
        <v>3146</v>
      </c>
      <c r="N23" s="3297">
        <v>100</v>
      </c>
      <c r="P23" s="3343"/>
      <c r="Q23" s="3344">
        <f>地价!Q12</f>
        <v>1.2500000000000001E-2</v>
      </c>
      <c r="R23" s="3344">
        <f t="shared" si="0"/>
        <v>1.0125</v>
      </c>
      <c r="S23" s="2371">
        <f t="shared" si="1"/>
        <v>98.76543209876543</v>
      </c>
      <c r="T23" s="2371"/>
    </row>
    <row r="24" spans="1:20" ht="36" hidden="1">
      <c r="A24" s="4239"/>
      <c r="B24" s="3298" t="s">
        <v>3147</v>
      </c>
      <c r="C24" s="3296" t="s">
        <v>3148</v>
      </c>
      <c r="D24" s="3297">
        <v>100</v>
      </c>
      <c r="E24" s="3296" t="s">
        <v>3149</v>
      </c>
      <c r="F24" s="3302">
        <v>100</v>
      </c>
      <c r="G24" s="3296" t="s">
        <v>3149</v>
      </c>
      <c r="H24" s="3302">
        <v>100</v>
      </c>
      <c r="I24" s="3296" t="s">
        <v>3149</v>
      </c>
      <c r="J24" s="3302">
        <v>100</v>
      </c>
      <c r="K24" s="3296" t="s">
        <v>3149</v>
      </c>
      <c r="L24" s="3302">
        <v>100</v>
      </c>
      <c r="M24" s="3296" t="s">
        <v>3149</v>
      </c>
      <c r="N24" s="3302">
        <v>100</v>
      </c>
      <c r="P24" s="3343"/>
      <c r="Q24" s="3344">
        <f>地价!Q13</f>
        <v>1.1299999999999999E-2</v>
      </c>
      <c r="R24" s="3344">
        <f t="shared" si="0"/>
        <v>1.0113000000000001</v>
      </c>
      <c r="S24" s="2371">
        <f t="shared" si="1"/>
        <v>98.882626322555112</v>
      </c>
      <c r="T24" s="2371"/>
    </row>
    <row r="25" spans="1:20">
      <c r="A25" s="4232" t="s">
        <v>3150</v>
      </c>
      <c r="B25" s="4232"/>
      <c r="C25" s="4233" t="s">
        <v>3151</v>
      </c>
      <c r="D25" s="4233"/>
      <c r="E25" s="4233">
        <f>ROUND([4]土地案例!N10,0)</f>
        <v>2307</v>
      </c>
      <c r="F25" s="4233"/>
      <c r="G25" s="4233">
        <v>4977</v>
      </c>
      <c r="H25" s="4233"/>
      <c r="I25" s="4233">
        <v>0</v>
      </c>
      <c r="J25" s="4233"/>
      <c r="K25" s="4233">
        <v>0</v>
      </c>
      <c r="L25" s="4233"/>
      <c r="M25" s="4233">
        <v>6096</v>
      </c>
      <c r="N25" s="4233"/>
      <c r="P25" s="3345" t="s">
        <v>3205</v>
      </c>
      <c r="Q25" s="3344">
        <f>地价!Q7</f>
        <v>7.000000000000001E-4</v>
      </c>
      <c r="R25" s="3344">
        <f t="shared" si="0"/>
        <v>1.0006999999999999</v>
      </c>
      <c r="S25" s="2371">
        <f t="shared" si="1"/>
        <v>99.930048965723998</v>
      </c>
      <c r="T25" s="2371"/>
    </row>
    <row r="26" spans="1:20">
      <c r="A26" s="4232" t="s">
        <v>3152</v>
      </c>
      <c r="B26" s="4232"/>
      <c r="C26" s="4233" t="s">
        <v>3151</v>
      </c>
      <c r="D26" s="4233"/>
      <c r="E26" s="4245">
        <f>ROUND(E25*POWER(100,COUNT(F6:F24))/PRODUCT(F6:F24),0)</f>
        <v>789</v>
      </c>
      <c r="F26" s="4245"/>
      <c r="G26" s="4245">
        <f>ROUND(G25*POWER(100,COUNT(H6:H24))/PRODUCT(H6:H24),0)</f>
        <v>2070</v>
      </c>
      <c r="H26" s="4245"/>
      <c r="I26" s="4245">
        <f>ROUND(I25*POWER(100,COUNT(J6:J24))/PRODUCT(J6:J24),0)</f>
        <v>0</v>
      </c>
      <c r="J26" s="4245"/>
      <c r="K26" s="4245">
        <f>ROUND(K25*POWER(100,COUNT(L6:L24))/PRODUCT(L6:L24),0)</f>
        <v>0</v>
      </c>
      <c r="L26" s="4245"/>
      <c r="M26" s="4245">
        <f>ROUND(M25*POWER(100,COUNT(N6:N24))/PRODUCT(N6:N24),0)</f>
        <v>3205</v>
      </c>
      <c r="N26" s="4245"/>
      <c r="P26" s="3345" t="s">
        <v>3206</v>
      </c>
      <c r="Q26" s="3344">
        <f>地价!Q8</f>
        <v>4.6999999999999993E-3</v>
      </c>
      <c r="R26" s="3344">
        <f t="shared" si="0"/>
        <v>1.0046999999999999</v>
      </c>
      <c r="S26" s="2371">
        <f t="shared" si="1"/>
        <v>99.532198666268542</v>
      </c>
      <c r="T26" s="2371"/>
    </row>
    <row r="27" spans="1:20">
      <c r="A27" s="4244" t="str">
        <f>CONCATENATE("估价对象比较价值=(",TEXT(E26,"G/通用格式"),"+",TEXT(G26,"G/通用格式"),"+",TEXT(I26,"G/通用格式"),"+",TEXT(K26,"G/通用格式"),"+",TEXT(M26,"G/通用格式"),")","/",5,"=",ROUND((E26+G26+I26+K26+M26)/5,0))</f>
        <v>估价对象比较价值=(789+2070+0+0+3205)/5=1213</v>
      </c>
      <c r="B27" s="4244"/>
      <c r="C27" s="4244"/>
      <c r="D27" s="4244"/>
      <c r="E27" s="4244"/>
      <c r="F27" s="4244"/>
      <c r="G27" s="4244"/>
      <c r="H27" s="4244"/>
      <c r="I27" s="4244"/>
      <c r="J27" s="4244"/>
      <c r="K27" s="3322">
        <f>ROUND((E26+G26+I26+K26+M26)/3,0)</f>
        <v>2021</v>
      </c>
      <c r="P27" s="3345" t="s">
        <v>3207</v>
      </c>
      <c r="Q27" s="3344">
        <f>地价!Q9</f>
        <v>2.7000000000000001E-3</v>
      </c>
      <c r="R27" s="3344">
        <f t="shared" si="0"/>
        <v>1.0026999999999999</v>
      </c>
      <c r="S27" s="2371">
        <f t="shared" si="1"/>
        <v>99.730727037000108</v>
      </c>
      <c r="T27" s="2371"/>
    </row>
    <row r="28" spans="1:20">
      <c r="L28" s="3284">
        <f>(E26+G26+I26+K26)/4</f>
        <v>714.75</v>
      </c>
      <c r="P28" s="3345" t="s">
        <v>3208</v>
      </c>
      <c r="Q28" s="3344">
        <f>地价!Q10</f>
        <v>4.7999999999999996E-3</v>
      </c>
      <c r="R28" s="3344">
        <f t="shared" si="0"/>
        <v>1.0047999999999999</v>
      </c>
      <c r="S28" s="2371">
        <f t="shared" si="1"/>
        <v>99.522292993630586</v>
      </c>
      <c r="T28" s="2371"/>
    </row>
    <row r="29" spans="1:20">
      <c r="P29" s="3345" t="s">
        <v>3209</v>
      </c>
      <c r="Q29" s="3344">
        <f>地价!Q11</f>
        <v>1.03E-2</v>
      </c>
      <c r="R29" s="3344">
        <f t="shared" si="0"/>
        <v>1.0103</v>
      </c>
      <c r="S29" s="2371">
        <f t="shared" si="1"/>
        <v>98.980500841334262</v>
      </c>
      <c r="T29" s="2371"/>
    </row>
    <row r="30" spans="1:20">
      <c r="P30" s="3345" t="s">
        <v>3210</v>
      </c>
      <c r="Q30" s="3344">
        <f>地价!Q12</f>
        <v>1.2500000000000001E-2</v>
      </c>
      <c r="R30" s="3344">
        <f t="shared" si="0"/>
        <v>1.0125</v>
      </c>
      <c r="S30" s="2371">
        <f t="shared" si="1"/>
        <v>98.76543209876543</v>
      </c>
      <c r="T30" s="2371"/>
    </row>
    <row r="31" spans="1:20">
      <c r="P31" s="3345" t="s">
        <v>3211</v>
      </c>
      <c r="Q31" s="3344">
        <f>地价!Q13</f>
        <v>1.1299999999999999E-2</v>
      </c>
      <c r="R31" s="3344">
        <f t="shared" si="0"/>
        <v>1.0113000000000001</v>
      </c>
      <c r="S31" s="2371">
        <f t="shared" si="1"/>
        <v>98.882626322555112</v>
      </c>
      <c r="T31" s="2371"/>
    </row>
    <row r="32" spans="1:20">
      <c r="P32" s="3340" t="s">
        <v>3212</v>
      </c>
      <c r="Q32" s="3341">
        <f>地价!Q14</f>
        <v>1.29E-2</v>
      </c>
      <c r="R32" s="3341">
        <f t="shared" si="0"/>
        <v>1.0128999999999999</v>
      </c>
      <c r="S32" s="3342">
        <f t="shared" si="1"/>
        <v>98.726429065060728</v>
      </c>
      <c r="T32" s="2371">
        <v>98.7</v>
      </c>
    </row>
    <row r="33" spans="10:20">
      <c r="P33" s="3345" t="s">
        <v>3213</v>
      </c>
      <c r="Q33" s="3344">
        <f>地价!Q15</f>
        <v>1.7399999999999999E-2</v>
      </c>
      <c r="R33" s="3344">
        <f t="shared" si="0"/>
        <v>1.0174000000000001</v>
      </c>
      <c r="S33" s="2371">
        <f t="shared" si="1"/>
        <v>98.289758207194808</v>
      </c>
      <c r="T33" s="2371"/>
    </row>
    <row r="34" spans="10:20">
      <c r="P34" s="3345" t="s">
        <v>3214</v>
      </c>
      <c r="Q34" s="3344">
        <f>地价!Q16</f>
        <v>2.4399999999999998E-2</v>
      </c>
      <c r="R34" s="3344">
        <f t="shared" si="0"/>
        <v>1.0244</v>
      </c>
      <c r="S34" s="2371">
        <f t="shared" si="1"/>
        <v>97.618117922686451</v>
      </c>
      <c r="T34" s="2371"/>
    </row>
    <row r="35" spans="10:20">
      <c r="J35" s="3905"/>
      <c r="P35" s="3345" t="s">
        <v>3215</v>
      </c>
      <c r="Q35" s="3344">
        <f>地价!Q17</f>
        <v>2.0099999999999996E-2</v>
      </c>
      <c r="R35" s="3344">
        <f t="shared" si="0"/>
        <v>1.0201</v>
      </c>
      <c r="S35" s="2371">
        <f t="shared" si="1"/>
        <v>98.029604940692082</v>
      </c>
      <c r="T35" s="2371"/>
    </row>
    <row r="36" spans="10:20">
      <c r="P36" s="3345" t="s">
        <v>3216</v>
      </c>
      <c r="Q36" s="3344">
        <f>地价!Q18</f>
        <v>1.43E-2</v>
      </c>
      <c r="R36" s="3344">
        <f t="shared" si="0"/>
        <v>1.0143</v>
      </c>
      <c r="S36" s="2371">
        <f t="shared" si="1"/>
        <v>98.590160701961949</v>
      </c>
      <c r="T36" s="2371"/>
    </row>
    <row r="37" spans="10:20">
      <c r="P37" s="3340" t="s">
        <v>3217</v>
      </c>
      <c r="Q37" s="3341">
        <f>地价!Q19</f>
        <v>1.72E-2</v>
      </c>
      <c r="R37" s="3341">
        <f t="shared" si="0"/>
        <v>1.0172000000000001</v>
      </c>
      <c r="S37" s="3342">
        <f t="shared" si="1"/>
        <v>98.309083759339359</v>
      </c>
      <c r="T37" s="2371">
        <v>98.3</v>
      </c>
    </row>
    <row r="38" spans="10:20">
      <c r="P38" s="3340" t="s">
        <v>3218</v>
      </c>
      <c r="Q38" s="3341">
        <f>地价!Q20</f>
        <v>1.6799999999999999E-2</v>
      </c>
      <c r="R38" s="3341">
        <f t="shared" si="0"/>
        <v>1.0167999999999999</v>
      </c>
      <c r="S38" s="3342">
        <f t="shared" si="1"/>
        <v>98.347757671125109</v>
      </c>
      <c r="T38" s="2371">
        <v>98.3</v>
      </c>
    </row>
    <row r="39" spans="10:20">
      <c r="P39" s="3340" t="s">
        <v>3219</v>
      </c>
      <c r="Q39" s="3341">
        <f>地价!Q21</f>
        <v>1.5800000000000002E-2</v>
      </c>
      <c r="R39" s="3341">
        <f t="shared" si="0"/>
        <v>1.0158</v>
      </c>
      <c r="S39" s="3342">
        <f t="shared" si="1"/>
        <v>98.444575703878712</v>
      </c>
      <c r="T39" s="2371">
        <v>98.4</v>
      </c>
    </row>
  </sheetData>
  <mergeCells count="42">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 ref="M5:N5"/>
    <mergeCell ref="A6:B6"/>
    <mergeCell ref="A7:B7"/>
    <mergeCell ref="A8:A13"/>
    <mergeCell ref="A14:A17"/>
    <mergeCell ref="I5:J5"/>
    <mergeCell ref="K5:L5"/>
    <mergeCell ref="A18:A24"/>
    <mergeCell ref="A5:B5"/>
    <mergeCell ref="C5:D5"/>
    <mergeCell ref="E5:F5"/>
    <mergeCell ref="G5:H5"/>
    <mergeCell ref="K3:L3"/>
    <mergeCell ref="M3:N3"/>
    <mergeCell ref="A4:B4"/>
    <mergeCell ref="C4:D4"/>
    <mergeCell ref="E4:F4"/>
    <mergeCell ref="G4:H4"/>
    <mergeCell ref="I4:J4"/>
    <mergeCell ref="K4:L4"/>
    <mergeCell ref="M4:N4"/>
    <mergeCell ref="A1:J1"/>
    <mergeCell ref="A3:B3"/>
    <mergeCell ref="C3:D3"/>
    <mergeCell ref="E3:F3"/>
    <mergeCell ref="G3:H3"/>
    <mergeCell ref="I3:J3"/>
  </mergeCells>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5"/>
  <dimension ref="A1:H9"/>
  <sheetViews>
    <sheetView workbookViewId="0">
      <selection activeCell="D7" sqref="D7"/>
    </sheetView>
  </sheetViews>
  <sheetFormatPr defaultRowHeight="13.5"/>
  <cols>
    <col min="1" max="1" width="6" customWidth="1"/>
    <col min="2" max="2" width="6.5" customWidth="1"/>
    <col min="3" max="3" width="6.375" customWidth="1"/>
    <col min="4" max="4" width="17.125" customWidth="1"/>
    <col min="5" max="5" width="13" customWidth="1"/>
    <col min="6" max="7" width="18" customWidth="1"/>
    <col min="8" max="8" width="12.25" customWidth="1"/>
  </cols>
  <sheetData>
    <row r="1" spans="1:8" ht="17.25">
      <c r="A1" s="4246" t="s">
        <v>3153</v>
      </c>
      <c r="B1" s="4247"/>
      <c r="C1" s="4247"/>
      <c r="D1" s="4247"/>
      <c r="E1" s="4247"/>
      <c r="F1" s="4247"/>
      <c r="G1" s="4247"/>
      <c r="H1" s="4247"/>
    </row>
    <row r="2" spans="1:8">
      <c r="A2" s="4248" t="s">
        <v>3154</v>
      </c>
      <c r="B2" s="4248" t="s">
        <v>3155</v>
      </c>
      <c r="C2" s="4250" t="s">
        <v>3156</v>
      </c>
      <c r="D2" s="4248" t="s">
        <v>3102</v>
      </c>
      <c r="E2" s="4252" t="s">
        <v>3157</v>
      </c>
      <c r="F2" s="4254" t="s">
        <v>3158</v>
      </c>
      <c r="G2" s="4254"/>
      <c r="H2" s="3303"/>
    </row>
    <row r="3" spans="1:8">
      <c r="A3" s="4249"/>
      <c r="B3" s="4249"/>
      <c r="C3" s="4251"/>
      <c r="D3" s="4249"/>
      <c r="E3" s="4253"/>
      <c r="F3" s="3304" t="s">
        <v>3159</v>
      </c>
      <c r="G3" s="3304" t="s">
        <v>3160</v>
      </c>
      <c r="H3" s="3305"/>
    </row>
    <row r="4" spans="1:8" ht="42" customHeight="1">
      <c r="A4" s="3306">
        <v>2017</v>
      </c>
      <c r="B4" s="3307" t="s">
        <v>3161</v>
      </c>
      <c r="C4" s="3308" t="s">
        <v>3162</v>
      </c>
      <c r="D4" s="3309" t="s">
        <v>3163</v>
      </c>
      <c r="E4" s="3310">
        <v>96.99</v>
      </c>
      <c r="F4" s="3310">
        <v>51676.39</v>
      </c>
      <c r="G4" s="3310">
        <v>172115.08</v>
      </c>
      <c r="H4" s="3311">
        <v>2307.3664295288172</v>
      </c>
    </row>
    <row r="5" spans="1:8" ht="63.75" customHeight="1">
      <c r="A5" s="3306">
        <v>2017</v>
      </c>
      <c r="B5" s="3307" t="s">
        <v>3161</v>
      </c>
      <c r="C5" s="3308" t="s">
        <v>3164</v>
      </c>
      <c r="D5" s="3309" t="s">
        <v>3165</v>
      </c>
      <c r="E5" s="3312">
        <v>116.6</v>
      </c>
      <c r="F5" s="3310">
        <v>138739.75</v>
      </c>
      <c r="G5" s="3310">
        <v>441601.69</v>
      </c>
      <c r="H5" s="3313">
        <v>4977.1993138936532</v>
      </c>
    </row>
    <row r="6" spans="1:8" ht="32.25" customHeight="1">
      <c r="A6" s="3306">
        <v>2017</v>
      </c>
      <c r="B6" s="3314" t="s">
        <v>3166</v>
      </c>
      <c r="C6" s="3308" t="s">
        <v>3162</v>
      </c>
      <c r="D6" s="3315" t="s">
        <v>3167</v>
      </c>
      <c r="E6" s="3310">
        <v>19.994820000000001</v>
      </c>
      <c r="F6" s="3310">
        <v>4110.28</v>
      </c>
      <c r="G6" s="3310">
        <v>1634.87</v>
      </c>
      <c r="H6" s="3311">
        <v>287.33191896701243</v>
      </c>
    </row>
    <row r="7" spans="1:8" ht="56.25" customHeight="1">
      <c r="A7" s="3306">
        <v>2017</v>
      </c>
      <c r="B7" s="3314" t="s">
        <v>3168</v>
      </c>
      <c r="C7" s="3308" t="s">
        <v>3162</v>
      </c>
      <c r="D7" s="3308" t="s">
        <v>3169</v>
      </c>
      <c r="E7" s="3310">
        <v>132.25</v>
      </c>
      <c r="F7" s="3310">
        <v>24298.5</v>
      </c>
      <c r="G7" s="3310">
        <v>107594.55</v>
      </c>
      <c r="H7" s="3311">
        <v>997.30094517958401</v>
      </c>
    </row>
    <row r="8" spans="1:8" ht="34.5" customHeight="1">
      <c r="A8" s="3316">
        <v>2018</v>
      </c>
      <c r="B8" s="3317" t="s">
        <v>3170</v>
      </c>
      <c r="C8" s="3318" t="s">
        <v>3164</v>
      </c>
      <c r="D8" s="3318" t="s">
        <v>3171</v>
      </c>
      <c r="E8" s="3319">
        <v>49.58</v>
      </c>
      <c r="F8" s="3310">
        <v>61873.95</v>
      </c>
      <c r="G8" s="3310">
        <v>240341.82</v>
      </c>
      <c r="H8" s="3313">
        <v>6095.5177490923761</v>
      </c>
    </row>
    <row r="9" spans="1:8">
      <c r="A9" s="3320"/>
      <c r="B9" s="3320"/>
      <c r="C9" s="3303"/>
      <c r="D9" s="3303"/>
      <c r="E9" s="3321">
        <v>415.41481999999996</v>
      </c>
      <c r="F9" s="3320">
        <v>280698.87</v>
      </c>
      <c r="G9" s="3320">
        <v>963288.01</v>
      </c>
      <c r="H9" s="3303">
        <v>2994.5654803552748</v>
      </c>
    </row>
  </sheetData>
  <mergeCells count="7">
    <mergeCell ref="A1:H1"/>
    <mergeCell ref="A2:A3"/>
    <mergeCell ref="B2:B3"/>
    <mergeCell ref="C2:C3"/>
    <mergeCell ref="D2:D3"/>
    <mergeCell ref="E2:E3"/>
    <mergeCell ref="F2:G2"/>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58" t="s">
        <v>792</v>
      </c>
      <c r="D4" s="4159"/>
      <c r="E4" s="4158" t="s">
        <v>793</v>
      </c>
      <c r="F4" s="4159"/>
      <c r="G4" s="4158" t="s">
        <v>794</v>
      </c>
      <c r="H4" s="4159"/>
      <c r="I4" s="4158" t="s">
        <v>795</v>
      </c>
      <c r="J4" s="4159"/>
      <c r="K4" s="508" t="s">
        <v>796</v>
      </c>
      <c r="L4" s="2015"/>
      <c r="M4" s="2016"/>
      <c r="N4" s="2016"/>
      <c r="O4" s="2016"/>
      <c r="P4" s="4160" t="s">
        <v>797</v>
      </c>
      <c r="Q4" s="4161"/>
      <c r="R4" s="4146" t="s">
        <v>793</v>
      </c>
      <c r="S4" s="4147"/>
      <c r="T4" s="4146" t="s">
        <v>794</v>
      </c>
      <c r="U4" s="4147"/>
      <c r="V4" s="4166" t="s">
        <v>795</v>
      </c>
      <c r="W4" s="4166"/>
      <c r="X4" s="1502"/>
      <c r="Y4" s="4146" t="s">
        <v>797</v>
      </c>
      <c r="Z4" s="4147"/>
      <c r="AA4" s="4141" t="s">
        <v>793</v>
      </c>
      <c r="AB4" s="4142" t="s">
        <v>794</v>
      </c>
      <c r="AC4" s="4141" t="s">
        <v>795</v>
      </c>
    </row>
    <row r="5" spans="1:29" ht="15">
      <c r="A5" s="509"/>
      <c r="B5" s="510"/>
      <c r="C5" s="4169" t="s">
        <v>2897</v>
      </c>
      <c r="D5" s="4170"/>
      <c r="E5" s="4169" t="s">
        <v>2898</v>
      </c>
      <c r="F5" s="4170"/>
      <c r="G5" s="4169" t="s">
        <v>2899</v>
      </c>
      <c r="H5" s="4170"/>
      <c r="I5" s="4169" t="s">
        <v>2900</v>
      </c>
      <c r="J5" s="4170"/>
      <c r="K5" s="508"/>
      <c r="L5" s="2015"/>
      <c r="M5" s="2016"/>
      <c r="N5" s="2016"/>
      <c r="O5" s="2016"/>
      <c r="P5" s="4162"/>
      <c r="Q5" s="4163"/>
      <c r="R5" s="4148"/>
      <c r="S5" s="4149"/>
      <c r="T5" s="4148"/>
      <c r="U5" s="4149"/>
      <c r="V5" s="4166"/>
      <c r="W5" s="4166"/>
      <c r="X5" s="1502"/>
      <c r="Y5" s="4148"/>
      <c r="Z5" s="4149"/>
      <c r="AA5" s="4142"/>
      <c r="AB5" s="4142"/>
      <c r="AC5" s="4142"/>
    </row>
    <row r="6" spans="1:29" ht="15.75" thickBot="1">
      <c r="A6" s="511"/>
      <c r="B6" s="512"/>
      <c r="C6" s="4167" t="s">
        <v>2901</v>
      </c>
      <c r="D6" s="4168"/>
      <c r="E6" s="4171" t="s">
        <v>2901</v>
      </c>
      <c r="F6" s="4172"/>
      <c r="G6" s="4167" t="s">
        <v>2901</v>
      </c>
      <c r="H6" s="4168"/>
      <c r="I6" s="4167" t="s">
        <v>2901</v>
      </c>
      <c r="J6" s="4168"/>
      <c r="K6" s="508" t="s">
        <v>522</v>
      </c>
      <c r="L6" s="2015"/>
      <c r="M6" s="2016"/>
      <c r="N6" s="2016"/>
      <c r="O6" s="2016"/>
      <c r="P6" s="4164"/>
      <c r="Q6" s="4165"/>
      <c r="R6" s="4148"/>
      <c r="S6" s="4149"/>
      <c r="T6" s="4150"/>
      <c r="U6" s="4151"/>
      <c r="V6" s="4166"/>
      <c r="W6" s="4166"/>
      <c r="X6" s="1502"/>
      <c r="Y6" s="4150"/>
      <c r="Z6" s="4151"/>
      <c r="AA6" s="4143"/>
      <c r="AB6" s="4143"/>
      <c r="AC6" s="4143"/>
    </row>
    <row r="7" spans="1:29" s="1203" customFormat="1" ht="15.75" thickBot="1">
      <c r="A7" s="2629"/>
      <c r="B7" s="2636" t="s">
        <v>523</v>
      </c>
      <c r="C7" s="513">
        <f>'数据-取费表'!B2</f>
        <v>44268</v>
      </c>
      <c r="D7" s="514">
        <v>100</v>
      </c>
      <c r="E7" s="515"/>
      <c r="F7" s="516">
        <f>SUMIF(48:48,YEAR(E7)&amp;"-"&amp;MONTH(E7),49:49)</f>
        <v>0</v>
      </c>
      <c r="G7" s="517"/>
      <c r="H7" s="514">
        <f>SUMIF(48:48,YEAR(G7)&amp;"-"&amp;MONTH(G7),49:49)</f>
        <v>0</v>
      </c>
      <c r="I7" s="517"/>
      <c r="J7" s="514">
        <f>SUMIF(48:48,YEAR(I7)&amp;"-"&amp;MONTH(I7),49:49)</f>
        <v>0</v>
      </c>
      <c r="K7" s="518"/>
      <c r="L7" s="2017"/>
      <c r="M7" s="2018"/>
      <c r="N7" s="2018"/>
      <c r="O7" s="2018"/>
      <c r="P7" s="4144" t="s">
        <v>524</v>
      </c>
      <c r="Q7" s="4153"/>
      <c r="R7" s="1503" t="s">
        <v>8</v>
      </c>
      <c r="S7" s="1504">
        <f t="shared" ref="S7:S14" si="0">F7</f>
        <v>0</v>
      </c>
      <c r="T7" s="1503" t="s">
        <v>8</v>
      </c>
      <c r="U7" s="1504">
        <f t="shared" ref="U7:U14" si="1">H7</f>
        <v>0</v>
      </c>
      <c r="V7" s="1503" t="s">
        <v>8</v>
      </c>
      <c r="W7" s="1504">
        <f t="shared" ref="W7:W14"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4144" t="s">
        <v>527</v>
      </c>
      <c r="Q8" s="4145"/>
      <c r="R8" s="1503" t="s">
        <v>8</v>
      </c>
      <c r="S8" s="1504">
        <f t="shared" si="0"/>
        <v>0</v>
      </c>
      <c r="T8" s="1503" t="s">
        <v>8</v>
      </c>
      <c r="U8" s="1504">
        <f t="shared" si="1"/>
        <v>0</v>
      </c>
      <c r="V8" s="1503" t="s">
        <v>8</v>
      </c>
      <c r="W8" s="1504">
        <f t="shared" si="2"/>
        <v>0</v>
      </c>
      <c r="X8" s="1505"/>
      <c r="Y8" s="4144" t="s">
        <v>527</v>
      </c>
      <c r="Z8" s="4145"/>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4152" t="s">
        <v>529</v>
      </c>
      <c r="Q9" s="1134" t="str">
        <f t="shared" ref="Q9:Q14" si="6">B9</f>
        <v>用途</v>
      </c>
      <c r="R9" s="1503" t="s">
        <v>8</v>
      </c>
      <c r="S9" s="1504">
        <f t="shared" si="0"/>
        <v>100</v>
      </c>
      <c r="T9" s="1503" t="s">
        <v>8</v>
      </c>
      <c r="U9" s="1504">
        <f t="shared" si="1"/>
        <v>100</v>
      </c>
      <c r="V9" s="1503" t="s">
        <v>8</v>
      </c>
      <c r="W9" s="1504">
        <f t="shared" si="2"/>
        <v>100</v>
      </c>
      <c r="X9" s="1505"/>
      <c r="Y9" s="40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4152"/>
      <c r="Q11" s="1134">
        <f t="shared" si="6"/>
        <v>111</v>
      </c>
      <c r="R11" s="1503" t="s">
        <v>8</v>
      </c>
      <c r="S11" s="1504">
        <f t="shared" si="0"/>
        <v>100</v>
      </c>
      <c r="T11" s="1503" t="s">
        <v>8</v>
      </c>
      <c r="U11" s="1504">
        <f t="shared" si="1"/>
        <v>100</v>
      </c>
      <c r="V11" s="1503" t="s">
        <v>8</v>
      </c>
      <c r="W11" s="1504">
        <f t="shared" si="2"/>
        <v>100</v>
      </c>
      <c r="X11" s="1505"/>
      <c r="Y11" s="407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4152"/>
      <c r="Q12" s="1134">
        <f t="shared" si="6"/>
        <v>111</v>
      </c>
      <c r="R12" s="1503" t="s">
        <v>8</v>
      </c>
      <c r="S12" s="1504">
        <f t="shared" si="0"/>
        <v>100</v>
      </c>
      <c r="T12" s="1503" t="s">
        <v>8</v>
      </c>
      <c r="U12" s="1504">
        <f t="shared" si="1"/>
        <v>100</v>
      </c>
      <c r="V12" s="1503" t="s">
        <v>8</v>
      </c>
      <c r="W12" s="1504">
        <f t="shared" si="2"/>
        <v>100</v>
      </c>
      <c r="X12" s="1505"/>
      <c r="Y12" s="407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4152"/>
      <c r="Q13" s="1134">
        <f t="shared" si="6"/>
        <v>111</v>
      </c>
      <c r="R13" s="1503" t="s">
        <v>8</v>
      </c>
      <c r="S13" s="1504">
        <f t="shared" si="0"/>
        <v>100</v>
      </c>
      <c r="T13" s="1503" t="s">
        <v>8</v>
      </c>
      <c r="U13" s="1504">
        <f t="shared" si="1"/>
        <v>100</v>
      </c>
      <c r="V13" s="1503" t="s">
        <v>8</v>
      </c>
      <c r="W13" s="1504">
        <f t="shared" si="2"/>
        <v>100</v>
      </c>
      <c r="X13" s="1505"/>
      <c r="Y13" s="407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4154" t="s">
        <v>534</v>
      </c>
      <c r="Q14" s="1507" t="str">
        <f t="shared" si="6"/>
        <v>交通便捷度</v>
      </c>
      <c r="R14" s="1508" t="s">
        <v>8</v>
      </c>
      <c r="S14" s="1509">
        <f t="shared" si="0"/>
        <v>100</v>
      </c>
      <c r="T14" s="1508" t="s">
        <v>8</v>
      </c>
      <c r="U14" s="1509">
        <f t="shared" si="1"/>
        <v>100</v>
      </c>
      <c r="V14" s="1508" t="s">
        <v>8</v>
      </c>
      <c r="W14" s="1509">
        <f t="shared" si="2"/>
        <v>100</v>
      </c>
      <c r="X14" s="1502"/>
      <c r="Y14" s="4154"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4155"/>
      <c r="Q15" s="1507"/>
      <c r="R15" s="1508"/>
      <c r="S15" s="1509"/>
      <c r="T15" s="1508"/>
      <c r="U15" s="1509"/>
      <c r="V15" s="1508"/>
      <c r="W15" s="1509"/>
      <c r="X15" s="1502"/>
      <c r="Y15" s="4155"/>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4155"/>
      <c r="Q16" s="1507" t="str">
        <f>B16</f>
        <v>公共配套设施</v>
      </c>
      <c r="R16" s="1508" t="s">
        <v>8</v>
      </c>
      <c r="S16" s="1509">
        <f>F16</f>
        <v>100</v>
      </c>
      <c r="T16" s="1508" t="s">
        <v>8</v>
      </c>
      <c r="U16" s="1509">
        <f>H16</f>
        <v>100</v>
      </c>
      <c r="V16" s="1508" t="s">
        <v>8</v>
      </c>
      <c r="W16" s="1509">
        <f>J16</f>
        <v>100</v>
      </c>
      <c r="X16" s="1502"/>
      <c r="Y16" s="4155"/>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4155"/>
      <c r="Q17" s="1507"/>
      <c r="R17" s="1508"/>
      <c r="S17" s="1509"/>
      <c r="T17" s="1508"/>
      <c r="U17" s="1509"/>
      <c r="V17" s="1508"/>
      <c r="W17" s="1509"/>
      <c r="X17" s="1502"/>
      <c r="Y17" s="4155"/>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4155"/>
      <c r="Q18" s="2429" t="str">
        <f>B18</f>
        <v>基础设施水平</v>
      </c>
      <c r="R18" s="1508" t="s">
        <v>8</v>
      </c>
      <c r="S18" s="1509">
        <f>F18</f>
        <v>100</v>
      </c>
      <c r="T18" s="1508" t="s">
        <v>8</v>
      </c>
      <c r="U18" s="1509">
        <f>H18</f>
        <v>100</v>
      </c>
      <c r="V18" s="1508" t="s">
        <v>8</v>
      </c>
      <c r="W18" s="1509">
        <f>J18</f>
        <v>100</v>
      </c>
      <c r="X18" s="2431"/>
      <c r="Y18" s="4155"/>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4155"/>
      <c r="Q19" s="2429"/>
      <c r="R19" s="1508"/>
      <c r="S19" s="1509"/>
      <c r="T19" s="1508"/>
      <c r="U19" s="1509"/>
      <c r="V19" s="1508"/>
      <c r="W19" s="1509"/>
      <c r="X19" s="2431"/>
      <c r="Y19" s="4155"/>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4155"/>
      <c r="Q20" s="1507" t="str">
        <f>B20</f>
        <v>自然及人文环境</v>
      </c>
      <c r="R20" s="1508" t="s">
        <v>8</v>
      </c>
      <c r="S20" s="1509">
        <f>F20</f>
        <v>100</v>
      </c>
      <c r="T20" s="1508" t="s">
        <v>8</v>
      </c>
      <c r="U20" s="1509">
        <f>H20</f>
        <v>100</v>
      </c>
      <c r="V20" s="1508" t="s">
        <v>8</v>
      </c>
      <c r="W20" s="1509">
        <f>J20</f>
        <v>100</v>
      </c>
      <c r="X20" s="1502"/>
      <c r="Y20" s="4155"/>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4155"/>
      <c r="Q21" s="1507"/>
      <c r="R21" s="1508"/>
      <c r="S21" s="1509"/>
      <c r="T21" s="1508"/>
      <c r="U21" s="1509"/>
      <c r="V21" s="1508"/>
      <c r="W21" s="1509"/>
      <c r="X21" s="1502"/>
      <c r="Y21" s="4155"/>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4155"/>
      <c r="Q22" s="1507" t="str">
        <f>B22</f>
        <v>楼层</v>
      </c>
      <c r="R22" s="1508" t="s">
        <v>8</v>
      </c>
      <c r="S22" s="1509">
        <f>F22</f>
        <v>100</v>
      </c>
      <c r="T22" s="1508" t="s">
        <v>8</v>
      </c>
      <c r="U22" s="1509">
        <f>H22</f>
        <v>100</v>
      </c>
      <c r="V22" s="1508" t="s">
        <v>8</v>
      </c>
      <c r="W22" s="1509">
        <f>J22</f>
        <v>100</v>
      </c>
      <c r="X22" s="1502"/>
      <c r="Y22" s="4155"/>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4155"/>
      <c r="Q23" s="1507">
        <f>B23</f>
        <v>111</v>
      </c>
      <c r="R23" s="1508" t="s">
        <v>8</v>
      </c>
      <c r="S23" s="1509">
        <f>F23</f>
        <v>100</v>
      </c>
      <c r="T23" s="1508" t="s">
        <v>8</v>
      </c>
      <c r="U23" s="1509">
        <f>H23</f>
        <v>100</v>
      </c>
      <c r="V23" s="1508" t="s">
        <v>8</v>
      </c>
      <c r="W23" s="1509">
        <f>J23</f>
        <v>100</v>
      </c>
      <c r="X23" s="1502"/>
      <c r="Y23" s="4155"/>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4155"/>
      <c r="Q24" s="1507">
        <f t="shared" ref="Q24:Q36" si="11">B24</f>
        <v>111</v>
      </c>
      <c r="R24" s="1508" t="s">
        <v>8</v>
      </c>
      <c r="S24" s="1509">
        <f>F24</f>
        <v>100</v>
      </c>
      <c r="T24" s="1508" t="s">
        <v>8</v>
      </c>
      <c r="U24" s="1509">
        <f>H24</f>
        <v>100</v>
      </c>
      <c r="V24" s="1508" t="s">
        <v>8</v>
      </c>
      <c r="W24" s="1509">
        <f>J24</f>
        <v>100</v>
      </c>
      <c r="X24" s="1502"/>
      <c r="Y24" s="4155"/>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4155"/>
      <c r="Q25" s="1134">
        <f t="shared" si="11"/>
        <v>111</v>
      </c>
      <c r="R25" s="1503" t="s">
        <v>8</v>
      </c>
      <c r="S25" s="1504">
        <f>F25</f>
        <v>100</v>
      </c>
      <c r="T25" s="1503" t="s">
        <v>8</v>
      </c>
      <c r="U25" s="1504">
        <f>H25</f>
        <v>100</v>
      </c>
      <c r="V25" s="1503" t="s">
        <v>8</v>
      </c>
      <c r="W25" s="1504">
        <f>J25</f>
        <v>100</v>
      </c>
      <c r="X25" s="1505"/>
      <c r="Y25" s="4155"/>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4156"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4157"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4157"/>
      <c r="Q27" s="1536" t="str">
        <f t="shared" si="11"/>
        <v>项目停车位配比</v>
      </c>
      <c r="R27" s="1512" t="s">
        <v>8</v>
      </c>
      <c r="S27" s="1513">
        <f t="shared" si="12"/>
        <v>100</v>
      </c>
      <c r="T27" s="1512" t="s">
        <v>8</v>
      </c>
      <c r="U27" s="1513">
        <f t="shared" si="13"/>
        <v>100</v>
      </c>
      <c r="V27" s="1512" t="s">
        <v>8</v>
      </c>
      <c r="W27" s="1513">
        <f t="shared" si="14"/>
        <v>100</v>
      </c>
      <c r="X27" s="1514"/>
      <c r="Y27" s="4157"/>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4157"/>
      <c r="Q28" s="1507" t="str">
        <f t="shared" si="11"/>
        <v>公共部分装修</v>
      </c>
      <c r="R28" s="1508" t="s">
        <v>8</v>
      </c>
      <c r="S28" s="1509">
        <f t="shared" si="12"/>
        <v>100</v>
      </c>
      <c r="T28" s="1508" t="s">
        <v>8</v>
      </c>
      <c r="U28" s="1509">
        <f t="shared" si="13"/>
        <v>100</v>
      </c>
      <c r="V28" s="1508" t="s">
        <v>8</v>
      </c>
      <c r="W28" s="1509">
        <f t="shared" si="14"/>
        <v>100</v>
      </c>
      <c r="X28" s="1502"/>
      <c r="Y28" s="4157"/>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4157"/>
      <c r="Q29" s="1507" t="str">
        <f t="shared" si="11"/>
        <v>成新率</v>
      </c>
      <c r="R29" s="1508" t="s">
        <v>8</v>
      </c>
      <c r="S29" s="1509" t="e">
        <f t="shared" si="12"/>
        <v>#N/A</v>
      </c>
      <c r="T29" s="1508" t="s">
        <v>8</v>
      </c>
      <c r="U29" s="1509" t="e">
        <f t="shared" si="13"/>
        <v>#N/A</v>
      </c>
      <c r="V29" s="1508" t="s">
        <v>8</v>
      </c>
      <c r="W29" s="1509" t="e">
        <f t="shared" si="14"/>
        <v>#N/A</v>
      </c>
      <c r="X29" s="1502"/>
      <c r="Y29" s="4157"/>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4157"/>
      <c r="Q30" s="1507" t="str">
        <f t="shared" si="11"/>
        <v>物业等级</v>
      </c>
      <c r="R30" s="1508" t="s">
        <v>8</v>
      </c>
      <c r="S30" s="1509">
        <f t="shared" si="12"/>
        <v>100</v>
      </c>
      <c r="T30" s="1508" t="s">
        <v>8</v>
      </c>
      <c r="U30" s="1509">
        <f t="shared" si="13"/>
        <v>100</v>
      </c>
      <c r="V30" s="1508" t="s">
        <v>8</v>
      </c>
      <c r="W30" s="1509">
        <f t="shared" si="14"/>
        <v>100</v>
      </c>
      <c r="X30" s="1502"/>
      <c r="Y30" s="4157"/>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4157"/>
      <c r="Q31" s="1134" t="str">
        <f t="shared" si="11"/>
        <v>停车位面积</v>
      </c>
      <c r="R31" s="1503" t="s">
        <v>8</v>
      </c>
      <c r="S31" s="1504" t="e">
        <f t="shared" si="12"/>
        <v>#N/A</v>
      </c>
      <c r="T31" s="1503" t="s">
        <v>8</v>
      </c>
      <c r="U31" s="1504" t="e">
        <f t="shared" si="13"/>
        <v>#N/A</v>
      </c>
      <c r="V31" s="1503" t="s">
        <v>8</v>
      </c>
      <c r="W31" s="1504" t="e">
        <f t="shared" si="14"/>
        <v>#N/A</v>
      </c>
      <c r="X31" s="1505"/>
      <c r="Y31" s="4157"/>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4157" t="s">
        <v>544</v>
      </c>
      <c r="Q32" s="1507" t="str">
        <f t="shared" si="11"/>
        <v>车位类型</v>
      </c>
      <c r="R32" s="1508" t="s">
        <v>8</v>
      </c>
      <c r="S32" s="1509">
        <f t="shared" si="12"/>
        <v>100</v>
      </c>
      <c r="T32" s="1508" t="s">
        <v>8</v>
      </c>
      <c r="U32" s="1509">
        <f t="shared" si="13"/>
        <v>100</v>
      </c>
      <c r="V32" s="1508" t="s">
        <v>8</v>
      </c>
      <c r="W32" s="1509">
        <f t="shared" si="14"/>
        <v>100</v>
      </c>
      <c r="X32" s="1502"/>
      <c r="Y32" s="4157"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4157"/>
      <c r="Q33" s="1507" t="str">
        <f t="shared" si="11"/>
        <v>是否直接入户</v>
      </c>
      <c r="R33" s="1508" t="s">
        <v>8</v>
      </c>
      <c r="S33" s="1509">
        <f t="shared" si="12"/>
        <v>100</v>
      </c>
      <c r="T33" s="1508" t="s">
        <v>8</v>
      </c>
      <c r="U33" s="1509">
        <f t="shared" si="13"/>
        <v>100</v>
      </c>
      <c r="V33" s="1508" t="s">
        <v>8</v>
      </c>
      <c r="W33" s="1509">
        <f t="shared" si="14"/>
        <v>100</v>
      </c>
      <c r="X33" s="1502"/>
      <c r="Y33" s="4157"/>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4157"/>
      <c r="Q34" s="1507">
        <f t="shared" si="11"/>
        <v>111</v>
      </c>
      <c r="R34" s="1508" t="s">
        <v>8</v>
      </c>
      <c r="S34" s="1509">
        <f t="shared" si="12"/>
        <v>100</v>
      </c>
      <c r="T34" s="1508" t="s">
        <v>8</v>
      </c>
      <c r="U34" s="1509">
        <f t="shared" si="13"/>
        <v>100</v>
      </c>
      <c r="V34" s="1508" t="s">
        <v>8</v>
      </c>
      <c r="W34" s="1509">
        <f t="shared" si="14"/>
        <v>100</v>
      </c>
      <c r="X34" s="1502"/>
      <c r="Y34" s="4157"/>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4157"/>
      <c r="Q35" s="1536">
        <f t="shared" si="11"/>
        <v>111</v>
      </c>
      <c r="R35" s="1512" t="s">
        <v>8</v>
      </c>
      <c r="S35" s="1513">
        <f t="shared" si="12"/>
        <v>100</v>
      </c>
      <c r="T35" s="1512" t="s">
        <v>8</v>
      </c>
      <c r="U35" s="1513">
        <f t="shared" si="13"/>
        <v>100</v>
      </c>
      <c r="V35" s="1512" t="s">
        <v>8</v>
      </c>
      <c r="W35" s="1513">
        <f t="shared" si="14"/>
        <v>100</v>
      </c>
      <c r="X35" s="1514"/>
      <c r="Y35" s="4157"/>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4157"/>
      <c r="Q36" s="1507">
        <f t="shared" si="11"/>
        <v>111</v>
      </c>
      <c r="R36" s="1508" t="s">
        <v>8</v>
      </c>
      <c r="S36" s="1509">
        <f t="shared" si="12"/>
        <v>100</v>
      </c>
      <c r="T36" s="1508" t="s">
        <v>8</v>
      </c>
      <c r="U36" s="1509">
        <f t="shared" si="13"/>
        <v>100</v>
      </c>
      <c r="V36" s="1508" t="s">
        <v>8</v>
      </c>
      <c r="W36" s="1509">
        <f t="shared" si="14"/>
        <v>100</v>
      </c>
      <c r="X36" s="1502"/>
      <c r="Y36" s="4157"/>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4152" t="str">
        <f>A37</f>
        <v>成交单价</v>
      </c>
      <c r="Q37" s="4152"/>
      <c r="R37" s="4219">
        <f>E37</f>
        <v>0</v>
      </c>
      <c r="S37" s="4219"/>
      <c r="T37" s="4219">
        <f>G37</f>
        <v>0</v>
      </c>
      <c r="U37" s="4219"/>
      <c r="V37" s="4219">
        <f>I37</f>
        <v>0</v>
      </c>
      <c r="W37" s="4219"/>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4152" t="str">
        <f>A38</f>
        <v>比较价格（元/平方米）</v>
      </c>
      <c r="Q38" s="4152"/>
      <c r="R38" s="4219" t="e">
        <f>IF(F1="售价",ROUND(PRODUCT(R37,AA7:AA36),0),ROUND(PRODUCT(R37,AA7:AA36),1))</f>
        <v>#DIV/0!</v>
      </c>
      <c r="S38" s="4219"/>
      <c r="T38" s="4219" t="e">
        <f>IF(F1="售价",ROUND(PRODUCT(T37,AB7:AB36),0),ROUND(PRODUCT(T37,AB7:AB36),1))</f>
        <v>#DIV/0!</v>
      </c>
      <c r="U38" s="4219"/>
      <c r="V38" s="4219" t="e">
        <f>IF(F1="售价",ROUND(PRODUCT(V37,AC7:AC36),0),ROUND(PRODUCT(V37,AC7:AC36),1))</f>
        <v>#DIV/0!</v>
      </c>
      <c r="W38" s="4219"/>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4173" t="str">
        <f>A39</f>
        <v>估价对象XX用房的比较价格（楼面单价，元/平方米）</v>
      </c>
      <c r="Q39" s="4174"/>
      <c r="R39" s="4218" t="e">
        <f>IF(F1="售价",ROUND(IF(D38="简单平均",AVERAGE(R38:W38),R38*F38+T38*H38+V38*J38),0),ROUND(IF(D38="简单平均",AVERAGE(R38:V38),R38*F38+T38*H38+V38*J38),1))</f>
        <v>#DIV/0!</v>
      </c>
      <c r="S39" s="4218"/>
      <c r="T39" s="4218"/>
      <c r="U39" s="4218"/>
      <c r="V39" s="4218"/>
      <c r="W39" s="4218"/>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8" stopIfTrue="1" operator="containsText" text="超过">
      <formula>NOT(ISERROR(SEARCH("超过",F42)))</formula>
    </cfRule>
  </conditionalFormatting>
  <conditionalFormatting sqref="J44">
    <cfRule type="containsText" dxfId="54" priority="17" stopIfTrue="1" operator="containsText" text="超过">
      <formula>NOT(ISERROR(SEARCH("超过",J44)))</formula>
    </cfRule>
  </conditionalFormatting>
  <conditionalFormatting sqref="H44">
    <cfRule type="containsText" dxfId="53" priority="16" stopIfTrue="1" operator="containsText" text="超过">
      <formula>NOT(ISERROR(SEARCH("超过",H44)))</formula>
    </cfRule>
  </conditionalFormatting>
  <conditionalFormatting sqref="F44">
    <cfRule type="containsText" dxfId="52" priority="15" stopIfTrue="1" operator="containsText" text="超过">
      <formula>NOT(ISERROR(SEARCH("超过",F44)))</formula>
    </cfRule>
  </conditionalFormatting>
  <conditionalFormatting sqref="F43 H43 J43">
    <cfRule type="containsText" dxfId="51" priority="14" stopIfTrue="1" operator="containsText" text="超过">
      <formula>NOT(ISERROR(SEARCH("超过",F43)))</formula>
    </cfRule>
  </conditionalFormatting>
  <conditionalFormatting sqref="E42">
    <cfRule type="expression" dxfId="50" priority="13" stopIfTrue="1">
      <formula>$F$42="超过30%"</formula>
    </cfRule>
  </conditionalFormatting>
  <conditionalFormatting sqref="G44">
    <cfRule type="expression" dxfId="49" priority="12" stopIfTrue="1">
      <formula>$H$54+$H$44="超过30%"</formula>
    </cfRule>
  </conditionalFormatting>
  <conditionalFormatting sqref="E43">
    <cfRule type="expression" dxfId="48" priority="11" stopIfTrue="1">
      <formula>$F$43="超过20%"</formula>
    </cfRule>
  </conditionalFormatting>
  <conditionalFormatting sqref="E44">
    <cfRule type="expression" dxfId="47" priority="10" stopIfTrue="1">
      <formula>$F$44="超过30%"</formula>
    </cfRule>
  </conditionalFormatting>
  <conditionalFormatting sqref="G42">
    <cfRule type="expression" dxfId="46" priority="9" stopIfTrue="1">
      <formula>$H$52+$H$42="超过30%"</formula>
    </cfRule>
  </conditionalFormatting>
  <conditionalFormatting sqref="G43">
    <cfRule type="expression" dxfId="45" priority="8" stopIfTrue="1">
      <formula>$H$43="超过20%"</formula>
    </cfRule>
  </conditionalFormatting>
  <conditionalFormatting sqref="I42">
    <cfRule type="expression" dxfId="44" priority="7" stopIfTrue="1">
      <formula>$J$52+$J$42="超过30%"</formula>
    </cfRule>
  </conditionalFormatting>
  <conditionalFormatting sqref="I43">
    <cfRule type="expression" dxfId="43" priority="6" stopIfTrue="1">
      <formula>$J$53+$J$43="超过20%"</formula>
    </cfRule>
  </conditionalFormatting>
  <conditionalFormatting sqref="I44">
    <cfRule type="expression" dxfId="42" priority="5" stopIfTrue="1">
      <formula>$J$44="超过30%"</formula>
    </cfRule>
  </conditionalFormatting>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F7:F36 H7:H36 J7:J36">
    <cfRule type="cellIs" dxfId="3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4158" t="s">
        <v>792</v>
      </c>
      <c r="D4" s="4159"/>
      <c r="E4" s="4216" t="s">
        <v>793</v>
      </c>
      <c r="F4" s="4217"/>
      <c r="G4" s="4158" t="s">
        <v>794</v>
      </c>
      <c r="H4" s="4159"/>
      <c r="I4" s="4158" t="s">
        <v>795</v>
      </c>
      <c r="J4" s="4159"/>
      <c r="K4" s="508" t="s">
        <v>796</v>
      </c>
      <c r="L4" s="2015"/>
      <c r="M4" s="2016"/>
      <c r="N4" s="2016"/>
      <c r="O4" s="2016"/>
      <c r="P4" s="4160" t="s">
        <v>797</v>
      </c>
      <c r="Q4" s="4161"/>
      <c r="R4" s="4146" t="s">
        <v>793</v>
      </c>
      <c r="S4" s="4147"/>
      <c r="T4" s="4146" t="s">
        <v>794</v>
      </c>
      <c r="U4" s="4147"/>
      <c r="V4" s="4166" t="s">
        <v>795</v>
      </c>
      <c r="W4" s="4166"/>
      <c r="X4" s="1502"/>
      <c r="Y4" s="4146" t="s">
        <v>797</v>
      </c>
      <c r="Z4" s="4147"/>
      <c r="AA4" s="4141" t="s">
        <v>793</v>
      </c>
      <c r="AB4" s="4142" t="s">
        <v>794</v>
      </c>
      <c r="AC4" s="4141" t="s">
        <v>795</v>
      </c>
    </row>
    <row r="5" spans="1:29" ht="15">
      <c r="A5" s="509"/>
      <c r="B5" s="510"/>
      <c r="C5" s="4169" t="s">
        <v>2897</v>
      </c>
      <c r="D5" s="4170"/>
      <c r="E5" s="4212" t="s">
        <v>2898</v>
      </c>
      <c r="F5" s="4213"/>
      <c r="G5" s="4169" t="s">
        <v>2899</v>
      </c>
      <c r="H5" s="4170"/>
      <c r="I5" s="4169" t="s">
        <v>2900</v>
      </c>
      <c r="J5" s="4170"/>
      <c r="K5" s="508"/>
      <c r="L5" s="2015"/>
      <c r="M5" s="2016"/>
      <c r="N5" s="2016"/>
      <c r="O5" s="2016"/>
      <c r="P5" s="4162"/>
      <c r="Q5" s="4163"/>
      <c r="R5" s="4148"/>
      <c r="S5" s="4149"/>
      <c r="T5" s="4148"/>
      <c r="U5" s="4149"/>
      <c r="V5" s="4166"/>
      <c r="W5" s="4166"/>
      <c r="X5" s="1502"/>
      <c r="Y5" s="4148"/>
      <c r="Z5" s="4149"/>
      <c r="AA5" s="4142"/>
      <c r="AB5" s="4142"/>
      <c r="AC5" s="4142"/>
    </row>
    <row r="6" spans="1:29" ht="15.75" thickBot="1">
      <c r="A6" s="511"/>
      <c r="B6" s="512"/>
      <c r="C6" s="4167" t="s">
        <v>2901</v>
      </c>
      <c r="D6" s="4168"/>
      <c r="E6" s="4214" t="s">
        <v>2901</v>
      </c>
      <c r="F6" s="4215"/>
      <c r="G6" s="4167" t="s">
        <v>2901</v>
      </c>
      <c r="H6" s="4168"/>
      <c r="I6" s="4167" t="s">
        <v>2901</v>
      </c>
      <c r="J6" s="4168"/>
      <c r="K6" s="508" t="s">
        <v>522</v>
      </c>
      <c r="L6" s="2015"/>
      <c r="M6" s="2016"/>
      <c r="N6" s="2016"/>
      <c r="O6" s="2016"/>
      <c r="P6" s="4164"/>
      <c r="Q6" s="4165"/>
      <c r="R6" s="4148"/>
      <c r="S6" s="4149"/>
      <c r="T6" s="4150"/>
      <c r="U6" s="4151"/>
      <c r="V6" s="4166"/>
      <c r="W6" s="4166"/>
      <c r="X6" s="1502"/>
      <c r="Y6" s="4150"/>
      <c r="Z6" s="4151"/>
      <c r="AA6" s="4143"/>
      <c r="AB6" s="4143"/>
      <c r="AC6" s="4143"/>
    </row>
    <row r="7" spans="1:29" s="1203" customFormat="1" ht="15.75" thickBot="1">
      <c r="A7" s="2629"/>
      <c r="B7" s="2636" t="s">
        <v>523</v>
      </c>
      <c r="C7" s="513">
        <f>'数据-取费表'!B2</f>
        <v>44268</v>
      </c>
      <c r="D7" s="514">
        <v>100</v>
      </c>
      <c r="E7" s="515"/>
      <c r="F7" s="516">
        <f>SUMIF(46:46,YEAR(E7)&amp;"-"&amp;MONTH(E7),47:47)</f>
        <v>0</v>
      </c>
      <c r="G7" s="517"/>
      <c r="H7" s="514">
        <f>SUMIF(46:46,YEAR(G7)&amp;"-"&amp;MONTH(G7),47:47)</f>
        <v>0</v>
      </c>
      <c r="I7" s="517"/>
      <c r="J7" s="514">
        <f>SUMIF(46:46,YEAR(I7)&amp;"-"&amp;MONTH(I7),47:47)</f>
        <v>0</v>
      </c>
      <c r="K7" s="518"/>
      <c r="L7" s="2017"/>
      <c r="M7" s="2018"/>
      <c r="N7" s="2018"/>
      <c r="O7" s="2018"/>
      <c r="P7" s="4144" t="s">
        <v>524</v>
      </c>
      <c r="Q7" s="4153"/>
      <c r="R7" s="1503" t="s">
        <v>8</v>
      </c>
      <c r="S7" s="1504">
        <f t="shared" ref="S7:S14" si="0">F7</f>
        <v>0</v>
      </c>
      <c r="T7" s="1503" t="s">
        <v>8</v>
      </c>
      <c r="U7" s="1504">
        <f t="shared" ref="U7:U14" si="1">H7</f>
        <v>0</v>
      </c>
      <c r="V7" s="1503" t="s">
        <v>8</v>
      </c>
      <c r="W7" s="1504">
        <f t="shared" ref="W7:W14"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4144" t="s">
        <v>527</v>
      </c>
      <c r="Q8" s="4145"/>
      <c r="R8" s="1503" t="s">
        <v>8</v>
      </c>
      <c r="S8" s="1504">
        <f t="shared" si="0"/>
        <v>0</v>
      </c>
      <c r="T8" s="1503" t="s">
        <v>8</v>
      </c>
      <c r="U8" s="1504">
        <f t="shared" si="1"/>
        <v>0</v>
      </c>
      <c r="V8" s="1503" t="s">
        <v>8</v>
      </c>
      <c r="W8" s="1504">
        <f t="shared" si="2"/>
        <v>0</v>
      </c>
      <c r="X8" s="1505"/>
      <c r="Y8" s="4144" t="s">
        <v>527</v>
      </c>
      <c r="Z8" s="4145"/>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4152" t="s">
        <v>529</v>
      </c>
      <c r="Q9" s="1134" t="str">
        <f t="shared" ref="Q9:Q14" si="6">B9</f>
        <v>用途</v>
      </c>
      <c r="R9" s="1503" t="s">
        <v>8</v>
      </c>
      <c r="S9" s="1504">
        <f t="shared" si="0"/>
        <v>100</v>
      </c>
      <c r="T9" s="1503" t="s">
        <v>8</v>
      </c>
      <c r="U9" s="1504">
        <f t="shared" si="1"/>
        <v>100</v>
      </c>
      <c r="V9" s="1503" t="s">
        <v>8</v>
      </c>
      <c r="W9" s="1504">
        <f t="shared" si="2"/>
        <v>100</v>
      </c>
      <c r="X9" s="1505"/>
      <c r="Y9" s="407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4152"/>
      <c r="Q11" s="1134">
        <f t="shared" si="6"/>
        <v>111</v>
      </c>
      <c r="R11" s="1503" t="s">
        <v>8</v>
      </c>
      <c r="S11" s="1504">
        <f t="shared" si="0"/>
        <v>100</v>
      </c>
      <c r="T11" s="1503" t="s">
        <v>8</v>
      </c>
      <c r="U11" s="1504">
        <f t="shared" si="1"/>
        <v>100</v>
      </c>
      <c r="V11" s="1503" t="s">
        <v>8</v>
      </c>
      <c r="W11" s="1504">
        <f t="shared" si="2"/>
        <v>100</v>
      </c>
      <c r="X11" s="1505"/>
      <c r="Y11" s="407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4152"/>
      <c r="Q12" s="1134">
        <f t="shared" si="6"/>
        <v>111</v>
      </c>
      <c r="R12" s="1503" t="s">
        <v>8</v>
      </c>
      <c r="S12" s="1504">
        <f t="shared" si="0"/>
        <v>100</v>
      </c>
      <c r="T12" s="1503" t="s">
        <v>8</v>
      </c>
      <c r="U12" s="1504">
        <f t="shared" si="1"/>
        <v>100</v>
      </c>
      <c r="V12" s="1503" t="s">
        <v>8</v>
      </c>
      <c r="W12" s="1504">
        <f t="shared" si="2"/>
        <v>100</v>
      </c>
      <c r="X12" s="1505"/>
      <c r="Y12" s="407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4152"/>
      <c r="Q13" s="1134">
        <f t="shared" si="6"/>
        <v>111</v>
      </c>
      <c r="R13" s="1503" t="s">
        <v>8</v>
      </c>
      <c r="S13" s="1504">
        <f t="shared" si="0"/>
        <v>100</v>
      </c>
      <c r="T13" s="1503" t="s">
        <v>8</v>
      </c>
      <c r="U13" s="1504">
        <f t="shared" si="1"/>
        <v>100</v>
      </c>
      <c r="V13" s="1503" t="s">
        <v>8</v>
      </c>
      <c r="W13" s="1504">
        <f t="shared" si="2"/>
        <v>100</v>
      </c>
      <c r="X13" s="1505"/>
      <c r="Y13" s="407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4154" t="s">
        <v>534</v>
      </c>
      <c r="Q14" s="1507" t="str">
        <f t="shared" si="6"/>
        <v>交通便捷度</v>
      </c>
      <c r="R14" s="1508" t="s">
        <v>8</v>
      </c>
      <c r="S14" s="1509">
        <f t="shared" si="0"/>
        <v>100</v>
      </c>
      <c r="T14" s="1508" t="s">
        <v>8</v>
      </c>
      <c r="U14" s="1509">
        <f t="shared" si="1"/>
        <v>100</v>
      </c>
      <c r="V14" s="1508" t="s">
        <v>8</v>
      </c>
      <c r="W14" s="1509">
        <f t="shared" si="2"/>
        <v>100</v>
      </c>
      <c r="X14" s="1502"/>
      <c r="Y14" s="4154"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4155"/>
      <c r="Q15" s="1507"/>
      <c r="R15" s="1508"/>
      <c r="S15" s="1509"/>
      <c r="T15" s="1508"/>
      <c r="U15" s="1509"/>
      <c r="V15" s="1508"/>
      <c r="W15" s="1509"/>
      <c r="X15" s="1502"/>
      <c r="Y15" s="4155"/>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4155"/>
      <c r="Q16" s="1507" t="str">
        <f>B16</f>
        <v>公共配套设施</v>
      </c>
      <c r="R16" s="1508" t="s">
        <v>8</v>
      </c>
      <c r="S16" s="1509">
        <f>F16</f>
        <v>100</v>
      </c>
      <c r="T16" s="1508" t="s">
        <v>8</v>
      </c>
      <c r="U16" s="1509">
        <f>H16</f>
        <v>100</v>
      </c>
      <c r="V16" s="1508" t="s">
        <v>8</v>
      </c>
      <c r="W16" s="1509">
        <f>J16</f>
        <v>100</v>
      </c>
      <c r="X16" s="1502"/>
      <c r="Y16" s="4155"/>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4155"/>
      <c r="Q17" s="1507"/>
      <c r="R17" s="1508"/>
      <c r="S17" s="1509"/>
      <c r="T17" s="1508"/>
      <c r="U17" s="1509"/>
      <c r="V17" s="1508"/>
      <c r="W17" s="1509"/>
      <c r="X17" s="1502"/>
      <c r="Y17" s="4155"/>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4155"/>
      <c r="Q18" s="2429" t="str">
        <f>B18</f>
        <v>基础设施水平</v>
      </c>
      <c r="R18" s="1508" t="s">
        <v>8</v>
      </c>
      <c r="S18" s="1509">
        <f>F18</f>
        <v>100</v>
      </c>
      <c r="T18" s="1508" t="s">
        <v>8</v>
      </c>
      <c r="U18" s="1509">
        <f>H18</f>
        <v>100</v>
      </c>
      <c r="V18" s="1508" t="s">
        <v>8</v>
      </c>
      <c r="W18" s="1509">
        <f>J18</f>
        <v>100</v>
      </c>
      <c r="X18" s="2431"/>
      <c r="Y18" s="4155"/>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4155"/>
      <c r="Q19" s="2429"/>
      <c r="R19" s="1508"/>
      <c r="S19" s="1509"/>
      <c r="T19" s="1508"/>
      <c r="U19" s="1509"/>
      <c r="V19" s="1508"/>
      <c r="W19" s="1509"/>
      <c r="X19" s="2431"/>
      <c r="Y19" s="4155"/>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4155"/>
      <c r="Q20" s="1507" t="str">
        <f>B20</f>
        <v>自然及人文环境</v>
      </c>
      <c r="R20" s="1508" t="s">
        <v>8</v>
      </c>
      <c r="S20" s="1509">
        <f>F20</f>
        <v>100</v>
      </c>
      <c r="T20" s="1508" t="s">
        <v>8</v>
      </c>
      <c r="U20" s="1509">
        <f>H20</f>
        <v>100</v>
      </c>
      <c r="V20" s="1508" t="s">
        <v>8</v>
      </c>
      <c r="W20" s="1509">
        <f>J20</f>
        <v>100</v>
      </c>
      <c r="X20" s="1502"/>
      <c r="Y20" s="4155"/>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4155"/>
      <c r="Q21" s="1507"/>
      <c r="R21" s="1508"/>
      <c r="S21" s="1509"/>
      <c r="T21" s="1508"/>
      <c r="U21" s="1509"/>
      <c r="V21" s="1508"/>
      <c r="W21" s="1509"/>
      <c r="X21" s="1502"/>
      <c r="Y21" s="4155"/>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4155"/>
      <c r="Q22" s="1507" t="str">
        <f>B22</f>
        <v>楼层</v>
      </c>
      <c r="R22" s="1508" t="s">
        <v>8</v>
      </c>
      <c r="S22" s="1509">
        <f>F22</f>
        <v>100</v>
      </c>
      <c r="T22" s="1508" t="s">
        <v>8</v>
      </c>
      <c r="U22" s="1509">
        <f>H22</f>
        <v>100</v>
      </c>
      <c r="V22" s="1508" t="s">
        <v>8</v>
      </c>
      <c r="W22" s="1509">
        <f>J22</f>
        <v>100</v>
      </c>
      <c r="X22" s="1502"/>
      <c r="Y22" s="4155"/>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4155"/>
      <c r="Q23" s="1507">
        <f>B23</f>
        <v>111</v>
      </c>
      <c r="R23" s="1508" t="s">
        <v>8</v>
      </c>
      <c r="S23" s="1509">
        <f>F23</f>
        <v>100</v>
      </c>
      <c r="T23" s="1508" t="s">
        <v>8</v>
      </c>
      <c r="U23" s="1509">
        <f>H23</f>
        <v>100</v>
      </c>
      <c r="V23" s="1508" t="s">
        <v>8</v>
      </c>
      <c r="W23" s="1509">
        <f>J23</f>
        <v>100</v>
      </c>
      <c r="X23" s="1502"/>
      <c r="Y23" s="4155"/>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4155"/>
      <c r="Q24" s="1507">
        <f t="shared" ref="Q24:Q34" si="11">B24</f>
        <v>111</v>
      </c>
      <c r="R24" s="1508" t="s">
        <v>8</v>
      </c>
      <c r="S24" s="1509">
        <f>F24</f>
        <v>100</v>
      </c>
      <c r="T24" s="1508" t="s">
        <v>8</v>
      </c>
      <c r="U24" s="1509">
        <f>H24</f>
        <v>100</v>
      </c>
      <c r="V24" s="1508" t="s">
        <v>8</v>
      </c>
      <c r="W24" s="1509">
        <f>J24</f>
        <v>100</v>
      </c>
      <c r="X24" s="1502"/>
      <c r="Y24" s="4155"/>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4155"/>
      <c r="Q25" s="1134">
        <f t="shared" si="11"/>
        <v>111</v>
      </c>
      <c r="R25" s="1503" t="s">
        <v>8</v>
      </c>
      <c r="S25" s="1504">
        <f>F25</f>
        <v>100</v>
      </c>
      <c r="T25" s="1503" t="s">
        <v>8</v>
      </c>
      <c r="U25" s="1504">
        <f>H25</f>
        <v>100</v>
      </c>
      <c r="V25" s="1503" t="s">
        <v>8</v>
      </c>
      <c r="W25" s="1504">
        <f>J25</f>
        <v>100</v>
      </c>
      <c r="X25" s="1505"/>
      <c r="Y25" s="4155"/>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4156"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4157"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4157"/>
      <c r="Q27" s="1536" t="str">
        <f t="shared" si="11"/>
        <v>成新率</v>
      </c>
      <c r="R27" s="1512" t="s">
        <v>8</v>
      </c>
      <c r="S27" s="1513" t="e">
        <f t="shared" si="12"/>
        <v>#N/A</v>
      </c>
      <c r="T27" s="1512" t="s">
        <v>8</v>
      </c>
      <c r="U27" s="1513" t="e">
        <f t="shared" si="13"/>
        <v>#N/A</v>
      </c>
      <c r="V27" s="1512" t="s">
        <v>8</v>
      </c>
      <c r="W27" s="1513" t="e">
        <f t="shared" si="14"/>
        <v>#N/A</v>
      </c>
      <c r="X27" s="1514"/>
      <c r="Y27" s="4157"/>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4157"/>
      <c r="Q28" s="1507" t="str">
        <f t="shared" si="11"/>
        <v>物业等级</v>
      </c>
      <c r="R28" s="1508" t="s">
        <v>8</v>
      </c>
      <c r="S28" s="1509">
        <f t="shared" si="12"/>
        <v>100</v>
      </c>
      <c r="T28" s="1508" t="s">
        <v>8</v>
      </c>
      <c r="U28" s="1509">
        <f t="shared" si="13"/>
        <v>100</v>
      </c>
      <c r="V28" s="1508" t="s">
        <v>8</v>
      </c>
      <c r="W28" s="1509">
        <f t="shared" si="14"/>
        <v>100</v>
      </c>
      <c r="X28" s="1502"/>
      <c r="Y28" s="4157"/>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4157"/>
      <c r="Q29" s="1507" t="str">
        <f t="shared" si="11"/>
        <v>有无电梯</v>
      </c>
      <c r="R29" s="1508" t="s">
        <v>8</v>
      </c>
      <c r="S29" s="1509">
        <f t="shared" si="12"/>
        <v>100</v>
      </c>
      <c r="T29" s="1508" t="s">
        <v>8</v>
      </c>
      <c r="U29" s="1509">
        <f t="shared" si="13"/>
        <v>100</v>
      </c>
      <c r="V29" s="1508" t="s">
        <v>8</v>
      </c>
      <c r="W29" s="1509">
        <f t="shared" si="14"/>
        <v>100</v>
      </c>
      <c r="X29" s="1502"/>
      <c r="Y29" s="4157"/>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4157"/>
      <c r="Q30" s="1507" t="str">
        <f t="shared" si="11"/>
        <v>建筑面积</v>
      </c>
      <c r="R30" s="1508" t="s">
        <v>8</v>
      </c>
      <c r="S30" s="1509" t="e">
        <f t="shared" si="12"/>
        <v>#N/A</v>
      </c>
      <c r="T30" s="1508" t="s">
        <v>8</v>
      </c>
      <c r="U30" s="1509" t="e">
        <f t="shared" si="13"/>
        <v>#N/A</v>
      </c>
      <c r="V30" s="1508" t="s">
        <v>8</v>
      </c>
      <c r="W30" s="1509" t="e">
        <f t="shared" si="14"/>
        <v>#N/A</v>
      </c>
      <c r="X30" s="1502"/>
      <c r="Y30" s="4157"/>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4157"/>
      <c r="Q31" s="1134" t="str">
        <f t="shared" si="11"/>
        <v>是否封闭</v>
      </c>
      <c r="R31" s="1503" t="s">
        <v>8</v>
      </c>
      <c r="S31" s="1504">
        <f t="shared" si="12"/>
        <v>100</v>
      </c>
      <c r="T31" s="1503" t="s">
        <v>8</v>
      </c>
      <c r="U31" s="1504">
        <f t="shared" si="13"/>
        <v>100</v>
      </c>
      <c r="V31" s="1503" t="s">
        <v>8</v>
      </c>
      <c r="W31" s="1504">
        <f t="shared" si="14"/>
        <v>100</v>
      </c>
      <c r="X31" s="1505"/>
      <c r="Y31" s="4157"/>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4157" t="s">
        <v>544</v>
      </c>
      <c r="Q32" s="1507">
        <f t="shared" si="11"/>
        <v>111</v>
      </c>
      <c r="R32" s="1508" t="s">
        <v>8</v>
      </c>
      <c r="S32" s="1509">
        <f t="shared" si="12"/>
        <v>100</v>
      </c>
      <c r="T32" s="1508" t="s">
        <v>8</v>
      </c>
      <c r="U32" s="1509">
        <f t="shared" si="13"/>
        <v>100</v>
      </c>
      <c r="V32" s="1508" t="s">
        <v>8</v>
      </c>
      <c r="W32" s="1509">
        <f t="shared" si="14"/>
        <v>100</v>
      </c>
      <c r="X32" s="1502"/>
      <c r="Y32" s="4157"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4157"/>
      <c r="Q33" s="1507">
        <f t="shared" si="11"/>
        <v>111</v>
      </c>
      <c r="R33" s="1508" t="s">
        <v>8</v>
      </c>
      <c r="S33" s="1509">
        <f t="shared" si="12"/>
        <v>100</v>
      </c>
      <c r="T33" s="1508" t="s">
        <v>8</v>
      </c>
      <c r="U33" s="1509">
        <f t="shared" si="13"/>
        <v>100</v>
      </c>
      <c r="V33" s="1508" t="s">
        <v>8</v>
      </c>
      <c r="W33" s="1509">
        <f t="shared" si="14"/>
        <v>100</v>
      </c>
      <c r="X33" s="1502"/>
      <c r="Y33" s="4157"/>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4157"/>
      <c r="Q34" s="1507">
        <f t="shared" si="11"/>
        <v>111</v>
      </c>
      <c r="R34" s="1508" t="s">
        <v>8</v>
      </c>
      <c r="S34" s="1509">
        <f t="shared" si="12"/>
        <v>100</v>
      </c>
      <c r="T34" s="1508" t="s">
        <v>8</v>
      </c>
      <c r="U34" s="1509">
        <f t="shared" si="13"/>
        <v>100</v>
      </c>
      <c r="V34" s="1508" t="s">
        <v>8</v>
      </c>
      <c r="W34" s="1509">
        <f t="shared" si="14"/>
        <v>100</v>
      </c>
      <c r="X34" s="1502"/>
      <c r="Y34" s="4157"/>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4152" t="str">
        <f>A35</f>
        <v>成交单价（元/平方米）</v>
      </c>
      <c r="Q35" s="4152"/>
      <c r="R35" s="4219">
        <f>E35</f>
        <v>0</v>
      </c>
      <c r="S35" s="4219"/>
      <c r="T35" s="4219">
        <f>G35</f>
        <v>0</v>
      </c>
      <c r="U35" s="4219"/>
      <c r="V35" s="4219">
        <f>I35</f>
        <v>0</v>
      </c>
      <c r="W35" s="4219"/>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4152" t="str">
        <f>A36</f>
        <v>比较价格（元/平方米）</v>
      </c>
      <c r="Q36" s="4152"/>
      <c r="R36" s="4219" t="e">
        <f>IF(F1="售价",ROUND(PRODUCT(R35,AA7:AA34),0),ROUND(PRODUCT(R35,AA7:AA34),1))</f>
        <v>#DIV/0!</v>
      </c>
      <c r="S36" s="4219"/>
      <c r="T36" s="4219" t="e">
        <f>IF(F1="售价",ROUND(PRODUCT(T35,AB7:AB34),0),ROUND(PRODUCT(T35,AB7:AB34),1))</f>
        <v>#DIV/0!</v>
      </c>
      <c r="U36" s="4219"/>
      <c r="V36" s="4219" t="e">
        <f>IF(F1="售价",ROUND(PRODUCT(V35,AC7:AC34),0),ROUND(PRODUCT(V35,AC7:AC34),1))</f>
        <v>#DIV/0!</v>
      </c>
      <c r="W36" s="4219"/>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4173" t="str">
        <f>A37</f>
        <v>估价对象XX用房的比较价格（楼面单价，元/平方米）</v>
      </c>
      <c r="Q37" s="4174"/>
      <c r="R37" s="4218" t="e">
        <f>IF(F1="售价",ROUND(IF(D36="简单平均",AVERAGE(R36:W36),R36*F36+T36*H36+V36*J36),0),ROUND(IF(D36="简单平均",AVERAGE(R36:V36),R36*F36+T36*H36+V36*J36),1))</f>
        <v>#DIV/0!</v>
      </c>
      <c r="S37" s="4218"/>
      <c r="T37" s="4218"/>
      <c r="U37" s="4218"/>
      <c r="V37" s="4218"/>
      <c r="W37" s="4218"/>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7" priority="18" stopIfTrue="1" operator="containsText" text="超过">
      <formula>NOT(ISERROR(SEARCH("超过",F40)))</formula>
    </cfRule>
  </conditionalFormatting>
  <conditionalFormatting sqref="J42">
    <cfRule type="containsText" dxfId="36" priority="17" stopIfTrue="1" operator="containsText" text="超过">
      <formula>NOT(ISERROR(SEARCH("超过",J42)))</formula>
    </cfRule>
  </conditionalFormatting>
  <conditionalFormatting sqref="H42">
    <cfRule type="containsText" dxfId="35" priority="16" stopIfTrue="1" operator="containsText" text="超过">
      <formula>NOT(ISERROR(SEARCH("超过",H42)))</formula>
    </cfRule>
  </conditionalFormatting>
  <conditionalFormatting sqref="F42">
    <cfRule type="containsText" dxfId="34" priority="15" stopIfTrue="1" operator="containsText" text="超过">
      <formula>NOT(ISERROR(SEARCH("超过",F42)))</formula>
    </cfRule>
  </conditionalFormatting>
  <conditionalFormatting sqref="F41 H41 J41">
    <cfRule type="containsText" dxfId="33" priority="14" stopIfTrue="1" operator="containsText" text="超过">
      <formula>NOT(ISERROR(SEARCH("超过",F41)))</formula>
    </cfRule>
  </conditionalFormatting>
  <conditionalFormatting sqref="E40">
    <cfRule type="expression" dxfId="32" priority="13" stopIfTrue="1">
      <formula>$F$40="超过30%"</formula>
    </cfRule>
  </conditionalFormatting>
  <conditionalFormatting sqref="G42">
    <cfRule type="expression" dxfId="31" priority="12" stopIfTrue="1">
      <formula>$H$54+$H$42="超过30%"</formula>
    </cfRule>
  </conditionalFormatting>
  <conditionalFormatting sqref="E41">
    <cfRule type="expression" dxfId="30" priority="11" stopIfTrue="1">
      <formula>$F$41="超过20%"</formula>
    </cfRule>
  </conditionalFormatting>
  <conditionalFormatting sqref="E42">
    <cfRule type="expression" dxfId="29" priority="10" stopIfTrue="1">
      <formula>$F$42="超过30%"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I40">
    <cfRule type="expression" dxfId="26" priority="7" stopIfTrue="1">
      <formula>$J$40="超过30%"</formula>
    </cfRule>
  </conditionalFormatting>
  <conditionalFormatting sqref="I41">
    <cfRule type="expression" dxfId="25" priority="6" stopIfTrue="1">
      <formula>$J$41="超过20%"</formula>
    </cfRule>
  </conditionalFormatting>
  <conditionalFormatting sqref="I42">
    <cfRule type="expression" dxfId="24" priority="5" stopIfTrue="1">
      <formula>$J$42="超过30%"</formula>
    </cfRule>
  </conditionalFormatting>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F7:F34 H7:H34 J7:J34">
    <cfRule type="cellIs" dxfId="2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金隅：</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26088.75平方米。根据《建设工程规划许可证》[]、《出让合同》[]，估价对象规划建筑面积为26088.75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2021年3月13日（评估专业人员勘察现场之日）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根据《国有土地使用证》[]，估价对象（分摊）出让国有建设用地使用权面积为26088.75平方米。根据《建设工程规划许可证》[]、《出让合同》[]，估价对象规划建筑面积为26088.75平方米。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R508" sqref="R508"/>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4258" t="s">
        <v>2292</v>
      </c>
      <c r="D1" s="4259"/>
      <c r="E1" s="4259"/>
      <c r="F1" s="4259"/>
      <c r="G1" s="4259"/>
      <c r="H1" s="4259"/>
      <c r="I1" s="4259"/>
      <c r="J1" s="4259"/>
      <c r="K1" s="4259"/>
      <c r="L1" s="4259"/>
      <c r="M1" s="4259"/>
      <c r="N1" s="4259"/>
      <c r="O1" s="4259"/>
      <c r="P1" s="4259"/>
      <c r="Q1" s="4259"/>
      <c r="R1" s="4259"/>
      <c r="S1" s="4260"/>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4255" t="s">
        <v>20</v>
      </c>
      <c r="D22" s="4256"/>
      <c r="E22" s="4256"/>
      <c r="F22" s="4256"/>
      <c r="G22" s="4256"/>
      <c r="H22" s="4256"/>
      <c r="I22" s="4256"/>
      <c r="J22" s="4256"/>
      <c r="K22" s="4256"/>
      <c r="L22" s="4256"/>
      <c r="M22" s="4256"/>
      <c r="N22" s="4256"/>
      <c r="O22" s="4256"/>
      <c r="P22" s="4256"/>
      <c r="Q22" s="425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tabColor rgb="FF92D050"/>
  </sheetPr>
  <dimension ref="A1:J26"/>
  <sheetViews>
    <sheetView view="pageBreakPreview" zoomScale="80" zoomScaleNormal="80" zoomScaleSheetLayoutView="80" workbookViewId="0">
      <selection activeCell="E15" sqref="E15"/>
    </sheetView>
  </sheetViews>
  <sheetFormatPr defaultColWidth="14.625" defaultRowHeight="13.5"/>
  <cols>
    <col min="1" max="1" width="24.375" style="3186" customWidth="1"/>
    <col min="2" max="16384" width="14.625" style="3186"/>
  </cols>
  <sheetData>
    <row r="1" spans="1:10" ht="16.5">
      <c r="A1" s="3185" t="s">
        <v>2824</v>
      </c>
      <c r="B1" s="3185">
        <f>SUM(B14:B23)</f>
        <v>0</v>
      </c>
      <c r="C1" s="3194"/>
      <c r="D1" s="3194"/>
      <c r="E1" s="3194"/>
      <c r="F1" s="3194"/>
      <c r="G1" s="3195"/>
      <c r="H1" s="3195"/>
      <c r="I1" s="3195"/>
      <c r="J1" s="3195"/>
    </row>
    <row r="2" spans="1:10" ht="16.5">
      <c r="A2" s="3185" t="s">
        <v>2825</v>
      </c>
      <c r="B2" s="3185">
        <f>SUM(C14:C23)</f>
        <v>26088.75</v>
      </c>
      <c r="C2" s="3194"/>
      <c r="D2" s="3194"/>
      <c r="E2" s="3194"/>
      <c r="F2" s="3194"/>
      <c r="G2" s="3195"/>
      <c r="H2" s="3195"/>
      <c r="I2" s="3195"/>
      <c r="J2" s="3195"/>
    </row>
    <row r="3" spans="1:10" ht="16.5">
      <c r="A3" s="3185" t="s">
        <v>2826</v>
      </c>
      <c r="B3" s="3187">
        <f>项目基本情况!D3</f>
        <v>44268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6242.4496999999992</v>
      </c>
      <c r="C5" s="3185" t="e">
        <f ca="1">ROUND(B5*10000/$B$1,0)</f>
        <v>#DIV/0!</v>
      </c>
      <c r="D5" s="3185">
        <f ca="1">ROUND(B5*10000/$B$2,0)</f>
        <v>2393</v>
      </c>
      <c r="E5" s="3194"/>
      <c r="F5" s="3194"/>
      <c r="G5" s="3195"/>
      <c r="H5" s="3195"/>
      <c r="I5" s="3195"/>
      <c r="J5" s="3195"/>
    </row>
    <row r="6" spans="1:10" ht="16.5">
      <c r="A6" s="3185" t="s">
        <v>2832</v>
      </c>
      <c r="B6" s="3185">
        <f>SUM(G14:G23)</f>
        <v>0</v>
      </c>
      <c r="C6" s="3185" t="e">
        <f t="shared" ref="C6:C8" si="0">ROUND(B6*10000/$B$1,0)</f>
        <v>#DIV/0!</v>
      </c>
      <c r="D6" s="3185">
        <f t="shared" ref="D6:D8" si="1">ROUND(B6*10000/$B$2,0)</f>
        <v>0</v>
      </c>
      <c r="E6" s="3194"/>
      <c r="F6" s="3194"/>
      <c r="G6" s="3195"/>
      <c r="H6" s="3195"/>
      <c r="I6" s="3195"/>
      <c r="J6" s="3195"/>
    </row>
    <row r="7" spans="1:10" ht="16.5">
      <c r="A7" s="3185" t="s">
        <v>2833</v>
      </c>
      <c r="B7" s="3185">
        <f>SUM(H14:H23)</f>
        <v>0</v>
      </c>
      <c r="C7" s="3185" t="e">
        <f t="shared" si="0"/>
        <v>#DIV/0!</v>
      </c>
      <c r="D7" s="3185">
        <f t="shared" si="1"/>
        <v>0</v>
      </c>
      <c r="E7" s="3194"/>
      <c r="F7" s="3194"/>
      <c r="G7" s="3195"/>
      <c r="H7" s="3195"/>
      <c r="I7" s="3195"/>
      <c r="J7" s="3195"/>
    </row>
    <row r="8" spans="1:10" ht="16.5">
      <c r="A8" s="3185" t="s">
        <v>2834</v>
      </c>
      <c r="B8" s="3185">
        <f>SUM(I14:I23)</f>
        <v>0</v>
      </c>
      <c r="C8" s="3185" t="e">
        <f t="shared" si="0"/>
        <v>#DIV/0!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4447" t="s">
        <v>4668</v>
      </c>
      <c r="C14" s="3191">
        <f>结果表!K38</f>
        <v>26088.75</v>
      </c>
      <c r="D14" s="3191">
        <f ca="1">结果汇总!Q35</f>
        <v>6242.4496999999992</v>
      </c>
      <c r="E14" s="3191">
        <f ca="1">ROUND(D14*10000/B14,0)</f>
        <v>8018</v>
      </c>
      <c r="F14" s="3191">
        <f ca="1">ROUND(D14*10000/C14,0)</f>
        <v>2393</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tabColor rgb="FF92D050"/>
  </sheetPr>
  <dimension ref="A1:AH116"/>
  <sheetViews>
    <sheetView zoomScale="80" zoomScaleNormal="80" workbookViewId="0">
      <selection activeCell="Q21" sqref="Q6:Q21"/>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4263" t="s">
        <v>2557</v>
      </c>
      <c r="C1" s="4263"/>
      <c r="D1" s="4263"/>
      <c r="E1" s="4263"/>
      <c r="F1" s="4263"/>
      <c r="G1" s="4262" t="s">
        <v>2558</v>
      </c>
      <c r="H1" s="4262"/>
      <c r="I1" s="4262"/>
      <c r="J1" s="4262"/>
      <c r="K1" s="4262"/>
      <c r="L1" s="4262"/>
      <c r="N1" s="4262" t="s">
        <v>2559</v>
      </c>
      <c r="O1" s="4262"/>
      <c r="P1" s="4262"/>
      <c r="Q1" s="4262"/>
      <c r="S1" s="4262" t="s">
        <v>2560</v>
      </c>
      <c r="T1" s="4262"/>
      <c r="U1" s="4262"/>
      <c r="V1" s="4262"/>
      <c r="X1" s="4261" t="s">
        <v>2620</v>
      </c>
      <c r="Y1" s="4262"/>
      <c r="Z1" s="4262"/>
      <c r="AA1" s="4262"/>
      <c r="AB1" s="4262"/>
      <c r="AD1" s="4261" t="s">
        <v>2624</v>
      </c>
      <c r="AE1" s="4262"/>
      <c r="AF1" s="4262"/>
      <c r="AG1" s="4262"/>
      <c r="AH1" s="4262"/>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4265">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4265"/>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4265"/>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4271"/>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4270">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4265"/>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4265"/>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4271"/>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4270">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4265"/>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4265"/>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4266"/>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4264">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4265"/>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4265"/>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4266"/>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4264">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4265"/>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4265"/>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4266"/>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4267">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4268"/>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4268"/>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4269"/>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4264">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4265"/>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4265"/>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4266"/>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4264">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4265">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4265">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4266">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4264">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4265">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4265">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4266">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4264">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4265">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4265">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4266">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4264">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4265">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4265">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4266">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4264">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4265">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4265">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4266">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4264">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4265">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4265">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4266">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4264">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4265">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4265">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4266">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4264">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4265">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4265">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4266">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4264">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4265">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4265">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4266">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4264">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4265">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4265">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4266">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rgb="FFFF0000"/>
  </sheetPr>
  <dimension ref="A1:Y35"/>
  <sheetViews>
    <sheetView tabSelected="1" topLeftCell="D1" zoomScale="90" zoomScaleNormal="90" workbookViewId="0">
      <selection activeCell="L6" sqref="L6"/>
    </sheetView>
  </sheetViews>
  <sheetFormatPr defaultRowHeight="13.5"/>
  <cols>
    <col min="1" max="1" width="5.125" customWidth="1"/>
    <col min="2" max="2" width="7" customWidth="1"/>
    <col min="3" max="3" width="3.625" customWidth="1"/>
    <col min="4" max="4" width="5.875" customWidth="1"/>
    <col min="5" max="5" width="3.75" customWidth="1"/>
    <col min="6" max="6" width="6.75" customWidth="1"/>
    <col min="7" max="7" width="7" customWidth="1"/>
    <col min="8" max="8" width="9.375" customWidth="1"/>
    <col min="9" max="9" width="3.625" customWidth="1"/>
    <col min="10" max="10" width="6.25" customWidth="1"/>
    <col min="11" max="11" width="3.5" customWidth="1"/>
    <col min="12" max="12" width="10.375" customWidth="1"/>
    <col min="13" max="13" width="9.25" customWidth="1"/>
    <col min="14" max="14" width="5" customWidth="1"/>
    <col min="15" max="15" width="8.875" customWidth="1"/>
    <col min="16" max="16" width="13.375" customWidth="1"/>
    <col min="17" max="17" width="20.25" customWidth="1"/>
    <col min="18" max="18" width="10.875" customWidth="1"/>
    <col min="19" max="19" width="39.625" customWidth="1"/>
    <col min="20" max="20" width="8.375" customWidth="1"/>
    <col min="21" max="21" width="8" customWidth="1"/>
    <col min="22" max="22" width="21" customWidth="1"/>
    <col min="23" max="23" width="9.75" customWidth="1"/>
    <col min="24" max="24" width="10.125" customWidth="1"/>
    <col min="25" max="25" width="11.75" customWidth="1"/>
  </cols>
  <sheetData>
    <row r="1" spans="1:25" ht="14.25" thickBot="1">
      <c r="L1">
        <f>'数据-汇总表'!D3</f>
        <v>26088.75</v>
      </c>
    </row>
    <row r="2" spans="1:25" ht="14.25" thickBot="1">
      <c r="A2" s="4272" t="s">
        <v>4088</v>
      </c>
      <c r="B2" s="4273"/>
      <c r="C2" s="4273"/>
      <c r="D2" s="4273"/>
      <c r="E2" s="4273"/>
      <c r="F2" s="4273"/>
      <c r="G2" s="4273"/>
      <c r="H2" s="4273"/>
      <c r="I2" s="4273"/>
      <c r="J2" s="4273"/>
      <c r="K2" s="4273"/>
      <c r="L2" s="4273"/>
      <c r="M2" s="3347"/>
      <c r="O2" s="3778" t="s">
        <v>3885</v>
      </c>
      <c r="P2" s="3778" t="s">
        <v>3886</v>
      </c>
      <c r="Q2" s="3779" t="s">
        <v>3887</v>
      </c>
      <c r="R2" s="3778" t="s">
        <v>3888</v>
      </c>
      <c r="S2" s="3778" t="s">
        <v>3889</v>
      </c>
      <c r="T2" s="3858"/>
      <c r="U2" s="3863" t="s">
        <v>4245</v>
      </c>
      <c r="V2" s="3863" t="s">
        <v>4246</v>
      </c>
      <c r="W2" s="3863" t="s">
        <v>4247</v>
      </c>
    </row>
    <row r="3" spans="1:25" ht="37.5" customHeight="1" thickTop="1">
      <c r="A3" s="3770" t="s">
        <v>3905</v>
      </c>
      <c r="B3" s="3770" t="s">
        <v>3198</v>
      </c>
      <c r="C3" s="3770" t="s">
        <v>3199</v>
      </c>
      <c r="D3" s="3770" t="s">
        <v>3200</v>
      </c>
      <c r="E3" s="3770" t="s">
        <v>3199</v>
      </c>
      <c r="F3" s="3770" t="s">
        <v>3203</v>
      </c>
      <c r="G3" s="3770" t="s">
        <v>3222</v>
      </c>
      <c r="H3" s="3770" t="s">
        <v>3223</v>
      </c>
      <c r="I3" s="3770" t="s">
        <v>3202</v>
      </c>
      <c r="J3" s="3770" t="s">
        <v>3201</v>
      </c>
      <c r="K3" s="3770" t="s">
        <v>3199</v>
      </c>
      <c r="L3" s="3770" t="s">
        <v>3224</v>
      </c>
      <c r="M3" s="3770" t="s">
        <v>3225</v>
      </c>
      <c r="O3" s="3780">
        <v>1</v>
      </c>
      <c r="P3" s="3781" t="s">
        <v>3890</v>
      </c>
      <c r="Q3" s="3865" t="s">
        <v>4248</v>
      </c>
      <c r="R3" s="3866">
        <f ca="1">M4</f>
        <v>4161.1556</v>
      </c>
      <c r="S3" s="3782" t="s">
        <v>3891</v>
      </c>
      <c r="T3" s="3859"/>
      <c r="U3" s="3863">
        <v>1</v>
      </c>
      <c r="V3" s="3863" t="s">
        <v>4237</v>
      </c>
      <c r="W3" s="3863">
        <v>3756.78</v>
      </c>
    </row>
    <row r="4" spans="1:25" ht="33" customHeight="1">
      <c r="A4" s="3770" t="s">
        <v>3906</v>
      </c>
      <c r="B4" s="3771">
        <f ca="1">基准地价!C29</f>
        <v>535</v>
      </c>
      <c r="C4" s="3772">
        <v>0.2</v>
      </c>
      <c r="D4" s="3771">
        <f ca="1">'剩余法-待开发'!B3</f>
        <v>811</v>
      </c>
      <c r="E4" s="3772">
        <f>1-C4</f>
        <v>0.8</v>
      </c>
      <c r="F4" s="3770">
        <f ca="1">ROUND(B4*C4+D4*E4,0)</f>
        <v>756</v>
      </c>
      <c r="G4" s="3773">
        <v>0.12</v>
      </c>
      <c r="H4" s="3774">
        <f ca="1">ROUND(F4-F4*G4,0)</f>
        <v>665</v>
      </c>
      <c r="I4" s="3772">
        <v>0.2</v>
      </c>
      <c r="J4" s="3775">
        <f ca="1">成本逼近法!B3</f>
        <v>1828</v>
      </c>
      <c r="K4" s="3772">
        <f>1-I4</f>
        <v>0.8</v>
      </c>
      <c r="L4" s="3776">
        <f ca="1">ROUND(H4*I4+J4*K4,0)</f>
        <v>1595</v>
      </c>
      <c r="M4" s="3777">
        <f ca="1">ROUND(L4*'数据-基础表'!A3/10000,4)</f>
        <v>4161.1556</v>
      </c>
      <c r="O4" s="3783">
        <v>2</v>
      </c>
      <c r="P4" s="3784" t="s">
        <v>3892</v>
      </c>
      <c r="Q4" s="3867" t="s">
        <v>4249</v>
      </c>
      <c r="R4" s="3868">
        <f>ROUND('建（构）筑物价格'!B28/10000,4)</f>
        <v>805.21360000000004</v>
      </c>
      <c r="S4" s="3785" t="s">
        <v>3893</v>
      </c>
      <c r="T4" s="3860"/>
      <c r="U4" s="3863">
        <v>2</v>
      </c>
      <c r="V4" s="3863" t="s">
        <v>4238</v>
      </c>
      <c r="W4" s="3863">
        <v>763.64859999999999</v>
      </c>
    </row>
    <row r="5" spans="1:25" ht="22.5">
      <c r="K5" s="3248" t="s">
        <v>3226</v>
      </c>
      <c r="O5" s="3780">
        <v>3</v>
      </c>
      <c r="P5" s="3781" t="s">
        <v>3894</v>
      </c>
      <c r="Q5" s="3865" t="s">
        <v>3883</v>
      </c>
      <c r="R5" s="3904">
        <f>ROUND(('附属物-墙地棚'!F16+'附属物-树木'!F50)/10000,4)</f>
        <v>273.73989999999998</v>
      </c>
      <c r="S5" s="3786" t="s">
        <v>3895</v>
      </c>
      <c r="T5" s="3861"/>
      <c r="U5" s="3863">
        <v>3</v>
      </c>
      <c r="V5" s="3864" t="s">
        <v>4239</v>
      </c>
      <c r="W5" s="3863">
        <v>374.21120000000002</v>
      </c>
    </row>
    <row r="6" spans="1:25" ht="22.5">
      <c r="L6" s="3918">
        <f ca="1">L4*666.67/10000</f>
        <v>106.33386499999999</v>
      </c>
      <c r="N6" s="3248" t="s">
        <v>4255</v>
      </c>
      <c r="O6" s="3783">
        <v>4</v>
      </c>
      <c r="P6" s="3784" t="s">
        <v>3896</v>
      </c>
      <c r="Q6" s="3867" t="s">
        <v>3883</v>
      </c>
      <c r="R6" s="3869">
        <f>602.0311+R17+R18</f>
        <v>623.68299999999999</v>
      </c>
      <c r="S6" s="3785" t="s">
        <v>3897</v>
      </c>
      <c r="T6" s="3860"/>
      <c r="U6" s="3863">
        <v>4</v>
      </c>
      <c r="V6" s="3864" t="s">
        <v>4240</v>
      </c>
      <c r="W6" s="3863">
        <v>628.75580000000002</v>
      </c>
    </row>
    <row r="7" spans="1:25" ht="45">
      <c r="O7" s="3780">
        <v>5</v>
      </c>
      <c r="P7" s="3781" t="s">
        <v>3898</v>
      </c>
      <c r="Q7" s="3865" t="s">
        <v>3883</v>
      </c>
      <c r="R7" s="3866">
        <v>0</v>
      </c>
      <c r="S7" s="3786" t="s">
        <v>3899</v>
      </c>
      <c r="T7" s="3861"/>
      <c r="U7" s="3863">
        <v>5</v>
      </c>
      <c r="V7" s="3864" t="s">
        <v>4241</v>
      </c>
      <c r="W7" s="3863">
        <v>1665.6632199999999</v>
      </c>
    </row>
    <row r="8" spans="1:25" ht="57" thickBot="1">
      <c r="O8" s="3787">
        <v>6</v>
      </c>
      <c r="P8" s="3788" t="s">
        <v>3900</v>
      </c>
      <c r="Q8" s="3870" t="s">
        <v>3907</v>
      </c>
      <c r="R8" s="3871">
        <f>[6]搬迁费!Q3</f>
        <v>0</v>
      </c>
      <c r="S8" s="3789" t="s">
        <v>3901</v>
      </c>
      <c r="T8" s="3860"/>
      <c r="U8" s="3863">
        <v>6</v>
      </c>
      <c r="V8" s="3864" t="s">
        <v>4242</v>
      </c>
      <c r="W8" s="3863">
        <v>38.925849999999997</v>
      </c>
    </row>
    <row r="9" spans="1:25" ht="15" thickTop="1" thickBot="1">
      <c r="L9">
        <v>23.215199999999999</v>
      </c>
      <c r="O9" s="3790" t="s">
        <v>3902</v>
      </c>
      <c r="P9" s="3791" t="s">
        <v>3903</v>
      </c>
      <c r="Q9" s="3872"/>
      <c r="R9" s="3873">
        <f ca="1">SUM(R3:R8)</f>
        <v>5863.7920999999997</v>
      </c>
      <c r="S9" s="3792" t="s">
        <v>3904</v>
      </c>
      <c r="T9" s="3862"/>
      <c r="U9" s="3863">
        <v>7</v>
      </c>
      <c r="V9" s="3864" t="s">
        <v>4243</v>
      </c>
      <c r="W9" s="3863">
        <f>239.4577+74.8858+5.245</f>
        <v>319.58850000000001</v>
      </c>
    </row>
    <row r="10" spans="1:25" ht="14.25" thickBot="1">
      <c r="O10" s="3910" t="s">
        <v>4593</v>
      </c>
      <c r="P10" s="3911" t="s">
        <v>4594</v>
      </c>
      <c r="Q10" s="3790">
        <v>726.6</v>
      </c>
      <c r="R10" s="3790">
        <f>ROUND(Q10*S10,4)</f>
        <v>217.98</v>
      </c>
      <c r="S10" s="4445">
        <v>0.3</v>
      </c>
      <c r="T10">
        <v>0.24</v>
      </c>
      <c r="U10" s="3863">
        <v>8</v>
      </c>
      <c r="V10" s="3864" t="s">
        <v>4244</v>
      </c>
      <c r="W10" s="3863">
        <v>260.88749999999999</v>
      </c>
    </row>
    <row r="11" spans="1:25" ht="14.25" thickBot="1">
      <c r="M11">
        <f ca="1">R9+L9</f>
        <v>5887.0072999999993</v>
      </c>
      <c r="O11" s="3790"/>
      <c r="P11" s="3911" t="s">
        <v>4598</v>
      </c>
      <c r="Q11" s="3912">
        <v>124.80800000000001</v>
      </c>
      <c r="R11" s="3790">
        <f t="shared" ref="R11:R15" si="0">ROUND(Q11*S11,4)</f>
        <v>81.125200000000007</v>
      </c>
      <c r="S11" s="4445">
        <v>0.65</v>
      </c>
      <c r="T11">
        <v>0.56999999999999995</v>
      </c>
      <c r="U11" s="3863"/>
      <c r="V11" s="3863"/>
      <c r="W11" s="3863">
        <f>SUM(W3:W10)</f>
        <v>7808.4606699999995</v>
      </c>
      <c r="X11" s="3863">
        <f>W3+W4+W5+W6+W8+W9+W10</f>
        <v>6142.7974499999991</v>
      </c>
      <c r="Y11" s="3863" t="s">
        <v>4250</v>
      </c>
    </row>
    <row r="12" spans="1:25" ht="14.25" thickBot="1">
      <c r="H12">
        <f>SUM(R10:R15)</f>
        <v>378.65759999999995</v>
      </c>
      <c r="M12">
        <f ca="1">M11+1700</f>
        <v>7587.0072999999993</v>
      </c>
      <c r="O12" s="3790"/>
      <c r="P12" s="3914" t="s">
        <v>4595</v>
      </c>
      <c r="Q12" s="3915">
        <v>23.215199999999999</v>
      </c>
      <c r="R12" s="3790">
        <f t="shared" si="0"/>
        <v>15.0899</v>
      </c>
      <c r="S12" s="4445">
        <v>0.65</v>
      </c>
      <c r="T12">
        <v>0.55000000000000004</v>
      </c>
      <c r="X12">
        <f>W11-W7-W10</f>
        <v>5881.9099500000002</v>
      </c>
    </row>
    <row r="13" spans="1:25" ht="14.25" thickBot="1">
      <c r="H13">
        <f>H12+R6</f>
        <v>1002.3406</v>
      </c>
      <c r="O13" s="3790"/>
      <c r="P13" s="3913" t="s">
        <v>4596</v>
      </c>
      <c r="Q13" s="3912">
        <v>73.023135999999994</v>
      </c>
      <c r="R13" s="3790">
        <f t="shared" si="0"/>
        <v>47.465000000000003</v>
      </c>
      <c r="S13" s="4445">
        <v>0.65</v>
      </c>
    </row>
    <row r="14" spans="1:25" ht="14.25" thickBot="1">
      <c r="O14" s="3911"/>
      <c r="P14" s="3913" t="s">
        <v>4597</v>
      </c>
      <c r="Q14" s="3911">
        <v>6.5</v>
      </c>
      <c r="R14" s="3790">
        <f t="shared" si="0"/>
        <v>4.2249999999999996</v>
      </c>
      <c r="S14" s="4446">
        <v>0.65</v>
      </c>
    </row>
    <row r="15" spans="1:25" ht="14.25" thickBot="1">
      <c r="O15" s="3911"/>
      <c r="P15" s="3913" t="s">
        <v>4600</v>
      </c>
      <c r="Q15" s="3911">
        <v>19.649999999999999</v>
      </c>
      <c r="R15" s="3790">
        <f t="shared" si="0"/>
        <v>12.772500000000001</v>
      </c>
      <c r="S15" s="4446">
        <v>0.65</v>
      </c>
    </row>
    <row r="16" spans="1:25" ht="20.25" customHeight="1" thickBot="1">
      <c r="M16">
        <f>R17+R18</f>
        <v>21.651899999999998</v>
      </c>
      <c r="O16" s="3919" t="s">
        <v>4602</v>
      </c>
      <c r="P16" s="3920"/>
      <c r="Q16" s="3920"/>
      <c r="R16" s="3921">
        <f ca="1">R9+R10+R11+R12+R13+R14+R15</f>
        <v>6242.4497000000001</v>
      </c>
    </row>
    <row r="17" spans="15:19" ht="14.25" thickBot="1">
      <c r="O17" s="3911"/>
      <c r="P17" s="3911" t="s">
        <v>4599</v>
      </c>
      <c r="Q17" s="3911">
        <v>37.799999999999997</v>
      </c>
      <c r="R17" s="3912">
        <v>20.956299999999999</v>
      </c>
      <c r="S17" s="3911">
        <v>0.62</v>
      </c>
    </row>
    <row r="18" spans="15:19" ht="14.25" thickBot="1">
      <c r="O18" s="3911"/>
      <c r="P18" s="3911" t="s">
        <v>4601</v>
      </c>
      <c r="Q18" s="3911">
        <v>2.78</v>
      </c>
      <c r="R18" s="3912">
        <v>0.6956</v>
      </c>
      <c r="S18" s="3911">
        <v>0.28000000000000003</v>
      </c>
    </row>
    <row r="19" spans="15:19" ht="14.25" hidden="1" thickBot="1">
      <c r="P19" s="3911"/>
      <c r="Q19" s="3911"/>
      <c r="R19" s="3911">
        <f ca="1">SUM(R9+R10+R11+R12+R13+R14+R15)</f>
        <v>6242.4497000000001</v>
      </c>
      <c r="S19" s="3911"/>
    </row>
    <row r="29" spans="15:19" ht="14.25" thickBot="1"/>
    <row r="30" spans="15:19" ht="14.25" thickBot="1">
      <c r="O30" s="3923" t="s">
        <v>2360</v>
      </c>
      <c r="P30" s="3924" t="s">
        <v>2361</v>
      </c>
      <c r="Q30" s="3924" t="s">
        <v>4603</v>
      </c>
      <c r="R30" s="3924" t="s">
        <v>3660</v>
      </c>
    </row>
    <row r="31" spans="15:19" ht="45.75" thickBot="1">
      <c r="O31" s="3925">
        <v>1</v>
      </c>
      <c r="P31" s="3926" t="s">
        <v>4604</v>
      </c>
      <c r="Q31" s="3927">
        <f ca="1">R3</f>
        <v>4161.1556</v>
      </c>
      <c r="R31" s="3926" t="s">
        <v>4605</v>
      </c>
    </row>
    <row r="32" spans="15:19" ht="23.25" thickBot="1">
      <c r="O32" s="3925">
        <v>2</v>
      </c>
      <c r="P32" s="3926" t="s">
        <v>4606</v>
      </c>
      <c r="Q32" s="3927">
        <f>R4</f>
        <v>805.21360000000004</v>
      </c>
      <c r="R32" s="3926" t="s">
        <v>4607</v>
      </c>
    </row>
    <row r="33" spans="15:18" ht="23.25" thickBot="1">
      <c r="O33" s="3925">
        <v>3</v>
      </c>
      <c r="P33" s="3926" t="s">
        <v>3390</v>
      </c>
      <c r="Q33" s="3927">
        <f>R5</f>
        <v>273.73989999999998</v>
      </c>
      <c r="R33" s="3926" t="s">
        <v>4607</v>
      </c>
    </row>
    <row r="34" spans="15:18" ht="23.25" thickBot="1">
      <c r="O34" s="3925">
        <v>4</v>
      </c>
      <c r="P34" s="3926" t="s">
        <v>4608</v>
      </c>
      <c r="Q34" s="3927">
        <f>ROUND(R6+R10+R11+R12+R13+R14+R15,4)</f>
        <v>1002.3406</v>
      </c>
      <c r="R34" s="3926" t="s">
        <v>4607</v>
      </c>
    </row>
    <row r="35" spans="15:18" ht="14.25" thickBot="1">
      <c r="O35" s="3925">
        <v>5</v>
      </c>
      <c r="P35" s="3926" t="s">
        <v>4609</v>
      </c>
      <c r="Q35" s="3927">
        <f ca="1">SUM(Q31:Q34)</f>
        <v>6242.4496999999992</v>
      </c>
      <c r="R35" s="3927">
        <f>1+2+3+4+5</f>
        <v>15</v>
      </c>
    </row>
  </sheetData>
  <mergeCells count="1">
    <mergeCell ref="A2:L2"/>
  </mergeCells>
  <phoneticPr fontId="228" type="noConversion"/>
  <pageMargins left="0.7" right="0.7" top="0.75" bottom="0.75" header="0.3" footer="0.3"/>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4998F-A880-41E6-9F62-3E3131A390D0}">
  <dimension ref="A1:F183"/>
  <sheetViews>
    <sheetView workbookViewId="0">
      <selection activeCell="F182" sqref="F1:F182"/>
    </sheetView>
  </sheetViews>
  <sheetFormatPr defaultRowHeight="13.5"/>
  <sheetData>
    <row r="1" spans="1:6" ht="14.25" thickBot="1">
      <c r="A1" s="3928" t="s">
        <v>2360</v>
      </c>
      <c r="B1" s="3929" t="s">
        <v>4270</v>
      </c>
      <c r="C1" s="3929" t="s">
        <v>4271</v>
      </c>
      <c r="D1" s="3929" t="s">
        <v>4272</v>
      </c>
      <c r="E1" s="3929" t="s">
        <v>3332</v>
      </c>
      <c r="F1" s="3929" t="s">
        <v>4273</v>
      </c>
    </row>
    <row r="2" spans="1:6" ht="14.25" thickBot="1">
      <c r="A2" s="3930">
        <v>1</v>
      </c>
      <c r="B2" s="3931" t="s">
        <v>4274</v>
      </c>
      <c r="C2" s="3931" t="s">
        <v>4275</v>
      </c>
      <c r="D2" s="3932" t="s">
        <v>4276</v>
      </c>
      <c r="E2" s="3932">
        <v>1</v>
      </c>
      <c r="F2" s="3932">
        <v>0.90300000000000002</v>
      </c>
    </row>
    <row r="3" spans="1:6" ht="22.5" thickBot="1">
      <c r="A3" s="3930">
        <v>2</v>
      </c>
      <c r="B3" s="3931" t="s">
        <v>4277</v>
      </c>
      <c r="C3" s="3931" t="s">
        <v>4610</v>
      </c>
      <c r="D3" s="3932" t="s">
        <v>4279</v>
      </c>
      <c r="E3" s="3932">
        <v>1</v>
      </c>
      <c r="F3" s="3932">
        <v>0.78259999999999996</v>
      </c>
    </row>
    <row r="4" spans="1:6" ht="14.25" thickBot="1">
      <c r="A4" s="3930">
        <v>3</v>
      </c>
      <c r="B4" s="3931" t="s">
        <v>4280</v>
      </c>
      <c r="C4" s="3932" t="s">
        <v>4281</v>
      </c>
      <c r="D4" s="3932" t="s">
        <v>4282</v>
      </c>
      <c r="E4" s="3932">
        <v>1</v>
      </c>
      <c r="F4" s="3932">
        <v>2.1215999999999999</v>
      </c>
    </row>
    <row r="5" spans="1:6" ht="21.75" thickBot="1">
      <c r="A5" s="3930">
        <v>4</v>
      </c>
      <c r="B5" s="3931" t="s">
        <v>4283</v>
      </c>
      <c r="C5" s="3931" t="s">
        <v>4284</v>
      </c>
      <c r="D5" s="3932" t="s">
        <v>4285</v>
      </c>
      <c r="E5" s="3932">
        <v>1</v>
      </c>
      <c r="F5" s="3932">
        <v>4.9000000000000002E-2</v>
      </c>
    </row>
    <row r="6" spans="1:6" ht="21.75" thickBot="1">
      <c r="A6" s="3930">
        <v>5</v>
      </c>
      <c r="B6" s="3931" t="s">
        <v>4286</v>
      </c>
      <c r="C6" s="3931" t="s">
        <v>4287</v>
      </c>
      <c r="D6" s="3932" t="s">
        <v>4288</v>
      </c>
      <c r="E6" s="3932">
        <v>1</v>
      </c>
      <c r="F6" s="3932">
        <v>0.58799999999999997</v>
      </c>
    </row>
    <row r="7" spans="1:6" ht="14.25" thickBot="1">
      <c r="A7" s="3930">
        <v>6</v>
      </c>
      <c r="B7" s="3931" t="s">
        <v>4289</v>
      </c>
      <c r="C7" s="3931" t="s">
        <v>4290</v>
      </c>
      <c r="D7" s="3931" t="s">
        <v>4291</v>
      </c>
      <c r="E7" s="3932">
        <v>1</v>
      </c>
      <c r="F7" s="3932">
        <v>0.28320000000000001</v>
      </c>
    </row>
    <row r="8" spans="1:6" ht="21.75" thickBot="1">
      <c r="A8" s="3930">
        <v>7</v>
      </c>
      <c r="B8" s="3931" t="s">
        <v>4292</v>
      </c>
      <c r="C8" s="3931" t="s">
        <v>4293</v>
      </c>
      <c r="D8" s="3932" t="s">
        <v>4294</v>
      </c>
      <c r="E8" s="3932">
        <v>1</v>
      </c>
      <c r="F8" s="3932">
        <v>1.0791999999999999</v>
      </c>
    </row>
    <row r="9" spans="1:6" ht="21.75" thickBot="1">
      <c r="A9" s="3930">
        <v>8</v>
      </c>
      <c r="B9" s="3931" t="s">
        <v>4295</v>
      </c>
      <c r="C9" s="3931" t="s">
        <v>4296</v>
      </c>
      <c r="D9" s="3932" t="s">
        <v>4297</v>
      </c>
      <c r="E9" s="3932">
        <v>1</v>
      </c>
      <c r="F9" s="3932">
        <v>0.21290000000000001</v>
      </c>
    </row>
    <row r="10" spans="1:6" ht="21.75" thickBot="1">
      <c r="A10" s="3930">
        <v>9</v>
      </c>
      <c r="B10" s="3931" t="s">
        <v>4295</v>
      </c>
      <c r="C10" s="3931" t="s">
        <v>4296</v>
      </c>
      <c r="D10" s="3932" t="s">
        <v>4298</v>
      </c>
      <c r="E10" s="3932">
        <v>1</v>
      </c>
      <c r="F10" s="3932">
        <v>9.9000000000000005E-2</v>
      </c>
    </row>
    <row r="11" spans="1:6" ht="21.75" thickBot="1">
      <c r="A11" s="3930">
        <v>10</v>
      </c>
      <c r="B11" s="3931" t="s">
        <v>4295</v>
      </c>
      <c r="C11" s="3931" t="s">
        <v>4296</v>
      </c>
      <c r="D11" s="3932" t="s">
        <v>4299</v>
      </c>
      <c r="E11" s="3932">
        <v>1</v>
      </c>
      <c r="F11" s="3932">
        <v>0.33829999999999999</v>
      </c>
    </row>
    <row r="12" spans="1:6" ht="21.75" thickBot="1">
      <c r="A12" s="3930">
        <v>11</v>
      </c>
      <c r="B12" s="3931" t="s">
        <v>4295</v>
      </c>
      <c r="C12" s="3931" t="s">
        <v>4296</v>
      </c>
      <c r="D12" s="3932" t="s">
        <v>4300</v>
      </c>
      <c r="E12" s="3932">
        <v>1</v>
      </c>
      <c r="F12" s="3932">
        <v>1.4365000000000001</v>
      </c>
    </row>
    <row r="13" spans="1:6" ht="21.75" thickBot="1">
      <c r="A13" s="3930">
        <v>12</v>
      </c>
      <c r="B13" s="3931" t="s">
        <v>4295</v>
      </c>
      <c r="C13" s="3931" t="s">
        <v>4296</v>
      </c>
      <c r="D13" s="3932" t="s">
        <v>4300</v>
      </c>
      <c r="E13" s="3932">
        <v>2</v>
      </c>
      <c r="F13" s="3932">
        <v>10.523999999999999</v>
      </c>
    </row>
    <row r="14" spans="1:6" ht="22.5" thickBot="1">
      <c r="A14" s="3930">
        <v>13</v>
      </c>
      <c r="B14" s="3932" t="s">
        <v>4611</v>
      </c>
      <c r="C14" s="3931" t="s">
        <v>4302</v>
      </c>
      <c r="D14" s="3932" t="s">
        <v>4303</v>
      </c>
      <c r="E14" s="3932">
        <v>1</v>
      </c>
      <c r="F14" s="3932">
        <v>27.645</v>
      </c>
    </row>
    <row r="15" spans="1:6" ht="32.25" thickBot="1">
      <c r="A15" s="3930">
        <v>14</v>
      </c>
      <c r="B15" s="3931" t="s">
        <v>4304</v>
      </c>
      <c r="C15" s="3931" t="s">
        <v>4305</v>
      </c>
      <c r="D15" s="3932" t="s">
        <v>4306</v>
      </c>
      <c r="E15" s="3932">
        <v>1</v>
      </c>
      <c r="F15" s="3932">
        <v>6.0655999999999999</v>
      </c>
    </row>
    <row r="16" spans="1:6" ht="32.25" thickBot="1">
      <c r="A16" s="3930">
        <v>15</v>
      </c>
      <c r="B16" s="3931" t="s">
        <v>4307</v>
      </c>
      <c r="C16" s="3931" t="s">
        <v>4305</v>
      </c>
      <c r="D16" s="3932" t="s">
        <v>4306</v>
      </c>
      <c r="E16" s="3932">
        <v>1</v>
      </c>
      <c r="F16" s="3932">
        <v>5.4943999999999997</v>
      </c>
    </row>
    <row r="17" spans="1:6" ht="21.75" thickBot="1">
      <c r="A17" s="3930">
        <v>16</v>
      </c>
      <c r="B17" s="3931" t="s">
        <v>4308</v>
      </c>
      <c r="C17" s="3931" t="s">
        <v>4309</v>
      </c>
      <c r="D17" s="3932" t="s">
        <v>4612</v>
      </c>
      <c r="E17" s="3932">
        <v>1</v>
      </c>
      <c r="F17" s="3932">
        <v>0.14829999999999999</v>
      </c>
    </row>
    <row r="18" spans="1:6" ht="21.75" thickBot="1">
      <c r="A18" s="3930">
        <v>17</v>
      </c>
      <c r="B18" s="3931" t="s">
        <v>4308</v>
      </c>
      <c r="C18" s="3931" t="s">
        <v>4309</v>
      </c>
      <c r="D18" s="3932" t="s">
        <v>4612</v>
      </c>
      <c r="E18" s="3932">
        <v>1</v>
      </c>
      <c r="F18" s="3932">
        <v>0.14829999999999999</v>
      </c>
    </row>
    <row r="19" spans="1:6" ht="22.5" thickBot="1">
      <c r="A19" s="3930">
        <v>18</v>
      </c>
      <c r="B19" s="3931" t="s">
        <v>4311</v>
      </c>
      <c r="C19" s="3932" t="s">
        <v>4613</v>
      </c>
      <c r="D19" s="3932" t="s">
        <v>4313</v>
      </c>
      <c r="E19" s="3932">
        <v>1</v>
      </c>
      <c r="F19" s="3932">
        <v>0.1305</v>
      </c>
    </row>
    <row r="20" spans="1:6" ht="22.5" thickBot="1">
      <c r="A20" s="3930">
        <v>19</v>
      </c>
      <c r="B20" s="3931" t="s">
        <v>4311</v>
      </c>
      <c r="C20" s="3932" t="s">
        <v>4613</v>
      </c>
      <c r="D20" s="3932" t="s">
        <v>4313</v>
      </c>
      <c r="E20" s="3932">
        <v>1</v>
      </c>
      <c r="F20" s="3932">
        <v>0.1305</v>
      </c>
    </row>
    <row r="21" spans="1:6" ht="22.5" thickBot="1">
      <c r="A21" s="3930">
        <v>20</v>
      </c>
      <c r="B21" s="3931" t="s">
        <v>4614</v>
      </c>
      <c r="C21" s="3932" t="s">
        <v>4615</v>
      </c>
      <c r="D21" s="3932" t="s">
        <v>4316</v>
      </c>
      <c r="E21" s="3932">
        <v>1</v>
      </c>
      <c r="F21" s="3932">
        <v>0.46100000000000002</v>
      </c>
    </row>
    <row r="22" spans="1:6" ht="21.75" thickBot="1">
      <c r="A22" s="3930">
        <v>21</v>
      </c>
      <c r="B22" s="3931" t="s">
        <v>4317</v>
      </c>
      <c r="C22" s="3931" t="s">
        <v>4318</v>
      </c>
      <c r="D22" s="3932" t="s">
        <v>4319</v>
      </c>
      <c r="E22" s="3932">
        <v>1</v>
      </c>
      <c r="F22" s="3932">
        <v>0.67200000000000004</v>
      </c>
    </row>
    <row r="23" spans="1:6" ht="22.5" thickBot="1">
      <c r="A23" s="3930">
        <v>22</v>
      </c>
      <c r="B23" s="3932" t="s">
        <v>4616</v>
      </c>
      <c r="C23" s="3931" t="s">
        <v>4321</v>
      </c>
      <c r="D23" s="3932" t="s">
        <v>4322</v>
      </c>
      <c r="E23" s="3932">
        <v>1</v>
      </c>
      <c r="F23" s="3932">
        <v>1.5418000000000001</v>
      </c>
    </row>
    <row r="24" spans="1:6" ht="22.5" thickBot="1">
      <c r="A24" s="3930">
        <v>23</v>
      </c>
      <c r="B24" s="3932" t="s">
        <v>4616</v>
      </c>
      <c r="C24" s="3931" t="s">
        <v>4321</v>
      </c>
      <c r="D24" s="3932" t="s">
        <v>4322</v>
      </c>
      <c r="E24" s="3932">
        <v>1</v>
      </c>
      <c r="F24" s="3932">
        <v>7.8E-2</v>
      </c>
    </row>
    <row r="25" spans="1:6" ht="14.25" thickBot="1">
      <c r="A25" s="3930">
        <v>24</v>
      </c>
      <c r="B25" s="3931" t="s">
        <v>4323</v>
      </c>
      <c r="C25" s="3931" t="s">
        <v>4324</v>
      </c>
      <c r="D25" s="3932" t="s">
        <v>4281</v>
      </c>
      <c r="E25" s="3932">
        <v>1</v>
      </c>
      <c r="F25" s="3932">
        <v>7.1989999999999998</v>
      </c>
    </row>
    <row r="26" spans="1:6" ht="21.75" thickBot="1">
      <c r="A26" s="3930">
        <v>25</v>
      </c>
      <c r="B26" s="3931" t="s">
        <v>4317</v>
      </c>
      <c r="C26" s="3931" t="s">
        <v>4325</v>
      </c>
      <c r="D26" s="3932" t="s">
        <v>4326</v>
      </c>
      <c r="E26" s="3932">
        <v>1</v>
      </c>
      <c r="F26" s="3932">
        <v>0.33500000000000002</v>
      </c>
    </row>
    <row r="27" spans="1:6" ht="14.25" thickBot="1">
      <c r="A27" s="3930">
        <v>26</v>
      </c>
      <c r="B27" s="3931" t="s">
        <v>4327</v>
      </c>
      <c r="C27" s="3931" t="s">
        <v>4328</v>
      </c>
      <c r="D27" s="3932" t="s">
        <v>4281</v>
      </c>
      <c r="E27" s="3932">
        <v>1</v>
      </c>
      <c r="F27" s="3932">
        <v>58.275599999999997</v>
      </c>
    </row>
    <row r="28" spans="1:6" ht="21.75" thickBot="1">
      <c r="A28" s="3930">
        <v>27</v>
      </c>
      <c r="B28" s="3931" t="s">
        <v>4329</v>
      </c>
      <c r="C28" s="3931" t="s">
        <v>4330</v>
      </c>
      <c r="D28" s="3932" t="s">
        <v>4331</v>
      </c>
      <c r="E28" s="3932">
        <v>1</v>
      </c>
      <c r="F28" s="3932">
        <v>3.3936999999999999</v>
      </c>
    </row>
    <row r="29" spans="1:6" ht="21.75" thickBot="1">
      <c r="A29" s="3930">
        <v>28</v>
      </c>
      <c r="B29" s="3931" t="s">
        <v>4332</v>
      </c>
      <c r="C29" s="3931" t="s">
        <v>4333</v>
      </c>
      <c r="D29" s="3932" t="s">
        <v>4334</v>
      </c>
      <c r="E29" s="3932">
        <v>1</v>
      </c>
      <c r="F29" s="3932">
        <v>3.0800000000000001E-2</v>
      </c>
    </row>
    <row r="30" spans="1:6" ht="21.75" thickBot="1">
      <c r="A30" s="3930">
        <v>29</v>
      </c>
      <c r="B30" s="3931" t="s">
        <v>4332</v>
      </c>
      <c r="C30" s="3931" t="s">
        <v>4333</v>
      </c>
      <c r="D30" s="3932" t="s">
        <v>4334</v>
      </c>
      <c r="E30" s="3932">
        <v>1</v>
      </c>
      <c r="F30" s="3932">
        <v>3.0800000000000001E-2</v>
      </c>
    </row>
    <row r="31" spans="1:6" ht="21.75" thickBot="1">
      <c r="A31" s="3930">
        <v>30</v>
      </c>
      <c r="B31" s="3931" t="s">
        <v>4332</v>
      </c>
      <c r="C31" s="3931" t="s">
        <v>4333</v>
      </c>
      <c r="D31" s="3932" t="s">
        <v>4334</v>
      </c>
      <c r="E31" s="3932">
        <v>1</v>
      </c>
      <c r="F31" s="3932">
        <v>3.0800000000000001E-2</v>
      </c>
    </row>
    <row r="32" spans="1:6" ht="21.75" thickBot="1">
      <c r="A32" s="3930">
        <v>31</v>
      </c>
      <c r="B32" s="3931" t="s">
        <v>4332</v>
      </c>
      <c r="C32" s="3931" t="s">
        <v>4333</v>
      </c>
      <c r="D32" s="3932" t="s">
        <v>4334</v>
      </c>
      <c r="E32" s="3932">
        <v>1</v>
      </c>
      <c r="F32" s="3932">
        <v>3.0800000000000001E-2</v>
      </c>
    </row>
    <row r="33" spans="1:6" ht="21.75" thickBot="1">
      <c r="A33" s="3930">
        <v>32</v>
      </c>
      <c r="B33" s="3931" t="s">
        <v>4332</v>
      </c>
      <c r="C33" s="3931" t="s">
        <v>4333</v>
      </c>
      <c r="D33" s="3932" t="s">
        <v>4334</v>
      </c>
      <c r="E33" s="3932">
        <v>1</v>
      </c>
      <c r="F33" s="3932">
        <v>3.0800000000000001E-2</v>
      </c>
    </row>
    <row r="34" spans="1:6" ht="14.25" thickBot="1">
      <c r="A34" s="3930">
        <v>33</v>
      </c>
      <c r="B34" s="3931" t="s">
        <v>4617</v>
      </c>
      <c r="C34" s="3932" t="s">
        <v>4281</v>
      </c>
      <c r="D34" s="3932" t="s">
        <v>4336</v>
      </c>
      <c r="E34" s="3932">
        <v>1</v>
      </c>
      <c r="F34" s="3932">
        <v>0.52500000000000002</v>
      </c>
    </row>
    <row r="35" spans="1:6" ht="21.75" thickBot="1">
      <c r="A35" s="3930">
        <v>34</v>
      </c>
      <c r="B35" s="3931" t="s">
        <v>4337</v>
      </c>
      <c r="C35" s="3931" t="s">
        <v>4296</v>
      </c>
      <c r="D35" s="3932" t="s">
        <v>4338</v>
      </c>
      <c r="E35" s="3932">
        <v>1</v>
      </c>
      <c r="F35" s="3932">
        <v>0.14000000000000001</v>
      </c>
    </row>
    <row r="36" spans="1:6" ht="21.75" thickBot="1">
      <c r="A36" s="3930">
        <v>35</v>
      </c>
      <c r="B36" s="3931" t="s">
        <v>4337</v>
      </c>
      <c r="C36" s="3931" t="s">
        <v>4296</v>
      </c>
      <c r="D36" s="3932" t="s">
        <v>4338</v>
      </c>
      <c r="E36" s="3932">
        <v>1</v>
      </c>
      <c r="F36" s="3932">
        <v>0.66800000000000004</v>
      </c>
    </row>
    <row r="37" spans="1:6" ht="21.75" thickBot="1">
      <c r="A37" s="3930">
        <v>36</v>
      </c>
      <c r="B37" s="3931" t="s">
        <v>4337</v>
      </c>
      <c r="C37" s="3931" t="s">
        <v>4296</v>
      </c>
      <c r="D37" s="3932" t="s">
        <v>4338</v>
      </c>
      <c r="E37" s="3932">
        <v>2</v>
      </c>
      <c r="F37" s="3932">
        <v>1.3480000000000001</v>
      </c>
    </row>
    <row r="38" spans="1:6" ht="14.25" thickBot="1">
      <c r="A38" s="3930">
        <v>37</v>
      </c>
      <c r="B38" s="3931" t="s">
        <v>4339</v>
      </c>
      <c r="C38" s="3931" t="s">
        <v>4340</v>
      </c>
      <c r="D38" s="3932" t="s">
        <v>4341</v>
      </c>
      <c r="E38" s="3932">
        <v>1</v>
      </c>
      <c r="F38" s="3932">
        <v>26.398700000000002</v>
      </c>
    </row>
    <row r="39" spans="1:6" ht="32.25" thickBot="1">
      <c r="A39" s="3930">
        <v>38</v>
      </c>
      <c r="B39" s="3931" t="s">
        <v>4342</v>
      </c>
      <c r="C39" s="3931" t="s">
        <v>4343</v>
      </c>
      <c r="D39" s="3932" t="s">
        <v>4281</v>
      </c>
      <c r="E39" s="3932">
        <v>1</v>
      </c>
      <c r="F39" s="3932">
        <v>11.629799999999999</v>
      </c>
    </row>
    <row r="40" spans="1:6" ht="14.25" thickBot="1">
      <c r="A40" s="3930">
        <v>39</v>
      </c>
      <c r="B40" s="3931" t="s">
        <v>4344</v>
      </c>
      <c r="C40" s="3931" t="s">
        <v>4290</v>
      </c>
      <c r="D40" s="3931" t="s">
        <v>4291</v>
      </c>
      <c r="E40" s="3932">
        <v>1</v>
      </c>
      <c r="F40" s="3932">
        <v>2.4641000000000002</v>
      </c>
    </row>
    <row r="41" spans="1:6" ht="21.75" thickBot="1">
      <c r="A41" s="3930">
        <v>40</v>
      </c>
      <c r="B41" s="3931" t="s">
        <v>4345</v>
      </c>
      <c r="C41" s="3931" t="s">
        <v>4346</v>
      </c>
      <c r="D41" s="3932" t="s">
        <v>4347</v>
      </c>
      <c r="E41" s="3932">
        <v>1</v>
      </c>
      <c r="F41" s="3932">
        <v>13.9482</v>
      </c>
    </row>
    <row r="42" spans="1:6" ht="23.25" thickBot="1">
      <c r="A42" s="3930">
        <v>41</v>
      </c>
      <c r="B42" s="3931" t="s">
        <v>4348</v>
      </c>
      <c r="C42" s="3931" t="s">
        <v>4349</v>
      </c>
      <c r="D42" s="3932" t="s">
        <v>4350</v>
      </c>
      <c r="E42" s="3932">
        <v>1</v>
      </c>
      <c r="F42" s="3932">
        <v>17.901700000000002</v>
      </c>
    </row>
    <row r="43" spans="1:6" ht="23.25" thickBot="1">
      <c r="A43" s="3930">
        <v>42</v>
      </c>
      <c r="B43" s="3931" t="s">
        <v>4348</v>
      </c>
      <c r="C43" s="3931" t="s">
        <v>4349</v>
      </c>
      <c r="D43" s="3932" t="s">
        <v>4350</v>
      </c>
      <c r="E43" s="3932">
        <v>1</v>
      </c>
      <c r="F43" s="3932">
        <v>24.1676</v>
      </c>
    </row>
    <row r="44" spans="1:6" ht="21.75" thickBot="1">
      <c r="A44" s="3930">
        <v>43</v>
      </c>
      <c r="B44" s="3931" t="s">
        <v>4351</v>
      </c>
      <c r="C44" s="3931" t="s">
        <v>4349</v>
      </c>
      <c r="D44" s="3932" t="s">
        <v>4352</v>
      </c>
      <c r="E44" s="3932">
        <v>1</v>
      </c>
      <c r="F44" s="3932">
        <v>1.248</v>
      </c>
    </row>
    <row r="45" spans="1:6" ht="21.75" thickBot="1">
      <c r="A45" s="3930">
        <v>44</v>
      </c>
      <c r="B45" s="3931" t="s">
        <v>4353</v>
      </c>
      <c r="C45" s="3931" t="s">
        <v>4618</v>
      </c>
      <c r="D45" s="3932" t="s">
        <v>4355</v>
      </c>
      <c r="E45" s="3932">
        <v>1</v>
      </c>
      <c r="F45" s="3932">
        <v>0.33</v>
      </c>
    </row>
    <row r="46" spans="1:6" ht="21.75" thickBot="1">
      <c r="A46" s="3930">
        <v>45</v>
      </c>
      <c r="B46" s="3931" t="s">
        <v>4356</v>
      </c>
      <c r="C46" s="3931" t="s">
        <v>4349</v>
      </c>
      <c r="D46" s="3932" t="s">
        <v>4357</v>
      </c>
      <c r="E46" s="3932">
        <v>1</v>
      </c>
      <c r="F46" s="3932">
        <v>1.5333000000000001</v>
      </c>
    </row>
    <row r="47" spans="1:6" ht="14.25" thickBot="1">
      <c r="A47" s="3930">
        <v>46</v>
      </c>
      <c r="B47" s="3931" t="s">
        <v>4358</v>
      </c>
      <c r="C47" s="3931" t="s">
        <v>4290</v>
      </c>
      <c r="D47" s="3931" t="s">
        <v>4291</v>
      </c>
      <c r="E47" s="3932">
        <v>1</v>
      </c>
      <c r="F47" s="3932">
        <v>5.8200000000000002E-2</v>
      </c>
    </row>
    <row r="48" spans="1:6" ht="14.25" thickBot="1">
      <c r="A48" s="3930">
        <v>47</v>
      </c>
      <c r="B48" s="3931" t="s">
        <v>4359</v>
      </c>
      <c r="C48" s="3931" t="s">
        <v>4360</v>
      </c>
      <c r="D48" s="3932" t="s">
        <v>4361</v>
      </c>
      <c r="E48" s="3932">
        <v>1</v>
      </c>
      <c r="F48" s="3932">
        <v>0.17499999999999999</v>
      </c>
    </row>
    <row r="49" spans="1:6" ht="14.25" thickBot="1">
      <c r="A49" s="3930">
        <v>48</v>
      </c>
      <c r="B49" s="3931" t="s">
        <v>4359</v>
      </c>
      <c r="C49" s="3931" t="s">
        <v>4360</v>
      </c>
      <c r="D49" s="3932" t="s">
        <v>4361</v>
      </c>
      <c r="E49" s="3932">
        <v>1</v>
      </c>
      <c r="F49" s="3932">
        <v>0.17499999999999999</v>
      </c>
    </row>
    <row r="50" spans="1:6" ht="14.25" thickBot="1">
      <c r="A50" s="3930">
        <v>49</v>
      </c>
      <c r="B50" s="3931" t="s">
        <v>4362</v>
      </c>
      <c r="C50" s="3931" t="s">
        <v>4290</v>
      </c>
      <c r="D50" s="3931" t="s">
        <v>4291</v>
      </c>
      <c r="E50" s="3932">
        <v>1</v>
      </c>
      <c r="F50" s="3932">
        <v>0.27060000000000001</v>
      </c>
    </row>
    <row r="51" spans="1:6" ht="14.25" thickBot="1">
      <c r="A51" s="3930">
        <v>50</v>
      </c>
      <c r="B51" s="3931" t="s">
        <v>4363</v>
      </c>
      <c r="C51" s="3931" t="s">
        <v>4290</v>
      </c>
      <c r="D51" s="3931" t="s">
        <v>4291</v>
      </c>
      <c r="E51" s="3932">
        <v>1</v>
      </c>
      <c r="F51" s="3932">
        <v>0.78400000000000003</v>
      </c>
    </row>
    <row r="52" spans="1:6" ht="14.25" thickBot="1">
      <c r="A52" s="3930">
        <v>51</v>
      </c>
      <c r="B52" s="3931" t="s">
        <v>4364</v>
      </c>
      <c r="C52" s="3931" t="s">
        <v>4290</v>
      </c>
      <c r="D52" s="3931" t="s">
        <v>4291</v>
      </c>
      <c r="E52" s="3932">
        <v>2</v>
      </c>
      <c r="F52" s="3932">
        <v>0.44800000000000001</v>
      </c>
    </row>
    <row r="53" spans="1:6" ht="14.25" thickBot="1">
      <c r="A53" s="3930">
        <v>52</v>
      </c>
      <c r="B53" s="3931" t="s">
        <v>4365</v>
      </c>
      <c r="C53" s="3931" t="s">
        <v>4290</v>
      </c>
      <c r="D53" s="3931" t="s">
        <v>4291</v>
      </c>
      <c r="E53" s="3932">
        <v>1</v>
      </c>
      <c r="F53" s="3932">
        <v>0.3836</v>
      </c>
    </row>
    <row r="54" spans="1:6" ht="14.25" thickBot="1">
      <c r="A54" s="3930">
        <v>53</v>
      </c>
      <c r="B54" s="3931" t="s">
        <v>4365</v>
      </c>
      <c r="C54" s="3931" t="s">
        <v>4290</v>
      </c>
      <c r="D54" s="3931" t="s">
        <v>4291</v>
      </c>
      <c r="E54" s="3932">
        <v>1</v>
      </c>
      <c r="F54" s="3932">
        <v>0.3836</v>
      </c>
    </row>
    <row r="55" spans="1:6" ht="14.25" thickBot="1">
      <c r="A55" s="3930">
        <v>54</v>
      </c>
      <c r="B55" s="3931" t="s">
        <v>4366</v>
      </c>
      <c r="C55" s="3931" t="s">
        <v>4290</v>
      </c>
      <c r="D55" s="3931" t="s">
        <v>4291</v>
      </c>
      <c r="E55" s="3932">
        <v>1</v>
      </c>
      <c r="F55" s="3932">
        <v>0.252</v>
      </c>
    </row>
    <row r="56" spans="1:6" ht="23.25" thickBot="1">
      <c r="A56" s="3930">
        <v>55</v>
      </c>
      <c r="B56" s="3931" t="s">
        <v>4367</v>
      </c>
      <c r="C56" s="3931" t="s">
        <v>4340</v>
      </c>
      <c r="D56" s="3932" t="s">
        <v>4368</v>
      </c>
      <c r="E56" s="3932">
        <v>1</v>
      </c>
      <c r="F56" s="3932">
        <v>6.1371000000000002</v>
      </c>
    </row>
    <row r="57" spans="1:6" ht="14.25" thickBot="1">
      <c r="A57" s="3930">
        <v>56</v>
      </c>
      <c r="B57" s="3931" t="s">
        <v>4369</v>
      </c>
      <c r="C57" s="3931" t="s">
        <v>4370</v>
      </c>
      <c r="D57" s="3932" t="s">
        <v>4281</v>
      </c>
      <c r="E57" s="3932">
        <v>1</v>
      </c>
      <c r="F57" s="3932">
        <v>3.4542000000000002</v>
      </c>
    </row>
    <row r="58" spans="1:6" ht="14.25" thickBot="1">
      <c r="A58" s="3930">
        <v>57</v>
      </c>
      <c r="B58" s="3931" t="s">
        <v>4371</v>
      </c>
      <c r="C58" s="3931" t="s">
        <v>4372</v>
      </c>
      <c r="D58" s="3932" t="s">
        <v>4281</v>
      </c>
      <c r="E58" s="3932">
        <v>1</v>
      </c>
      <c r="F58" s="3932">
        <v>3.91</v>
      </c>
    </row>
    <row r="59" spans="1:6" ht="14.25" thickBot="1">
      <c r="A59" s="3930">
        <v>58</v>
      </c>
      <c r="B59" s="3931" t="s">
        <v>4373</v>
      </c>
      <c r="C59" s="3931" t="s">
        <v>4328</v>
      </c>
      <c r="D59" s="3932" t="s">
        <v>4374</v>
      </c>
      <c r="E59" s="3932">
        <v>1</v>
      </c>
      <c r="F59" s="3932">
        <v>0.24829999999999999</v>
      </c>
    </row>
    <row r="60" spans="1:6" ht="32.25" thickBot="1">
      <c r="A60" s="3930">
        <v>59</v>
      </c>
      <c r="B60" s="3931" t="s">
        <v>4375</v>
      </c>
      <c r="C60" s="3931" t="s">
        <v>4376</v>
      </c>
      <c r="D60" s="3932" t="s">
        <v>4377</v>
      </c>
      <c r="E60" s="3932">
        <v>1</v>
      </c>
      <c r="F60" s="3932">
        <v>0.43890000000000001</v>
      </c>
    </row>
    <row r="61" spans="1:6" ht="21.75" thickBot="1">
      <c r="A61" s="3930">
        <v>60</v>
      </c>
      <c r="B61" s="3931" t="s">
        <v>4378</v>
      </c>
      <c r="C61" s="3931" t="s">
        <v>4379</v>
      </c>
      <c r="D61" s="3932" t="s">
        <v>4380</v>
      </c>
      <c r="E61" s="3932">
        <v>1</v>
      </c>
      <c r="F61" s="3932">
        <v>0.29820000000000002</v>
      </c>
    </row>
    <row r="62" spans="1:6" ht="14.25" thickBot="1">
      <c r="A62" s="3930">
        <v>61</v>
      </c>
      <c r="B62" s="3931" t="s">
        <v>4381</v>
      </c>
      <c r="C62" s="3931" t="s">
        <v>4382</v>
      </c>
      <c r="D62" s="3932" t="s">
        <v>4281</v>
      </c>
      <c r="E62" s="3932">
        <v>1</v>
      </c>
      <c r="F62" s="3932">
        <v>3.7176</v>
      </c>
    </row>
    <row r="63" spans="1:6" ht="21.75" thickBot="1">
      <c r="A63" s="3930">
        <v>62</v>
      </c>
      <c r="B63" s="3931" t="s">
        <v>4383</v>
      </c>
      <c r="C63" s="3931" t="s">
        <v>4384</v>
      </c>
      <c r="D63" s="3932" t="s">
        <v>4385</v>
      </c>
      <c r="E63" s="3932">
        <v>1</v>
      </c>
      <c r="F63" s="3932">
        <v>8.7800000000000003E-2</v>
      </c>
    </row>
    <row r="64" spans="1:6" ht="21.75" thickBot="1">
      <c r="A64" s="3930">
        <v>63</v>
      </c>
      <c r="B64" s="3931" t="s">
        <v>4386</v>
      </c>
      <c r="C64" s="3931" t="s">
        <v>4384</v>
      </c>
      <c r="D64" s="3932" t="s">
        <v>4385</v>
      </c>
      <c r="E64" s="3932">
        <v>1</v>
      </c>
      <c r="F64" s="3932">
        <v>0.9456</v>
      </c>
    </row>
    <row r="65" spans="1:6" ht="14.25" thickBot="1">
      <c r="A65" s="3930">
        <v>64</v>
      </c>
      <c r="B65" s="3931" t="s">
        <v>4387</v>
      </c>
      <c r="C65" s="3931" t="s">
        <v>4290</v>
      </c>
      <c r="D65" s="3931" t="s">
        <v>4291</v>
      </c>
      <c r="E65" s="3932">
        <v>2</v>
      </c>
      <c r="F65" s="3932">
        <v>2.0139999999999998</v>
      </c>
    </row>
    <row r="66" spans="1:6" ht="14.25" thickBot="1">
      <c r="A66" s="3930">
        <v>65</v>
      </c>
      <c r="B66" s="3931" t="s">
        <v>4388</v>
      </c>
      <c r="C66" s="3931" t="s">
        <v>4290</v>
      </c>
      <c r="D66" s="3931" t="s">
        <v>4291</v>
      </c>
      <c r="E66" s="3932">
        <v>1</v>
      </c>
      <c r="F66" s="3932">
        <v>0.1263</v>
      </c>
    </row>
    <row r="67" spans="1:6" ht="14.25" thickBot="1">
      <c r="A67" s="3930">
        <v>66</v>
      </c>
      <c r="B67" s="3931" t="s">
        <v>4388</v>
      </c>
      <c r="C67" s="3931" t="s">
        <v>4290</v>
      </c>
      <c r="D67" s="3931" t="s">
        <v>4291</v>
      </c>
      <c r="E67" s="3932">
        <v>1</v>
      </c>
      <c r="F67" s="3932">
        <v>0.1263</v>
      </c>
    </row>
    <row r="68" spans="1:6" ht="14.25" thickBot="1">
      <c r="A68" s="3930">
        <v>67</v>
      </c>
      <c r="B68" s="3931" t="s">
        <v>4388</v>
      </c>
      <c r="C68" s="3931" t="s">
        <v>4290</v>
      </c>
      <c r="D68" s="3931" t="s">
        <v>4291</v>
      </c>
      <c r="E68" s="3932">
        <v>2</v>
      </c>
      <c r="F68" s="3932">
        <v>0.3024</v>
      </c>
    </row>
    <row r="69" spans="1:6" ht="14.25" thickBot="1">
      <c r="A69" s="3930">
        <v>68</v>
      </c>
      <c r="B69" s="3931" t="s">
        <v>4389</v>
      </c>
      <c r="C69" s="3931" t="s">
        <v>4290</v>
      </c>
      <c r="D69" s="3931" t="s">
        <v>4291</v>
      </c>
      <c r="E69" s="3932">
        <v>1</v>
      </c>
      <c r="F69" s="3932">
        <v>9.6153999999999993</v>
      </c>
    </row>
    <row r="70" spans="1:6" ht="14.25" thickBot="1">
      <c r="A70" s="3930">
        <v>69</v>
      </c>
      <c r="B70" s="3931" t="s">
        <v>4390</v>
      </c>
      <c r="C70" s="3931" t="s">
        <v>4290</v>
      </c>
      <c r="D70" s="3931" t="s">
        <v>4291</v>
      </c>
      <c r="E70" s="3932">
        <v>1</v>
      </c>
      <c r="F70" s="3932">
        <v>0.94640000000000002</v>
      </c>
    </row>
    <row r="71" spans="1:6" ht="22.5" thickBot="1">
      <c r="A71" s="3930">
        <v>70</v>
      </c>
      <c r="B71" s="3931" t="s">
        <v>4619</v>
      </c>
      <c r="C71" s="3931" t="s">
        <v>4290</v>
      </c>
      <c r="D71" s="3931" t="s">
        <v>4291</v>
      </c>
      <c r="E71" s="3932">
        <v>1</v>
      </c>
      <c r="F71" s="3932">
        <v>1.4735</v>
      </c>
    </row>
    <row r="72" spans="1:6" ht="22.5" thickBot="1">
      <c r="A72" s="3930">
        <v>71</v>
      </c>
      <c r="B72" s="3931" t="s">
        <v>4620</v>
      </c>
      <c r="C72" s="3931" t="s">
        <v>4290</v>
      </c>
      <c r="D72" s="3931" t="s">
        <v>4291</v>
      </c>
      <c r="E72" s="3932">
        <v>1</v>
      </c>
      <c r="F72" s="3932">
        <v>1.7637</v>
      </c>
    </row>
    <row r="73" spans="1:6" ht="23.25" thickBot="1">
      <c r="A73" s="3930">
        <v>72</v>
      </c>
      <c r="B73" s="3931" t="s">
        <v>4621</v>
      </c>
      <c r="C73" s="3931" t="s">
        <v>4290</v>
      </c>
      <c r="D73" s="3931" t="s">
        <v>4291</v>
      </c>
      <c r="E73" s="3932">
        <v>2</v>
      </c>
      <c r="F73" s="3932">
        <v>2.3047</v>
      </c>
    </row>
    <row r="74" spans="1:6" ht="14.25" thickBot="1">
      <c r="A74" s="3930">
        <v>73</v>
      </c>
      <c r="B74" s="3931" t="s">
        <v>4389</v>
      </c>
      <c r="C74" s="3931" t="s">
        <v>4290</v>
      </c>
      <c r="D74" s="3931" t="s">
        <v>4291</v>
      </c>
      <c r="E74" s="3932">
        <v>1</v>
      </c>
      <c r="F74" s="3932">
        <v>9.6153999999999993</v>
      </c>
    </row>
    <row r="75" spans="1:6" ht="22.5" thickBot="1">
      <c r="A75" s="3930">
        <v>74</v>
      </c>
      <c r="B75" s="3931" t="s">
        <v>4622</v>
      </c>
      <c r="C75" s="3931" t="s">
        <v>4290</v>
      </c>
      <c r="D75" s="3931" t="s">
        <v>4291</v>
      </c>
      <c r="E75" s="3932">
        <v>1</v>
      </c>
      <c r="F75" s="3932">
        <v>1.4735</v>
      </c>
    </row>
    <row r="76" spans="1:6" ht="23.25" thickBot="1">
      <c r="A76" s="3930">
        <v>75</v>
      </c>
      <c r="B76" s="3931" t="s">
        <v>4623</v>
      </c>
      <c r="C76" s="3931" t="s">
        <v>4290</v>
      </c>
      <c r="D76" s="3931" t="s">
        <v>4291</v>
      </c>
      <c r="E76" s="3932">
        <v>1</v>
      </c>
      <c r="F76" s="3932">
        <v>1.1523000000000001</v>
      </c>
    </row>
    <row r="77" spans="1:6" ht="22.5" thickBot="1">
      <c r="A77" s="3930">
        <v>76</v>
      </c>
      <c r="B77" s="3931" t="s">
        <v>4624</v>
      </c>
      <c r="C77" s="3931" t="s">
        <v>4290</v>
      </c>
      <c r="D77" s="3931" t="s">
        <v>4291</v>
      </c>
      <c r="E77" s="3932">
        <v>1</v>
      </c>
      <c r="F77" s="3932">
        <v>1.4735</v>
      </c>
    </row>
    <row r="78" spans="1:6" ht="14.25" thickBot="1">
      <c r="A78" s="3930">
        <v>77</v>
      </c>
      <c r="B78" s="3931" t="s">
        <v>4397</v>
      </c>
      <c r="C78" s="3931" t="s">
        <v>4290</v>
      </c>
      <c r="D78" s="3931" t="s">
        <v>4291</v>
      </c>
      <c r="E78" s="3932">
        <v>1</v>
      </c>
      <c r="F78" s="3932">
        <v>1.1185</v>
      </c>
    </row>
    <row r="79" spans="1:6" ht="14.25" thickBot="1">
      <c r="A79" s="3930">
        <v>78</v>
      </c>
      <c r="B79" s="3931" t="s">
        <v>4398</v>
      </c>
      <c r="C79" s="3931" t="s">
        <v>4290</v>
      </c>
      <c r="D79" s="3931" t="s">
        <v>4291</v>
      </c>
      <c r="E79" s="3932">
        <v>1</v>
      </c>
      <c r="F79" s="3932">
        <v>1.1950000000000001</v>
      </c>
    </row>
    <row r="80" spans="1:6" ht="14.25" thickBot="1">
      <c r="A80" s="3930">
        <v>79</v>
      </c>
      <c r="B80" s="3931" t="s">
        <v>4399</v>
      </c>
      <c r="C80" s="3931" t="s">
        <v>4290</v>
      </c>
      <c r="D80" s="3931" t="s">
        <v>4291</v>
      </c>
      <c r="E80" s="3932">
        <v>2</v>
      </c>
      <c r="F80" s="3932">
        <v>3.073</v>
      </c>
    </row>
    <row r="81" spans="1:6" ht="21.75" thickBot="1">
      <c r="A81" s="3930">
        <v>80</v>
      </c>
      <c r="B81" s="3931" t="s">
        <v>4400</v>
      </c>
      <c r="C81" s="3931" t="s">
        <v>4290</v>
      </c>
      <c r="D81" s="3931" t="s">
        <v>4291</v>
      </c>
      <c r="E81" s="3932">
        <v>1</v>
      </c>
      <c r="F81" s="3932">
        <v>0.76819999999999999</v>
      </c>
    </row>
    <row r="82" spans="1:6" ht="22.5" thickBot="1">
      <c r="A82" s="3930">
        <v>81</v>
      </c>
      <c r="B82" s="3931" t="s">
        <v>4625</v>
      </c>
      <c r="C82" s="3931" t="s">
        <v>4290</v>
      </c>
      <c r="D82" s="3931" t="s">
        <v>4291</v>
      </c>
      <c r="E82" s="3932">
        <v>1</v>
      </c>
      <c r="F82" s="3932">
        <v>1.4735</v>
      </c>
    </row>
    <row r="83" spans="1:6" ht="23.25" thickBot="1">
      <c r="A83" s="3930">
        <v>82</v>
      </c>
      <c r="B83" s="3931" t="s">
        <v>4626</v>
      </c>
      <c r="C83" s="3931" t="s">
        <v>4290</v>
      </c>
      <c r="D83" s="3931" t="s">
        <v>4291</v>
      </c>
      <c r="E83" s="3932">
        <v>1</v>
      </c>
      <c r="F83" s="3932">
        <v>0.86729999999999996</v>
      </c>
    </row>
    <row r="84" spans="1:6" ht="23.25" thickBot="1">
      <c r="A84" s="3930">
        <v>83</v>
      </c>
      <c r="B84" s="3931" t="s">
        <v>4627</v>
      </c>
      <c r="C84" s="3931" t="s">
        <v>4290</v>
      </c>
      <c r="D84" s="3931" t="s">
        <v>4291</v>
      </c>
      <c r="E84" s="3932">
        <v>2</v>
      </c>
      <c r="F84" s="3932">
        <v>1.7345999999999999</v>
      </c>
    </row>
    <row r="85" spans="1:6" ht="14.25" thickBot="1">
      <c r="A85" s="3930">
        <v>84</v>
      </c>
      <c r="B85" s="3931" t="s">
        <v>4404</v>
      </c>
      <c r="C85" s="3931" t="s">
        <v>4290</v>
      </c>
      <c r="D85" s="3931" t="s">
        <v>4291</v>
      </c>
      <c r="E85" s="3932">
        <v>1</v>
      </c>
      <c r="F85" s="3932">
        <v>1.5365</v>
      </c>
    </row>
    <row r="86" spans="1:6" ht="14.25" thickBot="1">
      <c r="A86" s="3930">
        <v>85</v>
      </c>
      <c r="B86" s="3931" t="s">
        <v>4405</v>
      </c>
      <c r="C86" s="3931" t="s">
        <v>4290</v>
      </c>
      <c r="D86" s="3931" t="s">
        <v>4291</v>
      </c>
      <c r="E86" s="3932">
        <v>1</v>
      </c>
      <c r="F86" s="3932">
        <v>4.1398000000000001</v>
      </c>
    </row>
    <row r="87" spans="1:6" ht="14.25" thickBot="1">
      <c r="A87" s="3930">
        <v>86</v>
      </c>
      <c r="B87" s="3931" t="s">
        <v>4405</v>
      </c>
      <c r="C87" s="3931" t="s">
        <v>4290</v>
      </c>
      <c r="D87" s="3931" t="s">
        <v>4291</v>
      </c>
      <c r="E87" s="3932">
        <v>1</v>
      </c>
      <c r="F87" s="3932">
        <v>4.1398000000000001</v>
      </c>
    </row>
    <row r="88" spans="1:6" ht="21.75" thickBot="1">
      <c r="A88" s="3930">
        <v>87</v>
      </c>
      <c r="B88" s="3931" t="s">
        <v>4406</v>
      </c>
      <c r="C88" s="3931" t="s">
        <v>4407</v>
      </c>
      <c r="D88" s="3932" t="s">
        <v>4408</v>
      </c>
      <c r="E88" s="3932">
        <v>1</v>
      </c>
      <c r="F88" s="3932">
        <v>6.2300000000000001E-2</v>
      </c>
    </row>
    <row r="89" spans="1:6" ht="21.75" thickBot="1">
      <c r="A89" s="3930">
        <v>88</v>
      </c>
      <c r="B89" s="3931" t="s">
        <v>4409</v>
      </c>
      <c r="C89" s="3931" t="s">
        <v>4407</v>
      </c>
      <c r="D89" s="3932" t="s">
        <v>4408</v>
      </c>
      <c r="E89" s="3932">
        <v>1</v>
      </c>
      <c r="F89" s="3932">
        <v>6.4100000000000004E-2</v>
      </c>
    </row>
    <row r="90" spans="1:6" ht="21.75" thickBot="1">
      <c r="A90" s="3930">
        <v>89</v>
      </c>
      <c r="B90" s="3931" t="s">
        <v>4410</v>
      </c>
      <c r="C90" s="3931" t="s">
        <v>4411</v>
      </c>
      <c r="D90" s="3932" t="s">
        <v>4412</v>
      </c>
      <c r="E90" s="3932">
        <v>1</v>
      </c>
      <c r="F90" s="3932">
        <v>2.7147000000000001</v>
      </c>
    </row>
    <row r="91" spans="1:6" ht="32.25" thickBot="1">
      <c r="A91" s="3930">
        <v>90</v>
      </c>
      <c r="B91" s="3931" t="s">
        <v>4413</v>
      </c>
      <c r="C91" s="3931" t="s">
        <v>4414</v>
      </c>
      <c r="D91" s="3932" t="s">
        <v>4415</v>
      </c>
      <c r="E91" s="3932">
        <v>1</v>
      </c>
      <c r="F91" s="3932">
        <v>0.5736</v>
      </c>
    </row>
    <row r="92" spans="1:6" ht="21.75" thickBot="1">
      <c r="A92" s="3930">
        <v>91</v>
      </c>
      <c r="B92" s="3931" t="s">
        <v>4416</v>
      </c>
      <c r="C92" s="3931" t="s">
        <v>4417</v>
      </c>
      <c r="D92" s="3932" t="s">
        <v>4628</v>
      </c>
      <c r="E92" s="3932">
        <v>1</v>
      </c>
      <c r="F92" s="3932">
        <v>0.85450000000000004</v>
      </c>
    </row>
    <row r="93" spans="1:6" ht="32.25" thickBot="1">
      <c r="A93" s="3930">
        <v>92</v>
      </c>
      <c r="B93" s="3931" t="s">
        <v>4419</v>
      </c>
      <c r="C93" s="3931" t="s">
        <v>4414</v>
      </c>
      <c r="D93" s="3932" t="s">
        <v>4420</v>
      </c>
      <c r="E93" s="3932">
        <v>1</v>
      </c>
      <c r="F93" s="3932">
        <v>1.1574</v>
      </c>
    </row>
    <row r="94" spans="1:6" ht="23.25" thickBot="1">
      <c r="A94" s="3930">
        <v>93</v>
      </c>
      <c r="B94" s="3931" t="s">
        <v>4629</v>
      </c>
      <c r="C94" s="3931" t="s">
        <v>4422</v>
      </c>
      <c r="D94" s="3932" t="s">
        <v>4423</v>
      </c>
      <c r="E94" s="3932">
        <v>1</v>
      </c>
      <c r="F94" s="3932">
        <v>0.69689999999999996</v>
      </c>
    </row>
    <row r="95" spans="1:6" ht="21.75" thickBot="1">
      <c r="A95" s="3930">
        <v>94</v>
      </c>
      <c r="B95" s="3931" t="s">
        <v>4424</v>
      </c>
      <c r="C95" s="3931" t="s">
        <v>4425</v>
      </c>
      <c r="D95" s="3932" t="s">
        <v>4426</v>
      </c>
      <c r="E95" s="3932">
        <v>1</v>
      </c>
      <c r="F95" s="3932">
        <v>0.85919999999999996</v>
      </c>
    </row>
    <row r="96" spans="1:6" ht="33" thickBot="1">
      <c r="A96" s="3930">
        <v>95</v>
      </c>
      <c r="B96" s="3931" t="s">
        <v>4630</v>
      </c>
      <c r="C96" s="3931" t="s">
        <v>4425</v>
      </c>
      <c r="D96" s="3932" t="s">
        <v>4428</v>
      </c>
      <c r="E96" s="3932">
        <v>1</v>
      </c>
      <c r="F96" s="3932">
        <v>0.60850000000000004</v>
      </c>
    </row>
    <row r="97" spans="1:6" ht="23.25" thickBot="1">
      <c r="A97" s="3930">
        <v>96</v>
      </c>
      <c r="B97" s="3931" t="s">
        <v>4631</v>
      </c>
      <c r="C97" s="3931" t="s">
        <v>4430</v>
      </c>
      <c r="D97" s="3931" t="s">
        <v>4632</v>
      </c>
      <c r="E97" s="3932">
        <v>1</v>
      </c>
      <c r="F97" s="3932">
        <v>0.46</v>
      </c>
    </row>
    <row r="98" spans="1:6" ht="23.25" thickBot="1">
      <c r="A98" s="3930">
        <v>97</v>
      </c>
      <c r="B98" s="3931" t="s">
        <v>4432</v>
      </c>
      <c r="C98" s="3931" t="s">
        <v>4433</v>
      </c>
      <c r="D98" s="3932" t="s">
        <v>4633</v>
      </c>
      <c r="E98" s="3932">
        <v>1</v>
      </c>
      <c r="F98" s="3932">
        <v>0.29270000000000002</v>
      </c>
    </row>
    <row r="99" spans="1:6" ht="14.25" thickBot="1">
      <c r="A99" s="3930">
        <v>98</v>
      </c>
      <c r="B99" s="3931" t="s">
        <v>4435</v>
      </c>
      <c r="C99" s="3931" t="s">
        <v>4436</v>
      </c>
      <c r="D99" s="3932" t="s">
        <v>4437</v>
      </c>
      <c r="E99" s="3932">
        <v>1</v>
      </c>
      <c r="F99" s="3932">
        <v>0.47270000000000001</v>
      </c>
    </row>
    <row r="100" spans="1:6" ht="21.75" thickBot="1">
      <c r="A100" s="3930">
        <v>99</v>
      </c>
      <c r="B100" s="3931" t="s">
        <v>4438</v>
      </c>
      <c r="C100" s="3931" t="s">
        <v>4439</v>
      </c>
      <c r="D100" s="3932" t="s">
        <v>4440</v>
      </c>
      <c r="E100" s="3932">
        <v>1</v>
      </c>
      <c r="F100" s="3932">
        <v>0.88949999999999996</v>
      </c>
    </row>
    <row r="101" spans="1:6" ht="14.25" thickBot="1">
      <c r="A101" s="3930">
        <v>100</v>
      </c>
      <c r="B101" s="3931" t="s">
        <v>4441</v>
      </c>
      <c r="C101" s="3931" t="s">
        <v>4442</v>
      </c>
      <c r="D101" s="3932" t="s">
        <v>4443</v>
      </c>
      <c r="E101" s="3932">
        <v>1</v>
      </c>
      <c r="F101" s="3932">
        <v>1.2831999999999999</v>
      </c>
    </row>
    <row r="102" spans="1:6" ht="21.75" thickBot="1">
      <c r="A102" s="3930">
        <v>101</v>
      </c>
      <c r="B102" s="3931" t="s">
        <v>4444</v>
      </c>
      <c r="C102" s="3931" t="s">
        <v>4425</v>
      </c>
      <c r="D102" s="3932" t="s">
        <v>4445</v>
      </c>
      <c r="E102" s="3932">
        <v>1</v>
      </c>
      <c r="F102" s="3932">
        <v>3.6781999999999999</v>
      </c>
    </row>
    <row r="103" spans="1:6" ht="21.75" thickBot="1">
      <c r="A103" s="3930">
        <v>102</v>
      </c>
      <c r="B103" s="3931" t="s">
        <v>4446</v>
      </c>
      <c r="C103" s="3931" t="s">
        <v>4447</v>
      </c>
      <c r="D103" s="3932" t="s">
        <v>4448</v>
      </c>
      <c r="E103" s="3932">
        <v>1</v>
      </c>
      <c r="F103" s="3932">
        <v>3.0884999999999998</v>
      </c>
    </row>
    <row r="104" spans="1:6" ht="32.25" thickBot="1">
      <c r="A104" s="3930">
        <v>103</v>
      </c>
      <c r="B104" s="3931" t="s">
        <v>4446</v>
      </c>
      <c r="C104" s="3931" t="s">
        <v>4449</v>
      </c>
      <c r="D104" s="3932" t="s">
        <v>4450</v>
      </c>
      <c r="E104" s="3932">
        <v>1</v>
      </c>
      <c r="F104" s="3932">
        <v>2.3687999999999998</v>
      </c>
    </row>
    <row r="105" spans="1:6" ht="14.25" thickBot="1">
      <c r="A105" s="3930">
        <v>104</v>
      </c>
      <c r="B105" s="3931" t="s">
        <v>4451</v>
      </c>
      <c r="C105" s="3931" t="s">
        <v>4452</v>
      </c>
      <c r="D105" s="3932" t="s">
        <v>4453</v>
      </c>
      <c r="E105" s="3932">
        <v>1</v>
      </c>
      <c r="F105" s="3932">
        <v>4.4398</v>
      </c>
    </row>
    <row r="106" spans="1:6" ht="22.5" thickBot="1">
      <c r="A106" s="3930">
        <v>105</v>
      </c>
      <c r="B106" s="3931" t="s">
        <v>4634</v>
      </c>
      <c r="C106" s="3931" t="s">
        <v>4452</v>
      </c>
      <c r="D106" s="3932" t="s">
        <v>4281</v>
      </c>
      <c r="E106" s="3932">
        <v>1</v>
      </c>
      <c r="F106" s="3932">
        <v>1.0021</v>
      </c>
    </row>
    <row r="107" spans="1:6" ht="21.75" thickBot="1">
      <c r="A107" s="3930">
        <v>106</v>
      </c>
      <c r="B107" s="3931" t="s">
        <v>4455</v>
      </c>
      <c r="C107" s="3931" t="s">
        <v>4456</v>
      </c>
      <c r="D107" s="3932" t="s">
        <v>4457</v>
      </c>
      <c r="E107" s="3932">
        <v>1</v>
      </c>
      <c r="F107" s="3932">
        <v>0.54879999999999995</v>
      </c>
    </row>
    <row r="108" spans="1:6" ht="22.5" thickBot="1">
      <c r="A108" s="3930">
        <v>107</v>
      </c>
      <c r="B108" s="3931" t="s">
        <v>4458</v>
      </c>
      <c r="C108" s="3931" t="s">
        <v>4635</v>
      </c>
      <c r="D108" s="3932" t="s">
        <v>4460</v>
      </c>
      <c r="E108" s="3932">
        <v>1</v>
      </c>
      <c r="F108" s="3932">
        <v>6.2E-2</v>
      </c>
    </row>
    <row r="109" spans="1:6" ht="22.5" thickBot="1">
      <c r="A109" s="3930">
        <v>108</v>
      </c>
      <c r="B109" s="3931" t="s">
        <v>4461</v>
      </c>
      <c r="C109" s="3931" t="s">
        <v>4635</v>
      </c>
      <c r="D109" s="3932" t="s">
        <v>4462</v>
      </c>
      <c r="E109" s="3932">
        <v>1</v>
      </c>
      <c r="F109" s="3932">
        <v>5.3199999999999997E-2</v>
      </c>
    </row>
    <row r="110" spans="1:6" ht="21.75" thickBot="1">
      <c r="A110" s="3930">
        <v>109</v>
      </c>
      <c r="B110" s="3931" t="s">
        <v>4463</v>
      </c>
      <c r="C110" s="3931" t="s">
        <v>4464</v>
      </c>
      <c r="D110" s="3932" t="s">
        <v>4636</v>
      </c>
      <c r="E110" s="3932">
        <v>1</v>
      </c>
      <c r="F110" s="3932">
        <v>8.6800000000000002E-2</v>
      </c>
    </row>
    <row r="111" spans="1:6" ht="21.75" thickBot="1">
      <c r="A111" s="3930">
        <v>110</v>
      </c>
      <c r="B111" s="3931" t="s">
        <v>4466</v>
      </c>
      <c r="C111" s="3931" t="s">
        <v>4456</v>
      </c>
      <c r="D111" s="3932" t="s">
        <v>4457</v>
      </c>
      <c r="E111" s="3932">
        <v>1</v>
      </c>
      <c r="F111" s="3932">
        <v>0.36359999999999998</v>
      </c>
    </row>
    <row r="112" spans="1:6" ht="32.25" thickBot="1">
      <c r="A112" s="3930">
        <v>111</v>
      </c>
      <c r="B112" s="3931" t="s">
        <v>4467</v>
      </c>
      <c r="C112" s="3931" t="s">
        <v>4468</v>
      </c>
      <c r="D112" s="3932" t="s">
        <v>4469</v>
      </c>
      <c r="E112" s="3932">
        <v>1</v>
      </c>
      <c r="F112" s="3932">
        <v>10.495699999999999</v>
      </c>
    </row>
    <row r="113" spans="1:6" ht="32.25" thickBot="1">
      <c r="A113" s="3930">
        <v>112</v>
      </c>
      <c r="B113" s="3931" t="s">
        <v>4470</v>
      </c>
      <c r="C113" s="3931" t="s">
        <v>4471</v>
      </c>
      <c r="D113" s="3932" t="s">
        <v>4281</v>
      </c>
      <c r="E113" s="3932">
        <v>1</v>
      </c>
      <c r="F113" s="3932">
        <v>16.594999999999999</v>
      </c>
    </row>
    <row r="114" spans="1:6" ht="22.5" thickBot="1">
      <c r="A114" s="3930">
        <v>113</v>
      </c>
      <c r="B114" s="3931" t="s">
        <v>4637</v>
      </c>
      <c r="C114" s="3931" t="s">
        <v>4473</v>
      </c>
      <c r="D114" s="3931" t="s">
        <v>4474</v>
      </c>
      <c r="E114" s="3932">
        <v>2</v>
      </c>
      <c r="F114" s="3932">
        <v>42.850299999999997</v>
      </c>
    </row>
    <row r="115" spans="1:6" ht="33" thickBot="1">
      <c r="A115" s="3930">
        <v>114</v>
      </c>
      <c r="B115" s="3931" t="s">
        <v>4638</v>
      </c>
      <c r="C115" s="3931" t="s">
        <v>4476</v>
      </c>
      <c r="D115" s="3932" t="s">
        <v>4281</v>
      </c>
      <c r="E115" s="3932">
        <v>1</v>
      </c>
      <c r="F115" s="3932">
        <v>13.9283</v>
      </c>
    </row>
    <row r="116" spans="1:6" ht="21.75" thickBot="1">
      <c r="A116" s="3930">
        <v>115</v>
      </c>
      <c r="B116" s="3931" t="s">
        <v>4477</v>
      </c>
      <c r="C116" s="3931" t="s">
        <v>4478</v>
      </c>
      <c r="D116" s="3932" t="s">
        <v>4479</v>
      </c>
      <c r="E116" s="3932">
        <v>1</v>
      </c>
      <c r="F116" s="3932">
        <v>14.1279</v>
      </c>
    </row>
    <row r="117" spans="1:6" ht="23.25" thickBot="1">
      <c r="A117" s="3930">
        <v>116</v>
      </c>
      <c r="B117" s="3931" t="s">
        <v>4477</v>
      </c>
      <c r="C117" s="3931" t="s">
        <v>4478</v>
      </c>
      <c r="D117" s="3932" t="s">
        <v>4480</v>
      </c>
      <c r="E117" s="3932">
        <v>1</v>
      </c>
      <c r="F117" s="3932">
        <v>5.5430000000000001</v>
      </c>
    </row>
    <row r="118" spans="1:6" ht="23.25" thickBot="1">
      <c r="A118" s="3930">
        <v>117</v>
      </c>
      <c r="B118" s="3931" t="s">
        <v>4477</v>
      </c>
      <c r="C118" s="3931" t="s">
        <v>4478</v>
      </c>
      <c r="D118" s="3932" t="s">
        <v>4480</v>
      </c>
      <c r="E118" s="3932">
        <v>1</v>
      </c>
      <c r="F118" s="3932">
        <v>5.5430000000000001</v>
      </c>
    </row>
    <row r="119" spans="1:6" ht="21.75" thickBot="1">
      <c r="A119" s="3930">
        <v>118</v>
      </c>
      <c r="B119" s="3931" t="s">
        <v>4481</v>
      </c>
      <c r="C119" s="3931" t="s">
        <v>4482</v>
      </c>
      <c r="D119" s="3932" t="s">
        <v>4483</v>
      </c>
      <c r="E119" s="3932">
        <v>1</v>
      </c>
      <c r="F119" s="3932">
        <v>144.6584</v>
      </c>
    </row>
    <row r="120" spans="1:6" ht="23.25" thickBot="1">
      <c r="A120" s="3930">
        <v>119</v>
      </c>
      <c r="B120" s="3931" t="s">
        <v>4639</v>
      </c>
      <c r="C120" s="3931" t="s">
        <v>4485</v>
      </c>
      <c r="D120" s="3932" t="s">
        <v>4281</v>
      </c>
      <c r="E120" s="3932">
        <v>1</v>
      </c>
      <c r="F120" s="3932">
        <v>0.40799999999999997</v>
      </c>
    </row>
    <row r="121" spans="1:6" ht="14.25" thickBot="1">
      <c r="A121" s="3930">
        <v>120</v>
      </c>
      <c r="B121" s="3931" t="s">
        <v>4486</v>
      </c>
      <c r="C121" s="3932" t="s">
        <v>4281</v>
      </c>
      <c r="D121" s="3932" t="s">
        <v>4281</v>
      </c>
      <c r="E121" s="3932">
        <v>1</v>
      </c>
      <c r="F121" s="3932">
        <v>0.51</v>
      </c>
    </row>
    <row r="122" spans="1:6" ht="14.25" thickBot="1">
      <c r="A122" s="3930">
        <v>121</v>
      </c>
      <c r="B122" s="3931" t="s">
        <v>4487</v>
      </c>
      <c r="C122" s="3931" t="s">
        <v>4488</v>
      </c>
      <c r="D122" s="3931" t="s">
        <v>4291</v>
      </c>
      <c r="E122" s="3932">
        <v>1</v>
      </c>
      <c r="F122" s="3932">
        <v>0.51</v>
      </c>
    </row>
    <row r="123" spans="1:6" ht="22.5" thickBot="1">
      <c r="A123" s="3930">
        <v>122</v>
      </c>
      <c r="B123" s="3931" t="s">
        <v>4489</v>
      </c>
      <c r="C123" s="3932" t="s">
        <v>4640</v>
      </c>
      <c r="D123" s="3932" t="s">
        <v>4281</v>
      </c>
      <c r="E123" s="3932">
        <v>1</v>
      </c>
      <c r="F123" s="3932">
        <v>7.2800000000000004E-2</v>
      </c>
    </row>
    <row r="124" spans="1:6" ht="22.5" thickBot="1">
      <c r="A124" s="3930">
        <v>123</v>
      </c>
      <c r="B124" s="3931" t="s">
        <v>4491</v>
      </c>
      <c r="C124" s="3932" t="s">
        <v>4641</v>
      </c>
      <c r="D124" s="3932" t="s">
        <v>4493</v>
      </c>
      <c r="E124" s="3932">
        <v>1</v>
      </c>
      <c r="F124" s="3932">
        <v>0.1744</v>
      </c>
    </row>
    <row r="125" spans="1:6" ht="14.25" thickBot="1">
      <c r="A125" s="3930">
        <v>124</v>
      </c>
      <c r="B125" s="3931" t="s">
        <v>4494</v>
      </c>
      <c r="C125" s="3931" t="s">
        <v>4495</v>
      </c>
      <c r="D125" s="3931" t="s">
        <v>4291</v>
      </c>
      <c r="E125" s="3932">
        <v>2</v>
      </c>
      <c r="F125" s="3932">
        <v>2.04</v>
      </c>
    </row>
    <row r="126" spans="1:6" ht="14.25" thickBot="1">
      <c r="A126" s="3930">
        <v>125</v>
      </c>
      <c r="B126" s="3931" t="s">
        <v>4496</v>
      </c>
      <c r="C126" s="3932" t="s">
        <v>4281</v>
      </c>
      <c r="D126" s="3932" t="s">
        <v>4642</v>
      </c>
      <c r="E126" s="3932">
        <v>1</v>
      </c>
      <c r="F126" s="3932">
        <v>0.442</v>
      </c>
    </row>
    <row r="127" spans="1:6" ht="14.25" thickBot="1">
      <c r="A127" s="3930">
        <v>126</v>
      </c>
      <c r="B127" s="3931" t="s">
        <v>4498</v>
      </c>
      <c r="C127" s="3932" t="s">
        <v>4281</v>
      </c>
      <c r="D127" s="3931" t="s">
        <v>4291</v>
      </c>
      <c r="E127" s="3932">
        <v>1</v>
      </c>
      <c r="F127" s="3932">
        <v>0.17</v>
      </c>
    </row>
    <row r="128" spans="1:6" ht="14.25" thickBot="1">
      <c r="A128" s="3930">
        <v>127</v>
      </c>
      <c r="B128" s="3931" t="s">
        <v>4499</v>
      </c>
      <c r="C128" s="3932" t="s">
        <v>4281</v>
      </c>
      <c r="D128" s="3932" t="s">
        <v>4281</v>
      </c>
      <c r="E128" s="3932">
        <v>1</v>
      </c>
      <c r="F128" s="3932">
        <v>0.17</v>
      </c>
    </row>
    <row r="129" spans="1:6" ht="21.75" thickBot="1">
      <c r="A129" s="3930">
        <v>128</v>
      </c>
      <c r="B129" s="3931" t="s">
        <v>4500</v>
      </c>
      <c r="C129" s="3931" t="s">
        <v>4501</v>
      </c>
      <c r="D129" s="3932" t="s">
        <v>4502</v>
      </c>
      <c r="E129" s="3932">
        <v>7</v>
      </c>
      <c r="F129" s="3932">
        <v>0.64259999999999995</v>
      </c>
    </row>
    <row r="130" spans="1:6" ht="21.75" thickBot="1">
      <c r="A130" s="3930">
        <v>129</v>
      </c>
      <c r="B130" s="3931" t="s">
        <v>4503</v>
      </c>
      <c r="C130" s="3931" t="s">
        <v>4504</v>
      </c>
      <c r="D130" s="3932" t="s">
        <v>4643</v>
      </c>
      <c r="E130" s="3932">
        <v>1</v>
      </c>
      <c r="F130" s="3932">
        <v>2.7000000000000001E-3</v>
      </c>
    </row>
    <row r="131" spans="1:6" ht="14.25" thickBot="1">
      <c r="A131" s="3930">
        <v>130</v>
      </c>
      <c r="B131" s="3931" t="s">
        <v>4311</v>
      </c>
      <c r="C131" s="3932" t="s">
        <v>4281</v>
      </c>
      <c r="D131" s="3932" t="s">
        <v>4281</v>
      </c>
      <c r="E131" s="3932">
        <v>1</v>
      </c>
      <c r="F131" s="3932">
        <v>0.11899999999999999</v>
      </c>
    </row>
    <row r="132" spans="1:6" ht="14.25" thickBot="1">
      <c r="A132" s="3930">
        <v>131</v>
      </c>
      <c r="B132" s="3931" t="s">
        <v>4506</v>
      </c>
      <c r="C132" s="3932" t="s">
        <v>4281</v>
      </c>
      <c r="D132" s="3932" t="s">
        <v>4281</v>
      </c>
      <c r="E132" s="3932">
        <v>1</v>
      </c>
      <c r="F132" s="3932">
        <v>6.9699999999999998E-2</v>
      </c>
    </row>
    <row r="133" spans="1:6" ht="14.25" thickBot="1">
      <c r="A133" s="3930">
        <v>132</v>
      </c>
      <c r="B133" s="3931" t="s">
        <v>4507</v>
      </c>
      <c r="C133" s="3932" t="s">
        <v>4644</v>
      </c>
      <c r="D133" s="3932" t="s">
        <v>4509</v>
      </c>
      <c r="E133" s="3932">
        <v>1</v>
      </c>
      <c r="F133" s="3932">
        <v>1.5900000000000001E-2</v>
      </c>
    </row>
    <row r="134" spans="1:6" ht="14.25" thickBot="1">
      <c r="A134" s="3930">
        <v>133</v>
      </c>
      <c r="B134" s="3931" t="s">
        <v>4510</v>
      </c>
      <c r="C134" s="3932" t="s">
        <v>4281</v>
      </c>
      <c r="D134" s="3932" t="s">
        <v>4511</v>
      </c>
      <c r="E134" s="3932">
        <v>1</v>
      </c>
      <c r="F134" s="3932">
        <v>3.9800000000000002E-2</v>
      </c>
    </row>
    <row r="135" spans="1:6" ht="14.25" thickBot="1">
      <c r="A135" s="3930">
        <v>134</v>
      </c>
      <c r="B135" s="3931" t="s">
        <v>4512</v>
      </c>
      <c r="C135" s="3932" t="s">
        <v>4281</v>
      </c>
      <c r="D135" s="3932" t="s">
        <v>4513</v>
      </c>
      <c r="E135" s="3932">
        <v>1</v>
      </c>
      <c r="F135" s="3932">
        <v>8.6699999999999999E-2</v>
      </c>
    </row>
    <row r="136" spans="1:6" ht="22.5" thickBot="1">
      <c r="A136" s="3930">
        <v>135</v>
      </c>
      <c r="B136" s="3931" t="s">
        <v>4512</v>
      </c>
      <c r="C136" s="3932" t="s">
        <v>4645</v>
      </c>
      <c r="D136" s="3932" t="s">
        <v>4515</v>
      </c>
      <c r="E136" s="3932">
        <v>1</v>
      </c>
      <c r="F136" s="3932">
        <v>0.13189999999999999</v>
      </c>
    </row>
    <row r="137" spans="1:6" ht="14.25" thickBot="1">
      <c r="A137" s="3930">
        <v>136</v>
      </c>
      <c r="B137" s="3931" t="s">
        <v>4516</v>
      </c>
      <c r="C137" s="3932" t="s">
        <v>4281</v>
      </c>
      <c r="D137" s="3932" t="s">
        <v>4517</v>
      </c>
      <c r="E137" s="3932">
        <v>5</v>
      </c>
      <c r="F137" s="3932">
        <v>5.9499999999999997E-2</v>
      </c>
    </row>
    <row r="138" spans="1:6" ht="23.25" thickBot="1">
      <c r="A138" s="3930">
        <v>137</v>
      </c>
      <c r="B138" s="3931" t="s">
        <v>4518</v>
      </c>
      <c r="C138" s="3932" t="s">
        <v>4281</v>
      </c>
      <c r="D138" s="3932" t="s">
        <v>4519</v>
      </c>
      <c r="E138" s="3932">
        <v>3</v>
      </c>
      <c r="F138" s="3932">
        <v>2.75E-2</v>
      </c>
    </row>
    <row r="139" spans="1:6" ht="21.75" thickBot="1">
      <c r="A139" s="3930">
        <v>138</v>
      </c>
      <c r="B139" s="3931" t="s">
        <v>4520</v>
      </c>
      <c r="C139" s="3931" t="s">
        <v>4521</v>
      </c>
      <c r="D139" s="3932" t="s">
        <v>4522</v>
      </c>
      <c r="E139" s="3932">
        <v>1</v>
      </c>
      <c r="F139" s="3932">
        <v>4.6399999999999997E-2</v>
      </c>
    </row>
    <row r="140" spans="1:6" ht="14.25" thickBot="1">
      <c r="A140" s="3930">
        <v>139</v>
      </c>
      <c r="B140" s="3931" t="s">
        <v>4523</v>
      </c>
      <c r="C140" s="3932" t="s">
        <v>4281</v>
      </c>
      <c r="D140" s="3932" t="s">
        <v>4281</v>
      </c>
      <c r="E140" s="3932">
        <v>3</v>
      </c>
      <c r="F140" s="3932">
        <v>0.12239999999999999</v>
      </c>
    </row>
    <row r="141" spans="1:6" ht="14.25" thickBot="1">
      <c r="A141" s="3930">
        <v>140</v>
      </c>
      <c r="B141" s="3931" t="s">
        <v>4524</v>
      </c>
      <c r="C141" s="3931" t="s">
        <v>4525</v>
      </c>
      <c r="D141" s="3932" t="s">
        <v>4281</v>
      </c>
      <c r="E141" s="3932">
        <v>1</v>
      </c>
      <c r="F141" s="3932">
        <v>5.0999999999999997E-2</v>
      </c>
    </row>
    <row r="142" spans="1:6" ht="14.25" thickBot="1">
      <c r="A142" s="3930">
        <v>141</v>
      </c>
      <c r="B142" s="3931" t="s">
        <v>4646</v>
      </c>
      <c r="C142" s="3932" t="s">
        <v>4281</v>
      </c>
      <c r="D142" s="3932" t="s">
        <v>4281</v>
      </c>
      <c r="E142" s="3932">
        <v>2</v>
      </c>
      <c r="F142" s="3932">
        <v>2.58E-2</v>
      </c>
    </row>
    <row r="143" spans="1:6" ht="14.25" thickBot="1">
      <c r="A143" s="3930">
        <v>142</v>
      </c>
      <c r="B143" s="3931" t="s">
        <v>4500</v>
      </c>
      <c r="C143" s="3931" t="s">
        <v>4527</v>
      </c>
      <c r="D143" s="3932" t="s">
        <v>4528</v>
      </c>
      <c r="E143" s="3932">
        <v>1</v>
      </c>
      <c r="F143" s="3932">
        <v>0.10879999999999999</v>
      </c>
    </row>
    <row r="144" spans="1:6" ht="14.25" thickBot="1">
      <c r="A144" s="3930">
        <v>143</v>
      </c>
      <c r="B144" s="3931" t="s">
        <v>4529</v>
      </c>
      <c r="C144" s="3931" t="s">
        <v>4530</v>
      </c>
      <c r="D144" s="3932" t="s">
        <v>4531</v>
      </c>
      <c r="E144" s="3932">
        <v>1</v>
      </c>
      <c r="F144" s="3932">
        <v>0.14960000000000001</v>
      </c>
    </row>
    <row r="145" spans="1:6" ht="14.25" thickBot="1">
      <c r="A145" s="3930">
        <v>144</v>
      </c>
      <c r="B145" s="3931" t="s">
        <v>4311</v>
      </c>
      <c r="C145" s="3932" t="s">
        <v>4281</v>
      </c>
      <c r="D145" s="3932" t="s">
        <v>4281</v>
      </c>
      <c r="E145" s="3932">
        <v>1</v>
      </c>
      <c r="F145" s="3932">
        <v>0.20399999999999999</v>
      </c>
    </row>
    <row r="146" spans="1:6" ht="14.25" thickBot="1">
      <c r="A146" s="3930">
        <v>145</v>
      </c>
      <c r="B146" s="3931" t="s">
        <v>4532</v>
      </c>
      <c r="C146" s="3932" t="s">
        <v>4281</v>
      </c>
      <c r="D146" s="3932" t="s">
        <v>4647</v>
      </c>
      <c r="E146" s="3932">
        <v>1</v>
      </c>
      <c r="F146" s="3932">
        <v>0.34</v>
      </c>
    </row>
    <row r="147" spans="1:6" ht="14.25" thickBot="1">
      <c r="A147" s="3930">
        <v>146</v>
      </c>
      <c r="B147" s="3931" t="s">
        <v>4534</v>
      </c>
      <c r="C147" s="3932" t="s">
        <v>4281</v>
      </c>
      <c r="D147" s="3932" t="s">
        <v>4535</v>
      </c>
      <c r="E147" s="3932">
        <v>1</v>
      </c>
      <c r="F147" s="3932">
        <v>0.26519999999999999</v>
      </c>
    </row>
    <row r="148" spans="1:6" ht="21.75" thickBot="1">
      <c r="A148" s="3930">
        <v>147</v>
      </c>
      <c r="B148" s="3931" t="s">
        <v>4536</v>
      </c>
      <c r="C148" s="3931" t="s">
        <v>4537</v>
      </c>
      <c r="D148" s="3932" t="s">
        <v>4538</v>
      </c>
      <c r="E148" s="3932">
        <v>1</v>
      </c>
      <c r="F148" s="3932">
        <v>5.1200000000000002E-2</v>
      </c>
    </row>
    <row r="149" spans="1:6" ht="21.75" thickBot="1">
      <c r="A149" s="3930">
        <v>148</v>
      </c>
      <c r="B149" s="3931" t="s">
        <v>4539</v>
      </c>
      <c r="C149" s="3931" t="s">
        <v>4540</v>
      </c>
      <c r="D149" s="3932" t="s">
        <v>4541</v>
      </c>
      <c r="E149" s="3932">
        <v>1</v>
      </c>
      <c r="F149" s="3932">
        <v>3.4000000000000002E-2</v>
      </c>
    </row>
    <row r="150" spans="1:6" ht="14.25" thickBot="1">
      <c r="A150" s="3930">
        <v>149</v>
      </c>
      <c r="B150" s="3931" t="s">
        <v>4542</v>
      </c>
      <c r="C150" s="3932" t="s">
        <v>4281</v>
      </c>
      <c r="D150" s="3932" t="s">
        <v>4281</v>
      </c>
      <c r="E150" s="3932">
        <v>1</v>
      </c>
      <c r="F150" s="3932">
        <v>8.5000000000000006E-2</v>
      </c>
    </row>
    <row r="151" spans="1:6" ht="22.5" thickBot="1">
      <c r="A151" s="3930">
        <v>150</v>
      </c>
      <c r="B151" s="3931" t="s">
        <v>4543</v>
      </c>
      <c r="C151" s="3932" t="s">
        <v>4648</v>
      </c>
      <c r="D151" s="3932" t="s">
        <v>4545</v>
      </c>
      <c r="E151" s="3932">
        <v>1</v>
      </c>
      <c r="F151" s="3932">
        <v>0.1394</v>
      </c>
    </row>
    <row r="152" spans="1:6" ht="21.75" thickBot="1">
      <c r="A152" s="3930">
        <v>151</v>
      </c>
      <c r="B152" s="3931" t="s">
        <v>4546</v>
      </c>
      <c r="C152" s="3931" t="s">
        <v>4547</v>
      </c>
      <c r="D152" s="3932" t="s">
        <v>4548</v>
      </c>
      <c r="E152" s="3932">
        <v>1</v>
      </c>
      <c r="F152" s="3932">
        <v>0.11899999999999999</v>
      </c>
    </row>
    <row r="153" spans="1:6" ht="14.25" thickBot="1">
      <c r="A153" s="3930">
        <v>152</v>
      </c>
      <c r="B153" s="3931" t="s">
        <v>4549</v>
      </c>
      <c r="C153" s="3932" t="s">
        <v>4281</v>
      </c>
      <c r="D153" s="3932" t="s">
        <v>4281</v>
      </c>
      <c r="E153" s="3932">
        <v>3</v>
      </c>
      <c r="F153" s="3932">
        <v>3.5499999999999997E-2</v>
      </c>
    </row>
    <row r="154" spans="1:6" ht="33.75" thickBot="1">
      <c r="A154" s="3930">
        <v>153</v>
      </c>
      <c r="B154" s="3931" t="s">
        <v>4550</v>
      </c>
      <c r="C154" s="3931" t="s">
        <v>4649</v>
      </c>
      <c r="D154" s="3932" t="s">
        <v>4650</v>
      </c>
      <c r="E154" s="3932">
        <v>1</v>
      </c>
      <c r="F154" s="3932">
        <v>5.1479999999999997</v>
      </c>
    </row>
    <row r="155" spans="1:6" ht="14.25" thickBot="1">
      <c r="A155" s="3930">
        <v>154</v>
      </c>
      <c r="B155" s="3931" t="s">
        <v>4332</v>
      </c>
      <c r="C155" s="3932" t="s">
        <v>4281</v>
      </c>
      <c r="D155" s="3932" t="s">
        <v>4651</v>
      </c>
      <c r="E155" s="3932">
        <v>1</v>
      </c>
      <c r="F155" s="3932">
        <v>5.4399999999999997E-2</v>
      </c>
    </row>
    <row r="156" spans="1:6" ht="14.25" thickBot="1">
      <c r="A156" s="3930">
        <v>155</v>
      </c>
      <c r="B156" s="3931" t="s">
        <v>4332</v>
      </c>
      <c r="C156" s="3932" t="s">
        <v>4281</v>
      </c>
      <c r="D156" s="3932" t="s">
        <v>4652</v>
      </c>
      <c r="E156" s="3932">
        <v>1</v>
      </c>
      <c r="F156" s="3932">
        <v>6.8000000000000005E-2</v>
      </c>
    </row>
    <row r="157" spans="1:6" ht="14.25" thickBot="1">
      <c r="A157" s="3930">
        <v>156</v>
      </c>
      <c r="B157" s="3931" t="s">
        <v>4555</v>
      </c>
      <c r="C157" s="3932" t="s">
        <v>4281</v>
      </c>
      <c r="D157" s="3932" t="s">
        <v>4281</v>
      </c>
      <c r="E157" s="3932">
        <v>1</v>
      </c>
      <c r="F157" s="3932">
        <v>0.15640000000000001</v>
      </c>
    </row>
    <row r="158" spans="1:6" ht="21.75" thickBot="1">
      <c r="A158" s="3930">
        <v>157</v>
      </c>
      <c r="B158" s="3931" t="s">
        <v>4556</v>
      </c>
      <c r="C158" s="3932" t="s">
        <v>4281</v>
      </c>
      <c r="D158" s="3932" t="s">
        <v>4557</v>
      </c>
      <c r="E158" s="3932">
        <v>1</v>
      </c>
      <c r="F158" s="3932">
        <v>0.12</v>
      </c>
    </row>
    <row r="159" spans="1:6" ht="21.75" thickBot="1">
      <c r="A159" s="3930">
        <v>158</v>
      </c>
      <c r="B159" s="3931" t="s">
        <v>4558</v>
      </c>
      <c r="C159" s="3931" t="s">
        <v>4559</v>
      </c>
      <c r="D159" s="3932" t="s">
        <v>4281</v>
      </c>
      <c r="E159" s="3932">
        <v>1</v>
      </c>
      <c r="F159" s="3932">
        <v>6.8000000000000005E-2</v>
      </c>
    </row>
    <row r="160" spans="1:6" ht="21.75" thickBot="1">
      <c r="A160" s="3930">
        <v>159</v>
      </c>
      <c r="B160" s="3931" t="s">
        <v>4560</v>
      </c>
      <c r="C160" s="3931" t="s">
        <v>4561</v>
      </c>
      <c r="D160" s="3932" t="s">
        <v>4653</v>
      </c>
      <c r="E160" s="3932">
        <v>1</v>
      </c>
      <c r="F160" s="3932">
        <v>2.8899999999999999E-2</v>
      </c>
    </row>
    <row r="161" spans="1:6" ht="21.75" thickBot="1">
      <c r="A161" s="3930">
        <v>160</v>
      </c>
      <c r="B161" s="3931" t="s">
        <v>4563</v>
      </c>
      <c r="C161" s="3931" t="s">
        <v>4564</v>
      </c>
      <c r="D161" s="3932" t="s">
        <v>4423</v>
      </c>
      <c r="E161" s="3932">
        <v>1</v>
      </c>
      <c r="F161" s="3932">
        <v>0.2414</v>
      </c>
    </row>
    <row r="162" spans="1:6" ht="21.75" thickBot="1">
      <c r="A162" s="3930">
        <v>161</v>
      </c>
      <c r="B162" s="3931" t="s">
        <v>4565</v>
      </c>
      <c r="C162" s="3931" t="s">
        <v>4564</v>
      </c>
      <c r="D162" s="3932" t="s">
        <v>4654</v>
      </c>
      <c r="E162" s="3932">
        <v>1</v>
      </c>
      <c r="F162" s="3932">
        <v>3.7400000000000003E-2</v>
      </c>
    </row>
    <row r="163" spans="1:6" ht="21.75" thickBot="1">
      <c r="A163" s="3930">
        <v>162</v>
      </c>
      <c r="B163" s="3931" t="s">
        <v>4565</v>
      </c>
      <c r="C163" s="3931" t="s">
        <v>4567</v>
      </c>
      <c r="D163" s="3932" t="s">
        <v>4568</v>
      </c>
      <c r="E163" s="3932">
        <v>1</v>
      </c>
      <c r="F163" s="3932">
        <v>4.0099999999999997E-2</v>
      </c>
    </row>
    <row r="164" spans="1:6" ht="14.25" thickBot="1">
      <c r="A164" s="3930">
        <v>163</v>
      </c>
      <c r="B164" s="3931" t="s">
        <v>4569</v>
      </c>
      <c r="C164" s="3931" t="s">
        <v>4570</v>
      </c>
      <c r="D164" s="3932" t="s">
        <v>4571</v>
      </c>
      <c r="E164" s="3932">
        <v>1</v>
      </c>
      <c r="F164" s="3932">
        <v>0.14000000000000001</v>
      </c>
    </row>
    <row r="165" spans="1:6" ht="21.75" thickBot="1">
      <c r="A165" s="3930">
        <v>164</v>
      </c>
      <c r="B165" s="3931" t="s">
        <v>4572</v>
      </c>
      <c r="C165" s="3931" t="s">
        <v>4573</v>
      </c>
      <c r="D165" s="3932" t="s">
        <v>4574</v>
      </c>
      <c r="E165" s="3932">
        <v>1</v>
      </c>
      <c r="F165" s="3932">
        <v>8.4000000000000005E-2</v>
      </c>
    </row>
    <row r="166" spans="1:6" ht="23.25" thickBot="1">
      <c r="A166" s="3930">
        <v>165</v>
      </c>
      <c r="B166" s="3931" t="s">
        <v>4575</v>
      </c>
      <c r="C166" s="3931" t="s">
        <v>4576</v>
      </c>
      <c r="D166" s="3932" t="s">
        <v>4577</v>
      </c>
      <c r="E166" s="3932">
        <v>1</v>
      </c>
      <c r="F166" s="3932">
        <v>0.1212</v>
      </c>
    </row>
    <row r="167" spans="1:6" ht="14.25" thickBot="1">
      <c r="A167" s="3930">
        <v>166</v>
      </c>
      <c r="B167" s="3931" t="s">
        <v>4565</v>
      </c>
      <c r="C167" s="3931" t="s">
        <v>4578</v>
      </c>
      <c r="D167" s="3932" t="s">
        <v>4579</v>
      </c>
      <c r="E167" s="3932">
        <v>1</v>
      </c>
      <c r="F167" s="3932">
        <v>2.92E-2</v>
      </c>
    </row>
    <row r="168" spans="1:6" ht="21.75" thickBot="1">
      <c r="A168" s="3930">
        <v>167</v>
      </c>
      <c r="B168" s="3931" t="s">
        <v>4565</v>
      </c>
      <c r="C168" s="3931" t="s">
        <v>4564</v>
      </c>
      <c r="D168" s="3932" t="s">
        <v>4655</v>
      </c>
      <c r="E168" s="3932">
        <v>1</v>
      </c>
      <c r="F168" s="3932">
        <v>1.5599999999999999E-2</v>
      </c>
    </row>
    <row r="169" spans="1:6" ht="14.25" thickBot="1">
      <c r="A169" s="3930">
        <v>168</v>
      </c>
      <c r="B169" s="3931" t="s">
        <v>4656</v>
      </c>
      <c r="C169" s="3931" t="s">
        <v>4578</v>
      </c>
      <c r="D169" s="3932" t="s">
        <v>4581</v>
      </c>
      <c r="E169" s="3932">
        <v>1</v>
      </c>
      <c r="F169" s="3932">
        <v>0.1258</v>
      </c>
    </row>
    <row r="170" spans="1:6" ht="21.75" thickBot="1">
      <c r="A170" s="3930">
        <v>169</v>
      </c>
      <c r="B170" s="3931" t="s">
        <v>4565</v>
      </c>
      <c r="C170" s="3931" t="s">
        <v>4564</v>
      </c>
      <c r="D170" s="3902" t="s">
        <v>4582</v>
      </c>
      <c r="E170" s="3932">
        <v>1</v>
      </c>
      <c r="F170" s="3932">
        <v>1.77E-2</v>
      </c>
    </row>
    <row r="171" spans="1:6" ht="21.75" thickBot="1">
      <c r="A171" s="3930">
        <v>170</v>
      </c>
      <c r="B171" s="3931" t="s">
        <v>4565</v>
      </c>
      <c r="C171" s="3931" t="s">
        <v>4564</v>
      </c>
      <c r="D171" s="3932" t="s">
        <v>4583</v>
      </c>
      <c r="E171" s="3932">
        <v>1</v>
      </c>
      <c r="F171" s="3932">
        <v>3.7400000000000003E-2</v>
      </c>
    </row>
    <row r="172" spans="1:6" ht="21.75" thickBot="1">
      <c r="A172" s="3930">
        <v>171</v>
      </c>
      <c r="B172" s="3931" t="s">
        <v>4584</v>
      </c>
      <c r="C172" s="3931" t="s">
        <v>4585</v>
      </c>
      <c r="D172" s="3932" t="s">
        <v>4657</v>
      </c>
      <c r="E172" s="3932">
        <v>1</v>
      </c>
      <c r="F172" s="3932">
        <v>5.7799999999999997E-2</v>
      </c>
    </row>
    <row r="173" spans="1:6" ht="21.75" thickBot="1">
      <c r="A173" s="3930">
        <v>172</v>
      </c>
      <c r="B173" s="3931" t="s">
        <v>4587</v>
      </c>
      <c r="C173" s="3931" t="s">
        <v>4588</v>
      </c>
      <c r="D173" s="3932" t="s">
        <v>4589</v>
      </c>
      <c r="E173" s="3932">
        <v>1</v>
      </c>
      <c r="F173" s="3932">
        <v>0.28899999999999998</v>
      </c>
    </row>
    <row r="174" spans="1:6" ht="21.75" thickBot="1">
      <c r="A174" s="3930">
        <v>173</v>
      </c>
      <c r="B174" s="3931" t="s">
        <v>4590</v>
      </c>
      <c r="C174" s="3931" t="s">
        <v>4591</v>
      </c>
      <c r="D174" s="3932" t="s">
        <v>4658</v>
      </c>
      <c r="E174" s="3932">
        <v>1</v>
      </c>
      <c r="F174" s="3932">
        <v>6.4600000000000005E-2</v>
      </c>
    </row>
    <row r="175" spans="1:6" ht="14.25" thickBot="1">
      <c r="A175" s="3930">
        <v>174</v>
      </c>
      <c r="B175" s="3931" t="s">
        <v>4659</v>
      </c>
      <c r="C175" s="3932" t="s">
        <v>4281</v>
      </c>
      <c r="D175" s="3932" t="s">
        <v>4660</v>
      </c>
      <c r="E175" s="3932">
        <v>2</v>
      </c>
      <c r="F175" s="3932">
        <v>20.956299999999999</v>
      </c>
    </row>
    <row r="176" spans="1:6" ht="14.25" thickBot="1">
      <c r="A176" s="3930">
        <v>175</v>
      </c>
      <c r="B176" s="3931" t="s">
        <v>4661</v>
      </c>
      <c r="C176" s="3932" t="s">
        <v>4281</v>
      </c>
      <c r="D176" s="3933">
        <v>44628</v>
      </c>
      <c r="E176" s="3932">
        <v>1</v>
      </c>
      <c r="F176" s="3932">
        <v>0.6956</v>
      </c>
    </row>
    <row r="177" spans="1:6" ht="14.25" thickBot="1">
      <c r="A177" s="3930">
        <v>176</v>
      </c>
      <c r="B177" s="3931" t="s">
        <v>4662</v>
      </c>
      <c r="C177" s="3932" t="s">
        <v>4281</v>
      </c>
      <c r="D177" s="3932" t="s">
        <v>4281</v>
      </c>
      <c r="E177" s="3932" t="s">
        <v>4281</v>
      </c>
      <c r="F177" s="3932">
        <v>174.38399999999999</v>
      </c>
    </row>
    <row r="178" spans="1:6" ht="22.5" thickBot="1">
      <c r="A178" s="3930">
        <v>177</v>
      </c>
      <c r="B178" s="3932" t="s">
        <v>4663</v>
      </c>
      <c r="C178" s="3932" t="s">
        <v>4281</v>
      </c>
      <c r="D178" s="3932" t="s">
        <v>4281</v>
      </c>
      <c r="E178" s="3932" t="s">
        <v>4281</v>
      </c>
      <c r="F178" s="3932">
        <v>71.140600000000006</v>
      </c>
    </row>
    <row r="179" spans="1:6" ht="14.25" thickBot="1">
      <c r="A179" s="3930">
        <v>178</v>
      </c>
      <c r="B179" s="3931" t="s">
        <v>4664</v>
      </c>
      <c r="C179" s="3932" t="s">
        <v>4281</v>
      </c>
      <c r="D179" s="3932" t="s">
        <v>4281</v>
      </c>
      <c r="E179" s="3932" t="s">
        <v>4281</v>
      </c>
      <c r="F179" s="3932">
        <v>12.7684</v>
      </c>
    </row>
    <row r="180" spans="1:6" ht="21.75" thickBot="1">
      <c r="A180" s="3930">
        <v>179</v>
      </c>
      <c r="B180" s="3931" t="s">
        <v>4665</v>
      </c>
      <c r="C180" s="3932" t="s">
        <v>4281</v>
      </c>
      <c r="D180" s="3932" t="s">
        <v>4281</v>
      </c>
      <c r="E180" s="3932" t="s">
        <v>4281</v>
      </c>
      <c r="F180" s="3932">
        <v>10.807499999999999</v>
      </c>
    </row>
    <row r="181" spans="1:6" ht="14.25" thickBot="1">
      <c r="A181" s="3930">
        <v>180</v>
      </c>
      <c r="B181" s="3931" t="s">
        <v>4666</v>
      </c>
      <c r="C181" s="3932" t="s">
        <v>4281</v>
      </c>
      <c r="D181" s="3932" t="s">
        <v>4281</v>
      </c>
      <c r="E181" s="3932" t="s">
        <v>4281</v>
      </c>
      <c r="F181" s="3932">
        <v>40.162700000000001</v>
      </c>
    </row>
    <row r="182" spans="1:6" ht="14.25" thickBot="1">
      <c r="A182" s="3930">
        <v>181</v>
      </c>
      <c r="B182" s="3931" t="s">
        <v>4667</v>
      </c>
      <c r="C182" s="3932" t="s">
        <v>4281</v>
      </c>
      <c r="D182" s="3932" t="s">
        <v>4281</v>
      </c>
      <c r="E182" s="3932" t="s">
        <v>4281</v>
      </c>
      <c r="F182" s="3932">
        <v>3.5750000000000002</v>
      </c>
    </row>
    <row r="183" spans="1:6" ht="14.25" thickBot="1">
      <c r="A183" s="3934" t="s">
        <v>24</v>
      </c>
      <c r="B183" s="3932" t="s">
        <v>4281</v>
      </c>
      <c r="C183" s="3932" t="s">
        <v>4281</v>
      </c>
      <c r="D183" s="3932" t="s">
        <v>4281</v>
      </c>
      <c r="E183" s="3932" t="s">
        <v>4281</v>
      </c>
      <c r="F183" s="3932">
        <v>939.08360000000005</v>
      </c>
    </row>
  </sheetData>
  <phoneticPr fontId="228" type="noConversion"/>
  <hyperlinks>
    <hyperlink ref="D170" r:id="rId1" display="mailto:G@G" xr:uid="{1AAC4CB6-4A3E-4CC9-A651-519679E51B67}"/>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theme="8" tint="-0.499984740745262"/>
    <outlinePr summaryBelow="0"/>
  </sheetPr>
  <dimension ref="A1:BL411"/>
  <sheetViews>
    <sheetView showZeros="0" zoomScaleNormal="100" workbookViewId="0">
      <pane xSplit="1" ySplit="3" topLeftCell="B4" activePane="bottomRight" state="frozen"/>
      <selection pane="topRight"/>
      <selection pane="bottomLeft"/>
      <selection pane="bottomRight" activeCell="E36" sqref="E36"/>
    </sheetView>
  </sheetViews>
  <sheetFormatPr defaultColWidth="8.875" defaultRowHeight="13.5" outlineLevelRow="1"/>
  <cols>
    <col min="1" max="1" width="11.375" customWidth="1"/>
    <col min="2" max="2" width="12.5" customWidth="1"/>
    <col min="3" max="3" width="11" customWidth="1"/>
    <col min="4" max="4" width="14.625" customWidth="1"/>
    <col min="5" max="5" width="14.375" customWidth="1"/>
    <col min="6" max="6" width="11.125" bestFit="1" customWidth="1"/>
    <col min="7" max="7" width="11.875" customWidth="1"/>
    <col min="8" max="8" width="10.125" customWidth="1"/>
    <col min="9" max="9" width="11" customWidth="1"/>
    <col min="10" max="11" width="11.125" bestFit="1" customWidth="1"/>
    <col min="12" max="12" width="13.125" customWidth="1"/>
    <col min="13" max="59" width="9" customWidth="1"/>
    <col min="60" max="60" width="13.625" customWidth="1"/>
    <col min="61" max="61" width="12.25" customWidth="1"/>
    <col min="62" max="227" width="9" customWidth="1"/>
    <col min="257" max="257" width="11.375" customWidth="1"/>
    <col min="258" max="258" width="12.5" customWidth="1"/>
    <col min="259" max="259" width="11" customWidth="1"/>
    <col min="260" max="260" width="14.625" customWidth="1"/>
    <col min="261" max="261" width="14.375" customWidth="1"/>
    <col min="262" max="262" width="11.125" bestFit="1" customWidth="1"/>
    <col min="263" max="263" width="11.875" customWidth="1"/>
    <col min="264" max="264" width="10.125" customWidth="1"/>
    <col min="265" max="265" width="11" customWidth="1"/>
    <col min="266" max="267" width="11.125" bestFit="1" customWidth="1"/>
    <col min="268" max="268" width="13.125" customWidth="1"/>
    <col min="269" max="315" width="9" customWidth="1"/>
    <col min="316" max="316" width="13.625" customWidth="1"/>
    <col min="317" max="317" width="12.25" customWidth="1"/>
    <col min="318" max="483" width="9" customWidth="1"/>
    <col min="513" max="513" width="11.375" customWidth="1"/>
    <col min="514" max="514" width="12.5" customWidth="1"/>
    <col min="515" max="515" width="11" customWidth="1"/>
    <col min="516" max="516" width="14.625" customWidth="1"/>
    <col min="517" max="517" width="14.375" customWidth="1"/>
    <col min="518" max="518" width="11.125" bestFit="1" customWidth="1"/>
    <col min="519" max="519" width="11.875" customWidth="1"/>
    <col min="520" max="520" width="10.125" customWidth="1"/>
    <col min="521" max="521" width="11" customWidth="1"/>
    <col min="522" max="523" width="11.125" bestFit="1" customWidth="1"/>
    <col min="524" max="524" width="13.125" customWidth="1"/>
    <col min="525" max="571" width="9" customWidth="1"/>
    <col min="572" max="572" width="13.625" customWidth="1"/>
    <col min="573" max="573" width="12.25" customWidth="1"/>
    <col min="574" max="739" width="9" customWidth="1"/>
    <col min="769" max="769" width="11.375" customWidth="1"/>
    <col min="770" max="770" width="12.5" customWidth="1"/>
    <col min="771" max="771" width="11" customWidth="1"/>
    <col min="772" max="772" width="14.625" customWidth="1"/>
    <col min="773" max="773" width="14.375" customWidth="1"/>
    <col min="774" max="774" width="11.125" bestFit="1" customWidth="1"/>
    <col min="775" max="775" width="11.875" customWidth="1"/>
    <col min="776" max="776" width="10.125" customWidth="1"/>
    <col min="777" max="777" width="11" customWidth="1"/>
    <col min="778" max="779" width="11.125" bestFit="1" customWidth="1"/>
    <col min="780" max="780" width="13.125" customWidth="1"/>
    <col min="781" max="827" width="9" customWidth="1"/>
    <col min="828" max="828" width="13.625" customWidth="1"/>
    <col min="829" max="829" width="12.25" customWidth="1"/>
    <col min="830" max="995" width="9" customWidth="1"/>
    <col min="1025" max="1025" width="11.375" customWidth="1"/>
    <col min="1026" max="1026" width="12.5" customWidth="1"/>
    <col min="1027" max="1027" width="11" customWidth="1"/>
    <col min="1028" max="1028" width="14.625" customWidth="1"/>
    <col min="1029" max="1029" width="14.375" customWidth="1"/>
    <col min="1030" max="1030" width="11.125" bestFit="1" customWidth="1"/>
    <col min="1031" max="1031" width="11.875" customWidth="1"/>
    <col min="1032" max="1032" width="10.125" customWidth="1"/>
    <col min="1033" max="1033" width="11" customWidth="1"/>
    <col min="1034" max="1035" width="11.125" bestFit="1" customWidth="1"/>
    <col min="1036" max="1036" width="13.125" customWidth="1"/>
    <col min="1037" max="1083" width="9" customWidth="1"/>
    <col min="1084" max="1084" width="13.625" customWidth="1"/>
    <col min="1085" max="1085" width="12.25" customWidth="1"/>
    <col min="1086" max="1251" width="9" customWidth="1"/>
    <col min="1281" max="1281" width="11.375" customWidth="1"/>
    <col min="1282" max="1282" width="12.5" customWidth="1"/>
    <col min="1283" max="1283" width="11" customWidth="1"/>
    <col min="1284" max="1284" width="14.625" customWidth="1"/>
    <col min="1285" max="1285" width="14.375" customWidth="1"/>
    <col min="1286" max="1286" width="11.125" bestFit="1" customWidth="1"/>
    <col min="1287" max="1287" width="11.875" customWidth="1"/>
    <col min="1288" max="1288" width="10.125" customWidth="1"/>
    <col min="1289" max="1289" width="11" customWidth="1"/>
    <col min="1290" max="1291" width="11.125" bestFit="1" customWidth="1"/>
    <col min="1292" max="1292" width="13.125" customWidth="1"/>
    <col min="1293" max="1339" width="9" customWidth="1"/>
    <col min="1340" max="1340" width="13.625" customWidth="1"/>
    <col min="1341" max="1341" width="12.25" customWidth="1"/>
    <col min="1342" max="1507" width="9" customWidth="1"/>
    <col min="1537" max="1537" width="11.375" customWidth="1"/>
    <col min="1538" max="1538" width="12.5" customWidth="1"/>
    <col min="1539" max="1539" width="11" customWidth="1"/>
    <col min="1540" max="1540" width="14.625" customWidth="1"/>
    <col min="1541" max="1541" width="14.375" customWidth="1"/>
    <col min="1542" max="1542" width="11.125" bestFit="1" customWidth="1"/>
    <col min="1543" max="1543" width="11.875" customWidth="1"/>
    <col min="1544" max="1544" width="10.125" customWidth="1"/>
    <col min="1545" max="1545" width="11" customWidth="1"/>
    <col min="1546" max="1547" width="11.125" bestFit="1" customWidth="1"/>
    <col min="1548" max="1548" width="13.125" customWidth="1"/>
    <col min="1549" max="1595" width="9" customWidth="1"/>
    <col min="1596" max="1596" width="13.625" customWidth="1"/>
    <col min="1597" max="1597" width="12.25" customWidth="1"/>
    <col min="1598" max="1763" width="9" customWidth="1"/>
    <col min="1793" max="1793" width="11.375" customWidth="1"/>
    <col min="1794" max="1794" width="12.5" customWidth="1"/>
    <col min="1795" max="1795" width="11" customWidth="1"/>
    <col min="1796" max="1796" width="14.625" customWidth="1"/>
    <col min="1797" max="1797" width="14.375" customWidth="1"/>
    <col min="1798" max="1798" width="11.125" bestFit="1" customWidth="1"/>
    <col min="1799" max="1799" width="11.875" customWidth="1"/>
    <col min="1800" max="1800" width="10.125" customWidth="1"/>
    <col min="1801" max="1801" width="11" customWidth="1"/>
    <col min="1802" max="1803" width="11.125" bestFit="1" customWidth="1"/>
    <col min="1804" max="1804" width="13.125" customWidth="1"/>
    <col min="1805" max="1851" width="9" customWidth="1"/>
    <col min="1852" max="1852" width="13.625" customWidth="1"/>
    <col min="1853" max="1853" width="12.25" customWidth="1"/>
    <col min="1854" max="2019" width="9" customWidth="1"/>
    <col min="2049" max="2049" width="11.375" customWidth="1"/>
    <col min="2050" max="2050" width="12.5" customWidth="1"/>
    <col min="2051" max="2051" width="11" customWidth="1"/>
    <col min="2052" max="2052" width="14.625" customWidth="1"/>
    <col min="2053" max="2053" width="14.375" customWidth="1"/>
    <col min="2054" max="2054" width="11.125" bestFit="1" customWidth="1"/>
    <col min="2055" max="2055" width="11.875" customWidth="1"/>
    <col min="2056" max="2056" width="10.125" customWidth="1"/>
    <col min="2057" max="2057" width="11" customWidth="1"/>
    <col min="2058" max="2059" width="11.125" bestFit="1" customWidth="1"/>
    <col min="2060" max="2060" width="13.125" customWidth="1"/>
    <col min="2061" max="2107" width="9" customWidth="1"/>
    <col min="2108" max="2108" width="13.625" customWidth="1"/>
    <col min="2109" max="2109" width="12.25" customWidth="1"/>
    <col min="2110" max="2275" width="9" customWidth="1"/>
    <col min="2305" max="2305" width="11.375" customWidth="1"/>
    <col min="2306" max="2306" width="12.5" customWidth="1"/>
    <col min="2307" max="2307" width="11" customWidth="1"/>
    <col min="2308" max="2308" width="14.625" customWidth="1"/>
    <col min="2309" max="2309" width="14.375" customWidth="1"/>
    <col min="2310" max="2310" width="11.125" bestFit="1" customWidth="1"/>
    <col min="2311" max="2311" width="11.875" customWidth="1"/>
    <col min="2312" max="2312" width="10.125" customWidth="1"/>
    <col min="2313" max="2313" width="11" customWidth="1"/>
    <col min="2314" max="2315" width="11.125" bestFit="1" customWidth="1"/>
    <col min="2316" max="2316" width="13.125" customWidth="1"/>
    <col min="2317" max="2363" width="9" customWidth="1"/>
    <col min="2364" max="2364" width="13.625" customWidth="1"/>
    <col min="2365" max="2365" width="12.25" customWidth="1"/>
    <col min="2366" max="2531" width="9" customWidth="1"/>
    <col min="2561" max="2561" width="11.375" customWidth="1"/>
    <col min="2562" max="2562" width="12.5" customWidth="1"/>
    <col min="2563" max="2563" width="11" customWidth="1"/>
    <col min="2564" max="2564" width="14.625" customWidth="1"/>
    <col min="2565" max="2565" width="14.375" customWidth="1"/>
    <col min="2566" max="2566" width="11.125" bestFit="1" customWidth="1"/>
    <col min="2567" max="2567" width="11.875" customWidth="1"/>
    <col min="2568" max="2568" width="10.125" customWidth="1"/>
    <col min="2569" max="2569" width="11" customWidth="1"/>
    <col min="2570" max="2571" width="11.125" bestFit="1" customWidth="1"/>
    <col min="2572" max="2572" width="13.125" customWidth="1"/>
    <col min="2573" max="2619" width="9" customWidth="1"/>
    <col min="2620" max="2620" width="13.625" customWidth="1"/>
    <col min="2621" max="2621" width="12.25" customWidth="1"/>
    <col min="2622" max="2787" width="9" customWidth="1"/>
    <col min="2817" max="2817" width="11.375" customWidth="1"/>
    <col min="2818" max="2818" width="12.5" customWidth="1"/>
    <col min="2819" max="2819" width="11" customWidth="1"/>
    <col min="2820" max="2820" width="14.625" customWidth="1"/>
    <col min="2821" max="2821" width="14.375" customWidth="1"/>
    <col min="2822" max="2822" width="11.125" bestFit="1" customWidth="1"/>
    <col min="2823" max="2823" width="11.875" customWidth="1"/>
    <col min="2824" max="2824" width="10.125" customWidth="1"/>
    <col min="2825" max="2825" width="11" customWidth="1"/>
    <col min="2826" max="2827" width="11.125" bestFit="1" customWidth="1"/>
    <col min="2828" max="2828" width="13.125" customWidth="1"/>
    <col min="2829" max="2875" width="9" customWidth="1"/>
    <col min="2876" max="2876" width="13.625" customWidth="1"/>
    <col min="2877" max="2877" width="12.25" customWidth="1"/>
    <col min="2878" max="3043" width="9" customWidth="1"/>
    <col min="3073" max="3073" width="11.375" customWidth="1"/>
    <col min="3074" max="3074" width="12.5" customWidth="1"/>
    <col min="3075" max="3075" width="11" customWidth="1"/>
    <col min="3076" max="3076" width="14.625" customWidth="1"/>
    <col min="3077" max="3077" width="14.375" customWidth="1"/>
    <col min="3078" max="3078" width="11.125" bestFit="1" customWidth="1"/>
    <col min="3079" max="3079" width="11.875" customWidth="1"/>
    <col min="3080" max="3080" width="10.125" customWidth="1"/>
    <col min="3081" max="3081" width="11" customWidth="1"/>
    <col min="3082" max="3083" width="11.125" bestFit="1" customWidth="1"/>
    <col min="3084" max="3084" width="13.125" customWidth="1"/>
    <col min="3085" max="3131" width="9" customWidth="1"/>
    <col min="3132" max="3132" width="13.625" customWidth="1"/>
    <col min="3133" max="3133" width="12.25" customWidth="1"/>
    <col min="3134" max="3299" width="9" customWidth="1"/>
    <col min="3329" max="3329" width="11.375" customWidth="1"/>
    <col min="3330" max="3330" width="12.5" customWidth="1"/>
    <col min="3331" max="3331" width="11" customWidth="1"/>
    <col min="3332" max="3332" width="14.625" customWidth="1"/>
    <col min="3333" max="3333" width="14.375" customWidth="1"/>
    <col min="3334" max="3334" width="11.125" bestFit="1" customWidth="1"/>
    <col min="3335" max="3335" width="11.875" customWidth="1"/>
    <col min="3336" max="3336" width="10.125" customWidth="1"/>
    <col min="3337" max="3337" width="11" customWidth="1"/>
    <col min="3338" max="3339" width="11.125" bestFit="1" customWidth="1"/>
    <col min="3340" max="3340" width="13.125" customWidth="1"/>
    <col min="3341" max="3387" width="9" customWidth="1"/>
    <col min="3388" max="3388" width="13.625" customWidth="1"/>
    <col min="3389" max="3389" width="12.25" customWidth="1"/>
    <col min="3390" max="3555" width="9" customWidth="1"/>
    <col min="3585" max="3585" width="11.375" customWidth="1"/>
    <col min="3586" max="3586" width="12.5" customWidth="1"/>
    <col min="3587" max="3587" width="11" customWidth="1"/>
    <col min="3588" max="3588" width="14.625" customWidth="1"/>
    <col min="3589" max="3589" width="14.375" customWidth="1"/>
    <col min="3590" max="3590" width="11.125" bestFit="1" customWidth="1"/>
    <col min="3591" max="3591" width="11.875" customWidth="1"/>
    <col min="3592" max="3592" width="10.125" customWidth="1"/>
    <col min="3593" max="3593" width="11" customWidth="1"/>
    <col min="3594" max="3595" width="11.125" bestFit="1" customWidth="1"/>
    <col min="3596" max="3596" width="13.125" customWidth="1"/>
    <col min="3597" max="3643" width="9" customWidth="1"/>
    <col min="3644" max="3644" width="13.625" customWidth="1"/>
    <col min="3645" max="3645" width="12.25" customWidth="1"/>
    <col min="3646" max="3811" width="9" customWidth="1"/>
    <col min="3841" max="3841" width="11.375" customWidth="1"/>
    <col min="3842" max="3842" width="12.5" customWidth="1"/>
    <col min="3843" max="3843" width="11" customWidth="1"/>
    <col min="3844" max="3844" width="14.625" customWidth="1"/>
    <col min="3845" max="3845" width="14.375" customWidth="1"/>
    <col min="3846" max="3846" width="11.125" bestFit="1" customWidth="1"/>
    <col min="3847" max="3847" width="11.875" customWidth="1"/>
    <col min="3848" max="3848" width="10.125" customWidth="1"/>
    <col min="3849" max="3849" width="11" customWidth="1"/>
    <col min="3850" max="3851" width="11.125" bestFit="1" customWidth="1"/>
    <col min="3852" max="3852" width="13.125" customWidth="1"/>
    <col min="3853" max="3899" width="9" customWidth="1"/>
    <col min="3900" max="3900" width="13.625" customWidth="1"/>
    <col min="3901" max="3901" width="12.25" customWidth="1"/>
    <col min="3902" max="4067" width="9" customWidth="1"/>
    <col min="4097" max="4097" width="11.375" customWidth="1"/>
    <col min="4098" max="4098" width="12.5" customWidth="1"/>
    <col min="4099" max="4099" width="11" customWidth="1"/>
    <col min="4100" max="4100" width="14.625" customWidth="1"/>
    <col min="4101" max="4101" width="14.375" customWidth="1"/>
    <col min="4102" max="4102" width="11.125" bestFit="1" customWidth="1"/>
    <col min="4103" max="4103" width="11.875" customWidth="1"/>
    <col min="4104" max="4104" width="10.125" customWidth="1"/>
    <col min="4105" max="4105" width="11" customWidth="1"/>
    <col min="4106" max="4107" width="11.125" bestFit="1" customWidth="1"/>
    <col min="4108" max="4108" width="13.125" customWidth="1"/>
    <col min="4109" max="4155" width="9" customWidth="1"/>
    <col min="4156" max="4156" width="13.625" customWidth="1"/>
    <col min="4157" max="4157" width="12.25" customWidth="1"/>
    <col min="4158" max="4323" width="9" customWidth="1"/>
    <col min="4353" max="4353" width="11.375" customWidth="1"/>
    <col min="4354" max="4354" width="12.5" customWidth="1"/>
    <col min="4355" max="4355" width="11" customWidth="1"/>
    <col min="4356" max="4356" width="14.625" customWidth="1"/>
    <col min="4357" max="4357" width="14.375" customWidth="1"/>
    <col min="4358" max="4358" width="11.125" bestFit="1" customWidth="1"/>
    <col min="4359" max="4359" width="11.875" customWidth="1"/>
    <col min="4360" max="4360" width="10.125" customWidth="1"/>
    <col min="4361" max="4361" width="11" customWidth="1"/>
    <col min="4362" max="4363" width="11.125" bestFit="1" customWidth="1"/>
    <col min="4364" max="4364" width="13.125" customWidth="1"/>
    <col min="4365" max="4411" width="9" customWidth="1"/>
    <col min="4412" max="4412" width="13.625" customWidth="1"/>
    <col min="4413" max="4413" width="12.25" customWidth="1"/>
    <col min="4414" max="4579" width="9" customWidth="1"/>
    <col min="4609" max="4609" width="11.375" customWidth="1"/>
    <col min="4610" max="4610" width="12.5" customWidth="1"/>
    <col min="4611" max="4611" width="11" customWidth="1"/>
    <col min="4612" max="4612" width="14.625" customWidth="1"/>
    <col min="4613" max="4613" width="14.375" customWidth="1"/>
    <col min="4614" max="4614" width="11.125" bestFit="1" customWidth="1"/>
    <col min="4615" max="4615" width="11.875" customWidth="1"/>
    <col min="4616" max="4616" width="10.125" customWidth="1"/>
    <col min="4617" max="4617" width="11" customWidth="1"/>
    <col min="4618" max="4619" width="11.125" bestFit="1" customWidth="1"/>
    <col min="4620" max="4620" width="13.125" customWidth="1"/>
    <col min="4621" max="4667" width="9" customWidth="1"/>
    <col min="4668" max="4668" width="13.625" customWidth="1"/>
    <col min="4669" max="4669" width="12.25" customWidth="1"/>
    <col min="4670" max="4835" width="9" customWidth="1"/>
    <col min="4865" max="4865" width="11.375" customWidth="1"/>
    <col min="4866" max="4866" width="12.5" customWidth="1"/>
    <col min="4867" max="4867" width="11" customWidth="1"/>
    <col min="4868" max="4868" width="14.625" customWidth="1"/>
    <col min="4869" max="4869" width="14.375" customWidth="1"/>
    <col min="4870" max="4870" width="11.125" bestFit="1" customWidth="1"/>
    <col min="4871" max="4871" width="11.875" customWidth="1"/>
    <col min="4872" max="4872" width="10.125" customWidth="1"/>
    <col min="4873" max="4873" width="11" customWidth="1"/>
    <col min="4874" max="4875" width="11.125" bestFit="1" customWidth="1"/>
    <col min="4876" max="4876" width="13.125" customWidth="1"/>
    <col min="4877" max="4923" width="9" customWidth="1"/>
    <col min="4924" max="4924" width="13.625" customWidth="1"/>
    <col min="4925" max="4925" width="12.25" customWidth="1"/>
    <col min="4926" max="5091" width="9" customWidth="1"/>
    <col min="5121" max="5121" width="11.375" customWidth="1"/>
    <col min="5122" max="5122" width="12.5" customWidth="1"/>
    <col min="5123" max="5123" width="11" customWidth="1"/>
    <col min="5124" max="5124" width="14.625" customWidth="1"/>
    <col min="5125" max="5125" width="14.375" customWidth="1"/>
    <col min="5126" max="5126" width="11.125" bestFit="1" customWidth="1"/>
    <col min="5127" max="5127" width="11.875" customWidth="1"/>
    <col min="5128" max="5128" width="10.125" customWidth="1"/>
    <col min="5129" max="5129" width="11" customWidth="1"/>
    <col min="5130" max="5131" width="11.125" bestFit="1" customWidth="1"/>
    <col min="5132" max="5132" width="13.125" customWidth="1"/>
    <col min="5133" max="5179" width="9" customWidth="1"/>
    <col min="5180" max="5180" width="13.625" customWidth="1"/>
    <col min="5181" max="5181" width="12.25" customWidth="1"/>
    <col min="5182" max="5347" width="9" customWidth="1"/>
    <col min="5377" max="5377" width="11.375" customWidth="1"/>
    <col min="5378" max="5378" width="12.5" customWidth="1"/>
    <col min="5379" max="5379" width="11" customWidth="1"/>
    <col min="5380" max="5380" width="14.625" customWidth="1"/>
    <col min="5381" max="5381" width="14.375" customWidth="1"/>
    <col min="5382" max="5382" width="11.125" bestFit="1" customWidth="1"/>
    <col min="5383" max="5383" width="11.875" customWidth="1"/>
    <col min="5384" max="5384" width="10.125" customWidth="1"/>
    <col min="5385" max="5385" width="11" customWidth="1"/>
    <col min="5386" max="5387" width="11.125" bestFit="1" customWidth="1"/>
    <col min="5388" max="5388" width="13.125" customWidth="1"/>
    <col min="5389" max="5435" width="9" customWidth="1"/>
    <col min="5436" max="5436" width="13.625" customWidth="1"/>
    <col min="5437" max="5437" width="12.25" customWidth="1"/>
    <col min="5438" max="5603" width="9" customWidth="1"/>
    <col min="5633" max="5633" width="11.375" customWidth="1"/>
    <col min="5634" max="5634" width="12.5" customWidth="1"/>
    <col min="5635" max="5635" width="11" customWidth="1"/>
    <col min="5636" max="5636" width="14.625" customWidth="1"/>
    <col min="5637" max="5637" width="14.375" customWidth="1"/>
    <col min="5638" max="5638" width="11.125" bestFit="1" customWidth="1"/>
    <col min="5639" max="5639" width="11.875" customWidth="1"/>
    <col min="5640" max="5640" width="10.125" customWidth="1"/>
    <col min="5641" max="5641" width="11" customWidth="1"/>
    <col min="5642" max="5643" width="11.125" bestFit="1" customWidth="1"/>
    <col min="5644" max="5644" width="13.125" customWidth="1"/>
    <col min="5645" max="5691" width="9" customWidth="1"/>
    <col min="5692" max="5692" width="13.625" customWidth="1"/>
    <col min="5693" max="5693" width="12.25" customWidth="1"/>
    <col min="5694" max="5859" width="9" customWidth="1"/>
    <col min="5889" max="5889" width="11.375" customWidth="1"/>
    <col min="5890" max="5890" width="12.5" customWidth="1"/>
    <col min="5891" max="5891" width="11" customWidth="1"/>
    <col min="5892" max="5892" width="14.625" customWidth="1"/>
    <col min="5893" max="5893" width="14.375" customWidth="1"/>
    <col min="5894" max="5894" width="11.125" bestFit="1" customWidth="1"/>
    <col min="5895" max="5895" width="11.875" customWidth="1"/>
    <col min="5896" max="5896" width="10.125" customWidth="1"/>
    <col min="5897" max="5897" width="11" customWidth="1"/>
    <col min="5898" max="5899" width="11.125" bestFit="1" customWidth="1"/>
    <col min="5900" max="5900" width="13.125" customWidth="1"/>
    <col min="5901" max="5947" width="9" customWidth="1"/>
    <col min="5948" max="5948" width="13.625" customWidth="1"/>
    <col min="5949" max="5949" width="12.25" customWidth="1"/>
    <col min="5950" max="6115" width="9" customWidth="1"/>
    <col min="6145" max="6145" width="11.375" customWidth="1"/>
    <col min="6146" max="6146" width="12.5" customWidth="1"/>
    <col min="6147" max="6147" width="11" customWidth="1"/>
    <col min="6148" max="6148" width="14.625" customWidth="1"/>
    <col min="6149" max="6149" width="14.375" customWidth="1"/>
    <col min="6150" max="6150" width="11.125" bestFit="1" customWidth="1"/>
    <col min="6151" max="6151" width="11.875" customWidth="1"/>
    <col min="6152" max="6152" width="10.125" customWidth="1"/>
    <col min="6153" max="6153" width="11" customWidth="1"/>
    <col min="6154" max="6155" width="11.125" bestFit="1" customWidth="1"/>
    <col min="6156" max="6156" width="13.125" customWidth="1"/>
    <col min="6157" max="6203" width="9" customWidth="1"/>
    <col min="6204" max="6204" width="13.625" customWidth="1"/>
    <col min="6205" max="6205" width="12.25" customWidth="1"/>
    <col min="6206" max="6371" width="9" customWidth="1"/>
    <col min="6401" max="6401" width="11.375" customWidth="1"/>
    <col min="6402" max="6402" width="12.5" customWidth="1"/>
    <col min="6403" max="6403" width="11" customWidth="1"/>
    <col min="6404" max="6404" width="14.625" customWidth="1"/>
    <col min="6405" max="6405" width="14.375" customWidth="1"/>
    <col min="6406" max="6406" width="11.125" bestFit="1" customWidth="1"/>
    <col min="6407" max="6407" width="11.875" customWidth="1"/>
    <col min="6408" max="6408" width="10.125" customWidth="1"/>
    <col min="6409" max="6409" width="11" customWidth="1"/>
    <col min="6410" max="6411" width="11.125" bestFit="1" customWidth="1"/>
    <col min="6412" max="6412" width="13.125" customWidth="1"/>
    <col min="6413" max="6459" width="9" customWidth="1"/>
    <col min="6460" max="6460" width="13.625" customWidth="1"/>
    <col min="6461" max="6461" width="12.25" customWidth="1"/>
    <col min="6462" max="6627" width="9" customWidth="1"/>
    <col min="6657" max="6657" width="11.375" customWidth="1"/>
    <col min="6658" max="6658" width="12.5" customWidth="1"/>
    <col min="6659" max="6659" width="11" customWidth="1"/>
    <col min="6660" max="6660" width="14.625" customWidth="1"/>
    <col min="6661" max="6661" width="14.375" customWidth="1"/>
    <col min="6662" max="6662" width="11.125" bestFit="1" customWidth="1"/>
    <col min="6663" max="6663" width="11.875" customWidth="1"/>
    <col min="6664" max="6664" width="10.125" customWidth="1"/>
    <col min="6665" max="6665" width="11" customWidth="1"/>
    <col min="6666" max="6667" width="11.125" bestFit="1" customWidth="1"/>
    <col min="6668" max="6668" width="13.125" customWidth="1"/>
    <col min="6669" max="6715" width="9" customWidth="1"/>
    <col min="6716" max="6716" width="13.625" customWidth="1"/>
    <col min="6717" max="6717" width="12.25" customWidth="1"/>
    <col min="6718" max="6883" width="9" customWidth="1"/>
    <col min="6913" max="6913" width="11.375" customWidth="1"/>
    <col min="6914" max="6914" width="12.5" customWidth="1"/>
    <col min="6915" max="6915" width="11" customWidth="1"/>
    <col min="6916" max="6916" width="14.625" customWidth="1"/>
    <col min="6917" max="6917" width="14.375" customWidth="1"/>
    <col min="6918" max="6918" width="11.125" bestFit="1" customWidth="1"/>
    <col min="6919" max="6919" width="11.875" customWidth="1"/>
    <col min="6920" max="6920" width="10.125" customWidth="1"/>
    <col min="6921" max="6921" width="11" customWidth="1"/>
    <col min="6922" max="6923" width="11.125" bestFit="1" customWidth="1"/>
    <col min="6924" max="6924" width="13.125" customWidth="1"/>
    <col min="6925" max="6971" width="9" customWidth="1"/>
    <col min="6972" max="6972" width="13.625" customWidth="1"/>
    <col min="6973" max="6973" width="12.25" customWidth="1"/>
    <col min="6974" max="7139" width="9" customWidth="1"/>
    <col min="7169" max="7169" width="11.375" customWidth="1"/>
    <col min="7170" max="7170" width="12.5" customWidth="1"/>
    <col min="7171" max="7171" width="11" customWidth="1"/>
    <col min="7172" max="7172" width="14.625" customWidth="1"/>
    <col min="7173" max="7173" width="14.375" customWidth="1"/>
    <col min="7174" max="7174" width="11.125" bestFit="1" customWidth="1"/>
    <col min="7175" max="7175" width="11.875" customWidth="1"/>
    <col min="7176" max="7176" width="10.125" customWidth="1"/>
    <col min="7177" max="7177" width="11" customWidth="1"/>
    <col min="7178" max="7179" width="11.125" bestFit="1" customWidth="1"/>
    <col min="7180" max="7180" width="13.125" customWidth="1"/>
    <col min="7181" max="7227" width="9" customWidth="1"/>
    <col min="7228" max="7228" width="13.625" customWidth="1"/>
    <col min="7229" max="7229" width="12.25" customWidth="1"/>
    <col min="7230" max="7395" width="9" customWidth="1"/>
    <col min="7425" max="7425" width="11.375" customWidth="1"/>
    <col min="7426" max="7426" width="12.5" customWidth="1"/>
    <col min="7427" max="7427" width="11" customWidth="1"/>
    <col min="7428" max="7428" width="14.625" customWidth="1"/>
    <col min="7429" max="7429" width="14.375" customWidth="1"/>
    <col min="7430" max="7430" width="11.125" bestFit="1" customWidth="1"/>
    <col min="7431" max="7431" width="11.875" customWidth="1"/>
    <col min="7432" max="7432" width="10.125" customWidth="1"/>
    <col min="7433" max="7433" width="11" customWidth="1"/>
    <col min="7434" max="7435" width="11.125" bestFit="1" customWidth="1"/>
    <col min="7436" max="7436" width="13.125" customWidth="1"/>
    <col min="7437" max="7483" width="9" customWidth="1"/>
    <col min="7484" max="7484" width="13.625" customWidth="1"/>
    <col min="7485" max="7485" width="12.25" customWidth="1"/>
    <col min="7486" max="7651" width="9" customWidth="1"/>
    <col min="7681" max="7681" width="11.375" customWidth="1"/>
    <col min="7682" max="7682" width="12.5" customWidth="1"/>
    <col min="7683" max="7683" width="11" customWidth="1"/>
    <col min="7684" max="7684" width="14.625" customWidth="1"/>
    <col min="7685" max="7685" width="14.375" customWidth="1"/>
    <col min="7686" max="7686" width="11.125" bestFit="1" customWidth="1"/>
    <col min="7687" max="7687" width="11.875" customWidth="1"/>
    <col min="7688" max="7688" width="10.125" customWidth="1"/>
    <col min="7689" max="7689" width="11" customWidth="1"/>
    <col min="7690" max="7691" width="11.125" bestFit="1" customWidth="1"/>
    <col min="7692" max="7692" width="13.125" customWidth="1"/>
    <col min="7693" max="7739" width="9" customWidth="1"/>
    <col min="7740" max="7740" width="13.625" customWidth="1"/>
    <col min="7741" max="7741" width="12.25" customWidth="1"/>
    <col min="7742" max="7907" width="9" customWidth="1"/>
    <col min="7937" max="7937" width="11.375" customWidth="1"/>
    <col min="7938" max="7938" width="12.5" customWidth="1"/>
    <col min="7939" max="7939" width="11" customWidth="1"/>
    <col min="7940" max="7940" width="14.625" customWidth="1"/>
    <col min="7941" max="7941" width="14.375" customWidth="1"/>
    <col min="7942" max="7942" width="11.125" bestFit="1" customWidth="1"/>
    <col min="7943" max="7943" width="11.875" customWidth="1"/>
    <col min="7944" max="7944" width="10.125" customWidth="1"/>
    <col min="7945" max="7945" width="11" customWidth="1"/>
    <col min="7946" max="7947" width="11.125" bestFit="1" customWidth="1"/>
    <col min="7948" max="7948" width="13.125" customWidth="1"/>
    <col min="7949" max="7995" width="9" customWidth="1"/>
    <col min="7996" max="7996" width="13.625" customWidth="1"/>
    <col min="7997" max="7997" width="12.25" customWidth="1"/>
    <col min="7998" max="8163" width="9" customWidth="1"/>
    <col min="8193" max="8193" width="11.375" customWidth="1"/>
    <col min="8194" max="8194" width="12.5" customWidth="1"/>
    <col min="8195" max="8195" width="11" customWidth="1"/>
    <col min="8196" max="8196" width="14.625" customWidth="1"/>
    <col min="8197" max="8197" width="14.375" customWidth="1"/>
    <col min="8198" max="8198" width="11.125" bestFit="1" customWidth="1"/>
    <col min="8199" max="8199" width="11.875" customWidth="1"/>
    <col min="8200" max="8200" width="10.125" customWidth="1"/>
    <col min="8201" max="8201" width="11" customWidth="1"/>
    <col min="8202" max="8203" width="11.125" bestFit="1" customWidth="1"/>
    <col min="8204" max="8204" width="13.125" customWidth="1"/>
    <col min="8205" max="8251" width="9" customWidth="1"/>
    <col min="8252" max="8252" width="13.625" customWidth="1"/>
    <col min="8253" max="8253" width="12.25" customWidth="1"/>
    <col min="8254" max="8419" width="9" customWidth="1"/>
    <col min="8449" max="8449" width="11.375" customWidth="1"/>
    <col min="8450" max="8450" width="12.5" customWidth="1"/>
    <col min="8451" max="8451" width="11" customWidth="1"/>
    <col min="8452" max="8452" width="14.625" customWidth="1"/>
    <col min="8453" max="8453" width="14.375" customWidth="1"/>
    <col min="8454" max="8454" width="11.125" bestFit="1" customWidth="1"/>
    <col min="8455" max="8455" width="11.875" customWidth="1"/>
    <col min="8456" max="8456" width="10.125" customWidth="1"/>
    <col min="8457" max="8457" width="11" customWidth="1"/>
    <col min="8458" max="8459" width="11.125" bestFit="1" customWidth="1"/>
    <col min="8460" max="8460" width="13.125" customWidth="1"/>
    <col min="8461" max="8507" width="9" customWidth="1"/>
    <col min="8508" max="8508" width="13.625" customWidth="1"/>
    <col min="8509" max="8509" width="12.25" customWidth="1"/>
    <col min="8510" max="8675" width="9" customWidth="1"/>
    <col min="8705" max="8705" width="11.375" customWidth="1"/>
    <col min="8706" max="8706" width="12.5" customWidth="1"/>
    <col min="8707" max="8707" width="11" customWidth="1"/>
    <col min="8708" max="8708" width="14.625" customWidth="1"/>
    <col min="8709" max="8709" width="14.375" customWidth="1"/>
    <col min="8710" max="8710" width="11.125" bestFit="1" customWidth="1"/>
    <col min="8711" max="8711" width="11.875" customWidth="1"/>
    <col min="8712" max="8712" width="10.125" customWidth="1"/>
    <col min="8713" max="8713" width="11" customWidth="1"/>
    <col min="8714" max="8715" width="11.125" bestFit="1" customWidth="1"/>
    <col min="8716" max="8716" width="13.125" customWidth="1"/>
    <col min="8717" max="8763" width="9" customWidth="1"/>
    <col min="8764" max="8764" width="13.625" customWidth="1"/>
    <col min="8765" max="8765" width="12.25" customWidth="1"/>
    <col min="8766" max="8931" width="9" customWidth="1"/>
    <col min="8961" max="8961" width="11.375" customWidth="1"/>
    <col min="8962" max="8962" width="12.5" customWidth="1"/>
    <col min="8963" max="8963" width="11" customWidth="1"/>
    <col min="8964" max="8964" width="14.625" customWidth="1"/>
    <col min="8965" max="8965" width="14.375" customWidth="1"/>
    <col min="8966" max="8966" width="11.125" bestFit="1" customWidth="1"/>
    <col min="8967" max="8967" width="11.875" customWidth="1"/>
    <col min="8968" max="8968" width="10.125" customWidth="1"/>
    <col min="8969" max="8969" width="11" customWidth="1"/>
    <col min="8970" max="8971" width="11.125" bestFit="1" customWidth="1"/>
    <col min="8972" max="8972" width="13.125" customWidth="1"/>
    <col min="8973" max="9019" width="9" customWidth="1"/>
    <col min="9020" max="9020" width="13.625" customWidth="1"/>
    <col min="9021" max="9021" width="12.25" customWidth="1"/>
    <col min="9022" max="9187" width="9" customWidth="1"/>
    <col min="9217" max="9217" width="11.375" customWidth="1"/>
    <col min="9218" max="9218" width="12.5" customWidth="1"/>
    <col min="9219" max="9219" width="11" customWidth="1"/>
    <col min="9220" max="9220" width="14.625" customWidth="1"/>
    <col min="9221" max="9221" width="14.375" customWidth="1"/>
    <col min="9222" max="9222" width="11.125" bestFit="1" customWidth="1"/>
    <col min="9223" max="9223" width="11.875" customWidth="1"/>
    <col min="9224" max="9224" width="10.125" customWidth="1"/>
    <col min="9225" max="9225" width="11" customWidth="1"/>
    <col min="9226" max="9227" width="11.125" bestFit="1" customWidth="1"/>
    <col min="9228" max="9228" width="13.125" customWidth="1"/>
    <col min="9229" max="9275" width="9" customWidth="1"/>
    <col min="9276" max="9276" width="13.625" customWidth="1"/>
    <col min="9277" max="9277" width="12.25" customWidth="1"/>
    <col min="9278" max="9443" width="9" customWidth="1"/>
    <col min="9473" max="9473" width="11.375" customWidth="1"/>
    <col min="9474" max="9474" width="12.5" customWidth="1"/>
    <col min="9475" max="9475" width="11" customWidth="1"/>
    <col min="9476" max="9476" width="14.625" customWidth="1"/>
    <col min="9477" max="9477" width="14.375" customWidth="1"/>
    <col min="9478" max="9478" width="11.125" bestFit="1" customWidth="1"/>
    <col min="9479" max="9479" width="11.875" customWidth="1"/>
    <col min="9480" max="9480" width="10.125" customWidth="1"/>
    <col min="9481" max="9481" width="11" customWidth="1"/>
    <col min="9482" max="9483" width="11.125" bestFit="1" customWidth="1"/>
    <col min="9484" max="9484" width="13.125" customWidth="1"/>
    <col min="9485" max="9531" width="9" customWidth="1"/>
    <col min="9532" max="9532" width="13.625" customWidth="1"/>
    <col min="9533" max="9533" width="12.25" customWidth="1"/>
    <col min="9534" max="9699" width="9" customWidth="1"/>
    <col min="9729" max="9729" width="11.375" customWidth="1"/>
    <col min="9730" max="9730" width="12.5" customWidth="1"/>
    <col min="9731" max="9731" width="11" customWidth="1"/>
    <col min="9732" max="9732" width="14.625" customWidth="1"/>
    <col min="9733" max="9733" width="14.375" customWidth="1"/>
    <col min="9734" max="9734" width="11.125" bestFit="1" customWidth="1"/>
    <col min="9735" max="9735" width="11.875" customWidth="1"/>
    <col min="9736" max="9736" width="10.125" customWidth="1"/>
    <col min="9737" max="9737" width="11" customWidth="1"/>
    <col min="9738" max="9739" width="11.125" bestFit="1" customWidth="1"/>
    <col min="9740" max="9740" width="13.125" customWidth="1"/>
    <col min="9741" max="9787" width="9" customWidth="1"/>
    <col min="9788" max="9788" width="13.625" customWidth="1"/>
    <col min="9789" max="9789" width="12.25" customWidth="1"/>
    <col min="9790" max="9955" width="9" customWidth="1"/>
    <col min="9985" max="9985" width="11.375" customWidth="1"/>
    <col min="9986" max="9986" width="12.5" customWidth="1"/>
    <col min="9987" max="9987" width="11" customWidth="1"/>
    <col min="9988" max="9988" width="14.625" customWidth="1"/>
    <col min="9989" max="9989" width="14.375" customWidth="1"/>
    <col min="9990" max="9990" width="11.125" bestFit="1" customWidth="1"/>
    <col min="9991" max="9991" width="11.875" customWidth="1"/>
    <col min="9992" max="9992" width="10.125" customWidth="1"/>
    <col min="9993" max="9993" width="11" customWidth="1"/>
    <col min="9994" max="9995" width="11.125" bestFit="1" customWidth="1"/>
    <col min="9996" max="9996" width="13.125" customWidth="1"/>
    <col min="9997" max="10043" width="9" customWidth="1"/>
    <col min="10044" max="10044" width="13.625" customWidth="1"/>
    <col min="10045" max="10045" width="12.25" customWidth="1"/>
    <col min="10046" max="10211" width="9" customWidth="1"/>
    <col min="10241" max="10241" width="11.375" customWidth="1"/>
    <col min="10242" max="10242" width="12.5" customWidth="1"/>
    <col min="10243" max="10243" width="11" customWidth="1"/>
    <col min="10244" max="10244" width="14.625" customWidth="1"/>
    <col min="10245" max="10245" width="14.375" customWidth="1"/>
    <col min="10246" max="10246" width="11.125" bestFit="1" customWidth="1"/>
    <col min="10247" max="10247" width="11.875" customWidth="1"/>
    <col min="10248" max="10248" width="10.125" customWidth="1"/>
    <col min="10249" max="10249" width="11" customWidth="1"/>
    <col min="10250" max="10251" width="11.125" bestFit="1" customWidth="1"/>
    <col min="10252" max="10252" width="13.125" customWidth="1"/>
    <col min="10253" max="10299" width="9" customWidth="1"/>
    <col min="10300" max="10300" width="13.625" customWidth="1"/>
    <col min="10301" max="10301" width="12.25" customWidth="1"/>
    <col min="10302" max="10467" width="9" customWidth="1"/>
    <col min="10497" max="10497" width="11.375" customWidth="1"/>
    <col min="10498" max="10498" width="12.5" customWidth="1"/>
    <col min="10499" max="10499" width="11" customWidth="1"/>
    <col min="10500" max="10500" width="14.625" customWidth="1"/>
    <col min="10501" max="10501" width="14.375" customWidth="1"/>
    <col min="10502" max="10502" width="11.125" bestFit="1" customWidth="1"/>
    <col min="10503" max="10503" width="11.875" customWidth="1"/>
    <col min="10504" max="10504" width="10.125" customWidth="1"/>
    <col min="10505" max="10505" width="11" customWidth="1"/>
    <col min="10506" max="10507" width="11.125" bestFit="1" customWidth="1"/>
    <col min="10508" max="10508" width="13.125" customWidth="1"/>
    <col min="10509" max="10555" width="9" customWidth="1"/>
    <col min="10556" max="10556" width="13.625" customWidth="1"/>
    <col min="10557" max="10557" width="12.25" customWidth="1"/>
    <col min="10558" max="10723" width="9" customWidth="1"/>
    <col min="10753" max="10753" width="11.375" customWidth="1"/>
    <col min="10754" max="10754" width="12.5" customWidth="1"/>
    <col min="10755" max="10755" width="11" customWidth="1"/>
    <col min="10756" max="10756" width="14.625" customWidth="1"/>
    <col min="10757" max="10757" width="14.375" customWidth="1"/>
    <col min="10758" max="10758" width="11.125" bestFit="1" customWidth="1"/>
    <col min="10759" max="10759" width="11.875" customWidth="1"/>
    <col min="10760" max="10760" width="10.125" customWidth="1"/>
    <col min="10761" max="10761" width="11" customWidth="1"/>
    <col min="10762" max="10763" width="11.125" bestFit="1" customWidth="1"/>
    <col min="10764" max="10764" width="13.125" customWidth="1"/>
    <col min="10765" max="10811" width="9" customWidth="1"/>
    <col min="10812" max="10812" width="13.625" customWidth="1"/>
    <col min="10813" max="10813" width="12.25" customWidth="1"/>
    <col min="10814" max="10979" width="9" customWidth="1"/>
    <col min="11009" max="11009" width="11.375" customWidth="1"/>
    <col min="11010" max="11010" width="12.5" customWidth="1"/>
    <col min="11011" max="11011" width="11" customWidth="1"/>
    <col min="11012" max="11012" width="14.625" customWidth="1"/>
    <col min="11013" max="11013" width="14.375" customWidth="1"/>
    <col min="11014" max="11014" width="11.125" bestFit="1" customWidth="1"/>
    <col min="11015" max="11015" width="11.875" customWidth="1"/>
    <col min="11016" max="11016" width="10.125" customWidth="1"/>
    <col min="11017" max="11017" width="11" customWidth="1"/>
    <col min="11018" max="11019" width="11.125" bestFit="1" customWidth="1"/>
    <col min="11020" max="11020" width="13.125" customWidth="1"/>
    <col min="11021" max="11067" width="9" customWidth="1"/>
    <col min="11068" max="11068" width="13.625" customWidth="1"/>
    <col min="11069" max="11069" width="12.25" customWidth="1"/>
    <col min="11070" max="11235" width="9" customWidth="1"/>
    <col min="11265" max="11265" width="11.375" customWidth="1"/>
    <col min="11266" max="11266" width="12.5" customWidth="1"/>
    <col min="11267" max="11267" width="11" customWidth="1"/>
    <col min="11268" max="11268" width="14.625" customWidth="1"/>
    <col min="11269" max="11269" width="14.375" customWidth="1"/>
    <col min="11270" max="11270" width="11.125" bestFit="1" customWidth="1"/>
    <col min="11271" max="11271" width="11.875" customWidth="1"/>
    <col min="11272" max="11272" width="10.125" customWidth="1"/>
    <col min="11273" max="11273" width="11" customWidth="1"/>
    <col min="11274" max="11275" width="11.125" bestFit="1" customWidth="1"/>
    <col min="11276" max="11276" width="13.125" customWidth="1"/>
    <col min="11277" max="11323" width="9" customWidth="1"/>
    <col min="11324" max="11324" width="13.625" customWidth="1"/>
    <col min="11325" max="11325" width="12.25" customWidth="1"/>
    <col min="11326" max="11491" width="9" customWidth="1"/>
    <col min="11521" max="11521" width="11.375" customWidth="1"/>
    <col min="11522" max="11522" width="12.5" customWidth="1"/>
    <col min="11523" max="11523" width="11" customWidth="1"/>
    <col min="11524" max="11524" width="14.625" customWidth="1"/>
    <col min="11525" max="11525" width="14.375" customWidth="1"/>
    <col min="11526" max="11526" width="11.125" bestFit="1" customWidth="1"/>
    <col min="11527" max="11527" width="11.875" customWidth="1"/>
    <col min="11528" max="11528" width="10.125" customWidth="1"/>
    <col min="11529" max="11529" width="11" customWidth="1"/>
    <col min="11530" max="11531" width="11.125" bestFit="1" customWidth="1"/>
    <col min="11532" max="11532" width="13.125" customWidth="1"/>
    <col min="11533" max="11579" width="9" customWidth="1"/>
    <col min="11580" max="11580" width="13.625" customWidth="1"/>
    <col min="11581" max="11581" width="12.25" customWidth="1"/>
    <col min="11582" max="11747" width="9" customWidth="1"/>
    <col min="11777" max="11777" width="11.375" customWidth="1"/>
    <col min="11778" max="11778" width="12.5" customWidth="1"/>
    <col min="11779" max="11779" width="11" customWidth="1"/>
    <col min="11780" max="11780" width="14.625" customWidth="1"/>
    <col min="11781" max="11781" width="14.375" customWidth="1"/>
    <col min="11782" max="11782" width="11.125" bestFit="1" customWidth="1"/>
    <col min="11783" max="11783" width="11.875" customWidth="1"/>
    <col min="11784" max="11784" width="10.125" customWidth="1"/>
    <col min="11785" max="11785" width="11" customWidth="1"/>
    <col min="11786" max="11787" width="11.125" bestFit="1" customWidth="1"/>
    <col min="11788" max="11788" width="13.125" customWidth="1"/>
    <col min="11789" max="11835" width="9" customWidth="1"/>
    <col min="11836" max="11836" width="13.625" customWidth="1"/>
    <col min="11837" max="11837" width="12.25" customWidth="1"/>
    <col min="11838" max="12003" width="9" customWidth="1"/>
    <col min="12033" max="12033" width="11.375" customWidth="1"/>
    <col min="12034" max="12034" width="12.5" customWidth="1"/>
    <col min="12035" max="12035" width="11" customWidth="1"/>
    <col min="12036" max="12036" width="14.625" customWidth="1"/>
    <col min="12037" max="12037" width="14.375" customWidth="1"/>
    <col min="12038" max="12038" width="11.125" bestFit="1" customWidth="1"/>
    <col min="12039" max="12039" width="11.875" customWidth="1"/>
    <col min="12040" max="12040" width="10.125" customWidth="1"/>
    <col min="12041" max="12041" width="11" customWidth="1"/>
    <col min="12042" max="12043" width="11.125" bestFit="1" customWidth="1"/>
    <col min="12044" max="12044" width="13.125" customWidth="1"/>
    <col min="12045" max="12091" width="9" customWidth="1"/>
    <col min="12092" max="12092" width="13.625" customWidth="1"/>
    <col min="12093" max="12093" width="12.25" customWidth="1"/>
    <col min="12094" max="12259" width="9" customWidth="1"/>
    <col min="12289" max="12289" width="11.375" customWidth="1"/>
    <col min="12290" max="12290" width="12.5" customWidth="1"/>
    <col min="12291" max="12291" width="11" customWidth="1"/>
    <col min="12292" max="12292" width="14.625" customWidth="1"/>
    <col min="12293" max="12293" width="14.375" customWidth="1"/>
    <col min="12294" max="12294" width="11.125" bestFit="1" customWidth="1"/>
    <col min="12295" max="12295" width="11.875" customWidth="1"/>
    <col min="12296" max="12296" width="10.125" customWidth="1"/>
    <col min="12297" max="12297" width="11" customWidth="1"/>
    <col min="12298" max="12299" width="11.125" bestFit="1" customWidth="1"/>
    <col min="12300" max="12300" width="13.125" customWidth="1"/>
    <col min="12301" max="12347" width="9" customWidth="1"/>
    <col min="12348" max="12348" width="13.625" customWidth="1"/>
    <col min="12349" max="12349" width="12.25" customWidth="1"/>
    <col min="12350" max="12515" width="9" customWidth="1"/>
    <col min="12545" max="12545" width="11.375" customWidth="1"/>
    <col min="12546" max="12546" width="12.5" customWidth="1"/>
    <col min="12547" max="12547" width="11" customWidth="1"/>
    <col min="12548" max="12548" width="14.625" customWidth="1"/>
    <col min="12549" max="12549" width="14.375" customWidth="1"/>
    <col min="12550" max="12550" width="11.125" bestFit="1" customWidth="1"/>
    <col min="12551" max="12551" width="11.875" customWidth="1"/>
    <col min="12552" max="12552" width="10.125" customWidth="1"/>
    <col min="12553" max="12553" width="11" customWidth="1"/>
    <col min="12554" max="12555" width="11.125" bestFit="1" customWidth="1"/>
    <col min="12556" max="12556" width="13.125" customWidth="1"/>
    <col min="12557" max="12603" width="9" customWidth="1"/>
    <col min="12604" max="12604" width="13.625" customWidth="1"/>
    <col min="12605" max="12605" width="12.25" customWidth="1"/>
    <col min="12606" max="12771" width="9" customWidth="1"/>
    <col min="12801" max="12801" width="11.375" customWidth="1"/>
    <col min="12802" max="12802" width="12.5" customWidth="1"/>
    <col min="12803" max="12803" width="11" customWidth="1"/>
    <col min="12804" max="12804" width="14.625" customWidth="1"/>
    <col min="12805" max="12805" width="14.375" customWidth="1"/>
    <col min="12806" max="12806" width="11.125" bestFit="1" customWidth="1"/>
    <col min="12807" max="12807" width="11.875" customWidth="1"/>
    <col min="12808" max="12808" width="10.125" customWidth="1"/>
    <col min="12809" max="12809" width="11" customWidth="1"/>
    <col min="12810" max="12811" width="11.125" bestFit="1" customWidth="1"/>
    <col min="12812" max="12812" width="13.125" customWidth="1"/>
    <col min="12813" max="12859" width="9" customWidth="1"/>
    <col min="12860" max="12860" width="13.625" customWidth="1"/>
    <col min="12861" max="12861" width="12.25" customWidth="1"/>
    <col min="12862" max="13027" width="9" customWidth="1"/>
    <col min="13057" max="13057" width="11.375" customWidth="1"/>
    <col min="13058" max="13058" width="12.5" customWidth="1"/>
    <col min="13059" max="13059" width="11" customWidth="1"/>
    <col min="13060" max="13060" width="14.625" customWidth="1"/>
    <col min="13061" max="13061" width="14.375" customWidth="1"/>
    <col min="13062" max="13062" width="11.125" bestFit="1" customWidth="1"/>
    <col min="13063" max="13063" width="11.875" customWidth="1"/>
    <col min="13064" max="13064" width="10.125" customWidth="1"/>
    <col min="13065" max="13065" width="11" customWidth="1"/>
    <col min="13066" max="13067" width="11.125" bestFit="1" customWidth="1"/>
    <col min="13068" max="13068" width="13.125" customWidth="1"/>
    <col min="13069" max="13115" width="9" customWidth="1"/>
    <col min="13116" max="13116" width="13.625" customWidth="1"/>
    <col min="13117" max="13117" width="12.25" customWidth="1"/>
    <col min="13118" max="13283" width="9" customWidth="1"/>
    <col min="13313" max="13313" width="11.375" customWidth="1"/>
    <col min="13314" max="13314" width="12.5" customWidth="1"/>
    <col min="13315" max="13315" width="11" customWidth="1"/>
    <col min="13316" max="13316" width="14.625" customWidth="1"/>
    <col min="13317" max="13317" width="14.375" customWidth="1"/>
    <col min="13318" max="13318" width="11.125" bestFit="1" customWidth="1"/>
    <col min="13319" max="13319" width="11.875" customWidth="1"/>
    <col min="13320" max="13320" width="10.125" customWidth="1"/>
    <col min="13321" max="13321" width="11" customWidth="1"/>
    <col min="13322" max="13323" width="11.125" bestFit="1" customWidth="1"/>
    <col min="13324" max="13324" width="13.125" customWidth="1"/>
    <col min="13325" max="13371" width="9" customWidth="1"/>
    <col min="13372" max="13372" width="13.625" customWidth="1"/>
    <col min="13373" max="13373" width="12.25" customWidth="1"/>
    <col min="13374" max="13539" width="9" customWidth="1"/>
    <col min="13569" max="13569" width="11.375" customWidth="1"/>
    <col min="13570" max="13570" width="12.5" customWidth="1"/>
    <col min="13571" max="13571" width="11" customWidth="1"/>
    <col min="13572" max="13572" width="14.625" customWidth="1"/>
    <col min="13573" max="13573" width="14.375" customWidth="1"/>
    <col min="13574" max="13574" width="11.125" bestFit="1" customWidth="1"/>
    <col min="13575" max="13575" width="11.875" customWidth="1"/>
    <col min="13576" max="13576" width="10.125" customWidth="1"/>
    <col min="13577" max="13577" width="11" customWidth="1"/>
    <col min="13578" max="13579" width="11.125" bestFit="1" customWidth="1"/>
    <col min="13580" max="13580" width="13.125" customWidth="1"/>
    <col min="13581" max="13627" width="9" customWidth="1"/>
    <col min="13628" max="13628" width="13.625" customWidth="1"/>
    <col min="13629" max="13629" width="12.25" customWidth="1"/>
    <col min="13630" max="13795" width="9" customWidth="1"/>
    <col min="13825" max="13825" width="11.375" customWidth="1"/>
    <col min="13826" max="13826" width="12.5" customWidth="1"/>
    <col min="13827" max="13827" width="11" customWidth="1"/>
    <col min="13828" max="13828" width="14.625" customWidth="1"/>
    <col min="13829" max="13829" width="14.375" customWidth="1"/>
    <col min="13830" max="13830" width="11.125" bestFit="1" customWidth="1"/>
    <col min="13831" max="13831" width="11.875" customWidth="1"/>
    <col min="13832" max="13832" width="10.125" customWidth="1"/>
    <col min="13833" max="13833" width="11" customWidth="1"/>
    <col min="13834" max="13835" width="11.125" bestFit="1" customWidth="1"/>
    <col min="13836" max="13836" width="13.125" customWidth="1"/>
    <col min="13837" max="13883" width="9" customWidth="1"/>
    <col min="13884" max="13884" width="13.625" customWidth="1"/>
    <col min="13885" max="13885" width="12.25" customWidth="1"/>
    <col min="13886" max="14051" width="9" customWidth="1"/>
    <col min="14081" max="14081" width="11.375" customWidth="1"/>
    <col min="14082" max="14082" width="12.5" customWidth="1"/>
    <col min="14083" max="14083" width="11" customWidth="1"/>
    <col min="14084" max="14084" width="14.625" customWidth="1"/>
    <col min="14085" max="14085" width="14.375" customWidth="1"/>
    <col min="14086" max="14086" width="11.125" bestFit="1" customWidth="1"/>
    <col min="14087" max="14087" width="11.875" customWidth="1"/>
    <col min="14088" max="14088" width="10.125" customWidth="1"/>
    <col min="14089" max="14089" width="11" customWidth="1"/>
    <col min="14090" max="14091" width="11.125" bestFit="1" customWidth="1"/>
    <col min="14092" max="14092" width="13.125" customWidth="1"/>
    <col min="14093" max="14139" width="9" customWidth="1"/>
    <col min="14140" max="14140" width="13.625" customWidth="1"/>
    <col min="14141" max="14141" width="12.25" customWidth="1"/>
    <col min="14142" max="14307" width="9" customWidth="1"/>
    <col min="14337" max="14337" width="11.375" customWidth="1"/>
    <col min="14338" max="14338" width="12.5" customWidth="1"/>
    <col min="14339" max="14339" width="11" customWidth="1"/>
    <col min="14340" max="14340" width="14.625" customWidth="1"/>
    <col min="14341" max="14341" width="14.375" customWidth="1"/>
    <col min="14342" max="14342" width="11.125" bestFit="1" customWidth="1"/>
    <col min="14343" max="14343" width="11.875" customWidth="1"/>
    <col min="14344" max="14344" width="10.125" customWidth="1"/>
    <col min="14345" max="14345" width="11" customWidth="1"/>
    <col min="14346" max="14347" width="11.125" bestFit="1" customWidth="1"/>
    <col min="14348" max="14348" width="13.125" customWidth="1"/>
    <col min="14349" max="14395" width="9" customWidth="1"/>
    <col min="14396" max="14396" width="13.625" customWidth="1"/>
    <col min="14397" max="14397" width="12.25" customWidth="1"/>
    <col min="14398" max="14563" width="9" customWidth="1"/>
    <col min="14593" max="14593" width="11.375" customWidth="1"/>
    <col min="14594" max="14594" width="12.5" customWidth="1"/>
    <col min="14595" max="14595" width="11" customWidth="1"/>
    <col min="14596" max="14596" width="14.625" customWidth="1"/>
    <col min="14597" max="14597" width="14.375" customWidth="1"/>
    <col min="14598" max="14598" width="11.125" bestFit="1" customWidth="1"/>
    <col min="14599" max="14599" width="11.875" customWidth="1"/>
    <col min="14600" max="14600" width="10.125" customWidth="1"/>
    <col min="14601" max="14601" width="11" customWidth="1"/>
    <col min="14602" max="14603" width="11.125" bestFit="1" customWidth="1"/>
    <col min="14604" max="14604" width="13.125" customWidth="1"/>
    <col min="14605" max="14651" width="9" customWidth="1"/>
    <col min="14652" max="14652" width="13.625" customWidth="1"/>
    <col min="14653" max="14653" width="12.25" customWidth="1"/>
    <col min="14654" max="14819" width="9" customWidth="1"/>
    <col min="14849" max="14849" width="11.375" customWidth="1"/>
    <col min="14850" max="14850" width="12.5" customWidth="1"/>
    <col min="14851" max="14851" width="11" customWidth="1"/>
    <col min="14852" max="14852" width="14.625" customWidth="1"/>
    <col min="14853" max="14853" width="14.375" customWidth="1"/>
    <col min="14854" max="14854" width="11.125" bestFit="1" customWidth="1"/>
    <col min="14855" max="14855" width="11.875" customWidth="1"/>
    <col min="14856" max="14856" width="10.125" customWidth="1"/>
    <col min="14857" max="14857" width="11" customWidth="1"/>
    <col min="14858" max="14859" width="11.125" bestFit="1" customWidth="1"/>
    <col min="14860" max="14860" width="13.125" customWidth="1"/>
    <col min="14861" max="14907" width="9" customWidth="1"/>
    <col min="14908" max="14908" width="13.625" customWidth="1"/>
    <col min="14909" max="14909" width="12.25" customWidth="1"/>
    <col min="14910" max="15075" width="9" customWidth="1"/>
    <col min="15105" max="15105" width="11.375" customWidth="1"/>
    <col min="15106" max="15106" width="12.5" customWidth="1"/>
    <col min="15107" max="15107" width="11" customWidth="1"/>
    <col min="15108" max="15108" width="14.625" customWidth="1"/>
    <col min="15109" max="15109" width="14.375" customWidth="1"/>
    <col min="15110" max="15110" width="11.125" bestFit="1" customWidth="1"/>
    <col min="15111" max="15111" width="11.875" customWidth="1"/>
    <col min="15112" max="15112" width="10.125" customWidth="1"/>
    <col min="15113" max="15113" width="11" customWidth="1"/>
    <col min="15114" max="15115" width="11.125" bestFit="1" customWidth="1"/>
    <col min="15116" max="15116" width="13.125" customWidth="1"/>
    <col min="15117" max="15163" width="9" customWidth="1"/>
    <col min="15164" max="15164" width="13.625" customWidth="1"/>
    <col min="15165" max="15165" width="12.25" customWidth="1"/>
    <col min="15166" max="15331" width="9" customWidth="1"/>
    <col min="15361" max="15361" width="11.375" customWidth="1"/>
    <col min="15362" max="15362" width="12.5" customWidth="1"/>
    <col min="15363" max="15363" width="11" customWidth="1"/>
    <col min="15364" max="15364" width="14.625" customWidth="1"/>
    <col min="15365" max="15365" width="14.375" customWidth="1"/>
    <col min="15366" max="15366" width="11.125" bestFit="1" customWidth="1"/>
    <col min="15367" max="15367" width="11.875" customWidth="1"/>
    <col min="15368" max="15368" width="10.125" customWidth="1"/>
    <col min="15369" max="15369" width="11" customWidth="1"/>
    <col min="15370" max="15371" width="11.125" bestFit="1" customWidth="1"/>
    <col min="15372" max="15372" width="13.125" customWidth="1"/>
    <col min="15373" max="15419" width="9" customWidth="1"/>
    <col min="15420" max="15420" width="13.625" customWidth="1"/>
    <col min="15421" max="15421" width="12.25" customWidth="1"/>
    <col min="15422" max="15587" width="9" customWidth="1"/>
    <col min="15617" max="15617" width="11.375" customWidth="1"/>
    <col min="15618" max="15618" width="12.5" customWidth="1"/>
    <col min="15619" max="15619" width="11" customWidth="1"/>
    <col min="15620" max="15620" width="14.625" customWidth="1"/>
    <col min="15621" max="15621" width="14.375" customWidth="1"/>
    <col min="15622" max="15622" width="11.125" bestFit="1" customWidth="1"/>
    <col min="15623" max="15623" width="11.875" customWidth="1"/>
    <col min="15624" max="15624" width="10.125" customWidth="1"/>
    <col min="15625" max="15625" width="11" customWidth="1"/>
    <col min="15626" max="15627" width="11.125" bestFit="1" customWidth="1"/>
    <col min="15628" max="15628" width="13.125" customWidth="1"/>
    <col min="15629" max="15675" width="9" customWidth="1"/>
    <col min="15676" max="15676" width="13.625" customWidth="1"/>
    <col min="15677" max="15677" width="12.25" customWidth="1"/>
    <col min="15678" max="15843" width="9" customWidth="1"/>
    <col min="15873" max="15873" width="11.375" customWidth="1"/>
    <col min="15874" max="15874" width="12.5" customWidth="1"/>
    <col min="15875" max="15875" width="11" customWidth="1"/>
    <col min="15876" max="15876" width="14.625" customWidth="1"/>
    <col min="15877" max="15877" width="14.375" customWidth="1"/>
    <col min="15878" max="15878" width="11.125" bestFit="1" customWidth="1"/>
    <col min="15879" max="15879" width="11.875" customWidth="1"/>
    <col min="15880" max="15880" width="10.125" customWidth="1"/>
    <col min="15881" max="15881" width="11" customWidth="1"/>
    <col min="15882" max="15883" width="11.125" bestFit="1" customWidth="1"/>
    <col min="15884" max="15884" width="13.125" customWidth="1"/>
    <col min="15885" max="15931" width="9" customWidth="1"/>
    <col min="15932" max="15932" width="13.625" customWidth="1"/>
    <col min="15933" max="15933" width="12.25" customWidth="1"/>
    <col min="15934" max="16099" width="9" customWidth="1"/>
    <col min="16129" max="16129" width="11.375" customWidth="1"/>
    <col min="16130" max="16130" width="12.5" customWidth="1"/>
    <col min="16131" max="16131" width="11" customWidth="1"/>
    <col min="16132" max="16132" width="14.625" customWidth="1"/>
    <col min="16133" max="16133" width="14.375" customWidth="1"/>
    <col min="16134" max="16134" width="11.125" bestFit="1" customWidth="1"/>
    <col min="16135" max="16135" width="11.875" customWidth="1"/>
    <col min="16136" max="16136" width="10.125" customWidth="1"/>
    <col min="16137" max="16137" width="11" customWidth="1"/>
    <col min="16138" max="16139" width="11.125" bestFit="1" customWidth="1"/>
    <col min="16140" max="16140" width="13.125" customWidth="1"/>
    <col min="16141" max="16187" width="9" customWidth="1"/>
    <col min="16188" max="16188" width="13.625" customWidth="1"/>
    <col min="16189" max="16189" width="12.25" customWidth="1"/>
    <col min="16190" max="16355" width="9" customWidth="1"/>
  </cols>
  <sheetData>
    <row r="1" spans="1:64" ht="33" customHeight="1" thickBot="1">
      <c r="A1" s="3348" t="s">
        <v>3227</v>
      </c>
      <c r="B1" s="4280" t="s">
        <v>3228</v>
      </c>
      <c r="C1" s="4281"/>
      <c r="D1" s="3349" t="s">
        <v>3229</v>
      </c>
      <c r="E1" s="3350">
        <v>1.046</v>
      </c>
      <c r="F1" s="3351">
        <v>295</v>
      </c>
      <c r="G1" s="3352"/>
      <c r="H1" s="4282" t="s">
        <v>3230</v>
      </c>
      <c r="I1" s="4284" t="s">
        <v>3231</v>
      </c>
      <c r="J1" s="4284"/>
      <c r="K1" s="4284"/>
      <c r="L1" s="4285"/>
      <c r="M1" s="3353"/>
      <c r="N1" s="3353"/>
      <c r="O1" s="3353"/>
      <c r="P1" s="3353"/>
      <c r="Q1" s="3353"/>
      <c r="R1" s="3353"/>
      <c r="S1" s="3353"/>
      <c r="T1" s="3353"/>
      <c r="U1" s="3353"/>
      <c r="V1" s="3353"/>
      <c r="W1" s="3353"/>
      <c r="X1" s="3353"/>
      <c r="Y1" s="3353"/>
      <c r="Z1" s="3353"/>
      <c r="AA1" s="3353"/>
      <c r="AB1" s="3353"/>
      <c r="AC1" s="3353"/>
      <c r="AD1" s="3354"/>
      <c r="AE1" s="3354"/>
      <c r="AF1" s="3353"/>
      <c r="AG1" s="3353"/>
      <c r="AH1" s="3353"/>
      <c r="AI1" s="3353"/>
      <c r="AJ1" s="3353"/>
      <c r="AK1" s="3353"/>
      <c r="AL1" s="3353"/>
      <c r="AM1" s="3353"/>
      <c r="AN1" s="3353"/>
      <c r="AO1" s="3353"/>
      <c r="AP1" s="3353"/>
      <c r="AQ1" s="3353"/>
      <c r="AR1" s="3353"/>
      <c r="AS1" s="3353"/>
      <c r="AT1" s="3353"/>
      <c r="AU1" s="3353"/>
      <c r="AV1" s="3353"/>
      <c r="AW1" s="3353"/>
      <c r="AX1" s="3353"/>
      <c r="AY1" s="3353"/>
      <c r="AZ1" s="3353"/>
      <c r="BA1" s="3353"/>
      <c r="BB1" s="3353"/>
      <c r="BC1" s="3353"/>
      <c r="BD1" s="3353"/>
      <c r="BE1" s="3353"/>
      <c r="BF1" s="3353"/>
      <c r="BG1" s="3353"/>
      <c r="BH1" s="3353"/>
      <c r="BI1" s="3353"/>
      <c r="BJ1" s="3353"/>
      <c r="BK1" s="3353"/>
      <c r="BL1" s="3353"/>
    </row>
    <row r="2" spans="1:64" ht="15" customHeight="1" thickBot="1">
      <c r="A2" s="3355" t="s">
        <v>3232</v>
      </c>
      <c r="B2" s="4287"/>
      <c r="C2" s="4288"/>
      <c r="D2" s="4289" t="s">
        <v>3233</v>
      </c>
      <c r="E2" s="4289"/>
      <c r="F2" s="4290"/>
      <c r="G2" s="4290"/>
      <c r="H2" s="4283"/>
      <c r="I2" s="4283"/>
      <c r="J2" s="4283"/>
      <c r="K2" s="4283"/>
      <c r="L2" s="4286"/>
      <c r="M2" s="3353"/>
      <c r="N2" s="3356" t="s">
        <v>3234</v>
      </c>
      <c r="O2" s="3353"/>
      <c r="P2" s="3353"/>
      <c r="Q2" s="3353"/>
      <c r="R2" s="3353"/>
      <c r="S2" s="3353"/>
      <c r="T2" s="3353"/>
      <c r="U2" s="3353" t="s">
        <v>3235</v>
      </c>
      <c r="V2" s="3353"/>
      <c r="W2" s="3353"/>
      <c r="X2" s="3353"/>
      <c r="Y2" s="3353"/>
      <c r="Z2" s="3353"/>
      <c r="AA2" s="3353"/>
      <c r="AB2" s="3353"/>
      <c r="AC2" s="3353"/>
      <c r="AD2" s="3354"/>
      <c r="AE2" s="3354"/>
      <c r="AF2" s="3353"/>
      <c r="AG2" s="3353"/>
      <c r="AH2" s="3353"/>
      <c r="AI2" s="3353"/>
      <c r="AJ2" s="3353"/>
      <c r="AK2" s="3353"/>
      <c r="AL2" s="3353"/>
      <c r="AM2" s="3357" t="s">
        <v>3236</v>
      </c>
      <c r="AN2" s="3357" t="s">
        <v>3237</v>
      </c>
      <c r="AO2" s="3353"/>
      <c r="AP2" s="3353"/>
      <c r="AQ2" s="3353"/>
      <c r="AR2" s="3358" t="s">
        <v>3238</v>
      </c>
      <c r="AS2" s="4274" t="s">
        <v>3239</v>
      </c>
      <c r="AT2" s="4274"/>
      <c r="AU2" s="4274"/>
      <c r="AV2" s="4275" t="s">
        <v>3240</v>
      </c>
      <c r="AW2" s="4275"/>
      <c r="AX2" s="3359" t="s">
        <v>3241</v>
      </c>
      <c r="AY2" s="3353"/>
      <c r="AZ2" s="3353"/>
      <c r="BA2" s="3353"/>
      <c r="BB2" s="3353"/>
      <c r="BC2" s="3353"/>
      <c r="BD2" s="3353"/>
      <c r="BE2" s="3353"/>
      <c r="BF2" s="3359" t="s">
        <v>3242</v>
      </c>
      <c r="BG2" s="3353"/>
      <c r="BH2" s="3353"/>
      <c r="BI2" s="3353"/>
      <c r="BJ2" s="3353"/>
      <c r="BK2" s="3353"/>
      <c r="BL2" s="3353"/>
    </row>
    <row r="3" spans="1:64" ht="15" thickBot="1">
      <c r="A3" s="3360" t="s">
        <v>3243</v>
      </c>
      <c r="B3" s="3361"/>
      <c r="C3" s="3361" t="s">
        <v>3244</v>
      </c>
      <c r="D3" s="3362" t="s">
        <v>3245</v>
      </c>
      <c r="E3" s="3363" t="s">
        <v>3246</v>
      </c>
      <c r="F3" s="3362" t="s">
        <v>3247</v>
      </c>
      <c r="G3" s="3361" t="s">
        <v>3248</v>
      </c>
      <c r="H3" s="3362" t="s">
        <v>3249</v>
      </c>
      <c r="I3" s="3361" t="s">
        <v>3250</v>
      </c>
      <c r="J3" s="3364" t="s">
        <v>3251</v>
      </c>
      <c r="K3" s="3361" t="s">
        <v>3252</v>
      </c>
      <c r="L3" s="3362" t="s">
        <v>3253</v>
      </c>
      <c r="M3" s="3365" t="s">
        <v>3254</v>
      </c>
      <c r="N3" s="3366" t="s">
        <v>3255</v>
      </c>
      <c r="O3" s="3365" t="s">
        <v>3256</v>
      </c>
      <c r="P3" s="3366" t="s">
        <v>3257</v>
      </c>
      <c r="Q3" s="3365" t="s">
        <v>3258</v>
      </c>
      <c r="R3" s="3366" t="s">
        <v>3259</v>
      </c>
      <c r="S3" s="3365" t="s">
        <v>3260</v>
      </c>
      <c r="T3" s="3366" t="s">
        <v>3261</v>
      </c>
      <c r="U3" s="3365" t="s">
        <v>3262</v>
      </c>
      <c r="V3" s="3366" t="s">
        <v>3263</v>
      </c>
      <c r="W3" s="3365" t="s">
        <v>3264</v>
      </c>
      <c r="X3" s="3367" t="s">
        <v>3265</v>
      </c>
      <c r="Y3" s="3365" t="s">
        <v>3266</v>
      </c>
      <c r="Z3" s="3366" t="s">
        <v>3267</v>
      </c>
      <c r="AA3" s="3365" t="s">
        <v>3268</v>
      </c>
      <c r="AB3" s="3366" t="s">
        <v>3269</v>
      </c>
      <c r="AC3" s="3365" t="s">
        <v>3270</v>
      </c>
      <c r="AD3" s="3368" t="s">
        <v>3271</v>
      </c>
      <c r="AE3" s="3368" t="s">
        <v>3272</v>
      </c>
      <c r="AF3" s="3365" t="s">
        <v>3273</v>
      </c>
      <c r="AG3" s="3366" t="s">
        <v>3274</v>
      </c>
      <c r="AH3" s="3365" t="s">
        <v>3275</v>
      </c>
      <c r="AI3" s="3365" t="s">
        <v>3276</v>
      </c>
      <c r="AJ3" s="3366" t="s">
        <v>3277</v>
      </c>
      <c r="AK3" s="3365" t="s">
        <v>3278</v>
      </c>
      <c r="AL3" s="3366" t="s">
        <v>3279</v>
      </c>
      <c r="AM3" s="3365" t="s">
        <v>3280</v>
      </c>
      <c r="AN3" s="3369" t="s">
        <v>3281</v>
      </c>
      <c r="AO3" s="3365" t="s">
        <v>3282</v>
      </c>
      <c r="AP3" s="3366" t="s">
        <v>3283</v>
      </c>
      <c r="AQ3" s="3365" t="s">
        <v>3284</v>
      </c>
      <c r="AR3" s="3366" t="s">
        <v>3285</v>
      </c>
      <c r="AS3" s="3365" t="s">
        <v>3286</v>
      </c>
      <c r="AT3" s="3366" t="s">
        <v>3287</v>
      </c>
      <c r="AU3" s="3365" t="s">
        <v>3288</v>
      </c>
      <c r="AV3" s="3366" t="s">
        <v>3289</v>
      </c>
      <c r="AW3" s="3365" t="s">
        <v>3290</v>
      </c>
      <c r="AX3" s="3370" t="s">
        <v>3291</v>
      </c>
      <c r="AY3" s="3371" t="s">
        <v>3292</v>
      </c>
      <c r="AZ3" s="3371" t="s">
        <v>3293</v>
      </c>
      <c r="BA3" s="3371" t="s">
        <v>3294</v>
      </c>
      <c r="BB3" s="3371" t="s">
        <v>3295</v>
      </c>
      <c r="BC3" s="3372" t="s">
        <v>3296</v>
      </c>
      <c r="BD3" s="3371" t="s">
        <v>3297</v>
      </c>
      <c r="BE3" s="3371" t="s">
        <v>3298</v>
      </c>
      <c r="BF3" s="3373" t="s">
        <v>3299</v>
      </c>
      <c r="BG3" s="3371" t="s">
        <v>3300</v>
      </c>
      <c r="BH3" s="3371" t="s">
        <v>3301</v>
      </c>
      <c r="BI3" s="3371" t="s">
        <v>3302</v>
      </c>
      <c r="BJ3" s="3353"/>
      <c r="BK3" s="3353"/>
      <c r="BL3" s="3353"/>
    </row>
    <row r="4" spans="1:64" outlineLevel="1">
      <c r="A4" s="3374" t="s">
        <v>3303</v>
      </c>
      <c r="B4" s="3375"/>
      <c r="C4" s="3376">
        <f>ROUND(C8/C5,2)</f>
        <v>37.299999999999997</v>
      </c>
      <c r="D4" s="3376">
        <f>ROUND(D8/D5,2)</f>
        <v>9.2799999999999994</v>
      </c>
      <c r="E4" s="3376">
        <f>ROUND(E8/E5,2)</f>
        <v>215.11</v>
      </c>
      <c r="F4" s="3376">
        <v>5.2</v>
      </c>
      <c r="G4" s="3376">
        <f t="shared" ref="G4:P4" si="0">ROUND(G8/G5,2)</f>
        <v>13.05</v>
      </c>
      <c r="H4" s="3376">
        <f t="shared" si="0"/>
        <v>9.48</v>
      </c>
      <c r="I4" s="3376">
        <f t="shared" si="0"/>
        <v>24.49</v>
      </c>
      <c r="J4" s="3376">
        <f t="shared" si="0"/>
        <v>4.6100000000000003</v>
      </c>
      <c r="K4" s="3376">
        <f t="shared" si="0"/>
        <v>8.3000000000000007</v>
      </c>
      <c r="L4" s="3376">
        <f t="shared" si="0"/>
        <v>5.51</v>
      </c>
      <c r="M4" s="3376">
        <f t="shared" si="0"/>
        <v>4.92</v>
      </c>
      <c r="N4" s="3376">
        <f t="shared" si="0"/>
        <v>15.76</v>
      </c>
      <c r="O4" s="3376">
        <f t="shared" si="0"/>
        <v>13.28</v>
      </c>
      <c r="P4" s="3376">
        <f t="shared" si="0"/>
        <v>11.23</v>
      </c>
      <c r="Q4" s="3376">
        <v>12.6</v>
      </c>
      <c r="R4" s="3376">
        <f t="shared" ref="R4:W4" si="1">ROUND(R8/R5,2)</f>
        <v>49.71</v>
      </c>
      <c r="S4" s="3376">
        <f t="shared" si="1"/>
        <v>4.79</v>
      </c>
      <c r="T4" s="3376">
        <f t="shared" si="1"/>
        <v>7.63</v>
      </c>
      <c r="U4" s="3376">
        <f t="shared" si="1"/>
        <v>11.94</v>
      </c>
      <c r="V4" s="3376">
        <f t="shared" si="1"/>
        <v>13.95</v>
      </c>
      <c r="W4" s="3376">
        <f t="shared" si="1"/>
        <v>20.54</v>
      </c>
      <c r="X4" s="3376">
        <v>15</v>
      </c>
      <c r="Y4" s="3376">
        <f t="shared" ref="Y4:AW4" si="2">ROUND(Y8/Y5,2)</f>
        <v>35.75</v>
      </c>
      <c r="Z4" s="3376">
        <f t="shared" si="2"/>
        <v>13.07</v>
      </c>
      <c r="AA4" s="3376">
        <f t="shared" si="2"/>
        <v>0.44</v>
      </c>
      <c r="AB4" s="3376">
        <f t="shared" si="2"/>
        <v>9.42</v>
      </c>
      <c r="AC4" s="3376">
        <f t="shared" si="2"/>
        <v>7.11</v>
      </c>
      <c r="AD4" s="3377">
        <f t="shared" si="2"/>
        <v>17.170000000000002</v>
      </c>
      <c r="AE4" s="3377">
        <f t="shared" si="2"/>
        <v>17.170000000000002</v>
      </c>
      <c r="AF4" s="3376">
        <f t="shared" si="2"/>
        <v>11.36</v>
      </c>
      <c r="AG4" s="3376">
        <f t="shared" si="2"/>
        <v>14.21</v>
      </c>
      <c r="AH4" s="3376">
        <f t="shared" si="2"/>
        <v>29.77</v>
      </c>
      <c r="AI4" s="3376">
        <f t="shared" si="2"/>
        <v>62.96</v>
      </c>
      <c r="AJ4" s="3376">
        <f t="shared" si="2"/>
        <v>18.89</v>
      </c>
      <c r="AK4" s="3376">
        <f t="shared" si="2"/>
        <v>1.98</v>
      </c>
      <c r="AL4" s="3376">
        <f t="shared" si="2"/>
        <v>26.86</v>
      </c>
      <c r="AM4" s="3376">
        <f t="shared" si="2"/>
        <v>25.4</v>
      </c>
      <c r="AN4" s="3376">
        <f t="shared" si="2"/>
        <v>1.91</v>
      </c>
      <c r="AO4" s="3376">
        <f t="shared" si="2"/>
        <v>15.82</v>
      </c>
      <c r="AP4" s="3376">
        <f t="shared" si="2"/>
        <v>7.87</v>
      </c>
      <c r="AQ4" s="3376">
        <f t="shared" si="2"/>
        <v>15.47</v>
      </c>
      <c r="AR4" s="3376">
        <f t="shared" si="2"/>
        <v>27.53</v>
      </c>
      <c r="AS4" s="3376">
        <f t="shared" si="2"/>
        <v>3.63</v>
      </c>
      <c r="AT4" s="3376">
        <f t="shared" si="2"/>
        <v>10.07</v>
      </c>
      <c r="AU4" s="3376">
        <f t="shared" si="2"/>
        <v>4.12</v>
      </c>
      <c r="AV4" s="3376">
        <f t="shared" si="2"/>
        <v>11.04</v>
      </c>
      <c r="AW4" s="3376">
        <f t="shared" si="2"/>
        <v>6.87</v>
      </c>
      <c r="AX4" s="3376">
        <f>ROUND(AX8/AX5,3)</f>
        <v>26.23</v>
      </c>
      <c r="AY4" s="3376">
        <f t="shared" ref="AY4:BG4" si="3">ROUND(AY8/AY5,2)</f>
        <v>19.87</v>
      </c>
      <c r="AZ4" s="3376">
        <f t="shared" si="3"/>
        <v>25.7</v>
      </c>
      <c r="BA4" s="3376">
        <f t="shared" si="3"/>
        <v>28.39</v>
      </c>
      <c r="BB4" s="3376">
        <f t="shared" si="3"/>
        <v>2.76</v>
      </c>
      <c r="BC4" s="3376">
        <f t="shared" si="3"/>
        <v>8.1999999999999993</v>
      </c>
      <c r="BD4" s="3376">
        <f t="shared" si="3"/>
        <v>35.26</v>
      </c>
      <c r="BE4" s="3376">
        <f t="shared" si="3"/>
        <v>18.91</v>
      </c>
      <c r="BF4" s="3376">
        <f t="shared" si="3"/>
        <v>2.92</v>
      </c>
      <c r="BG4" s="3376">
        <f t="shared" si="3"/>
        <v>33.46</v>
      </c>
      <c r="BH4" s="3376">
        <v>10</v>
      </c>
      <c r="BI4" s="3376">
        <v>10</v>
      </c>
      <c r="BJ4" s="3376"/>
      <c r="BK4" s="3376"/>
      <c r="BL4" s="3376"/>
    </row>
    <row r="5" spans="1:64" ht="14.25" outlineLevel="1">
      <c r="A5" s="3374" t="s">
        <v>3304</v>
      </c>
      <c r="B5" s="3375"/>
      <c r="C5" s="3376">
        <v>9</v>
      </c>
      <c r="D5" s="3376">
        <v>7.8</v>
      </c>
      <c r="E5" s="3378">
        <v>12.5</v>
      </c>
      <c r="F5" s="3378">
        <f>ROUND(F8/F4,2)</f>
        <v>7.51</v>
      </c>
      <c r="G5" s="3378">
        <v>5.7</v>
      </c>
      <c r="H5" s="3352">
        <v>4.5999999999999996</v>
      </c>
      <c r="I5" s="3352">
        <v>5.5</v>
      </c>
      <c r="J5" s="3352">
        <v>5.5</v>
      </c>
      <c r="K5" s="3352">
        <v>5.5</v>
      </c>
      <c r="L5" s="3376">
        <v>5.5</v>
      </c>
      <c r="M5" s="3379">
        <v>5.5</v>
      </c>
      <c r="N5" s="3379">
        <v>6.1</v>
      </c>
      <c r="O5" s="3353">
        <v>4.7</v>
      </c>
      <c r="P5" s="3353">
        <v>4</v>
      </c>
      <c r="Q5" s="3353">
        <f>ROUND(Q8/Q4,2)</f>
        <v>4.25</v>
      </c>
      <c r="R5" s="3353">
        <v>4</v>
      </c>
      <c r="S5" s="3353">
        <f>Q5</f>
        <v>4.25</v>
      </c>
      <c r="T5" s="3353">
        <v>4</v>
      </c>
      <c r="U5" s="3353">
        <v>12.8</v>
      </c>
      <c r="V5" s="3353">
        <v>4.8</v>
      </c>
      <c r="W5" s="3353">
        <v>5.8</v>
      </c>
      <c r="X5" s="3353">
        <f>ROUND(X8/X4,2)</f>
        <v>5.2</v>
      </c>
      <c r="Y5" s="3353">
        <v>15</v>
      </c>
      <c r="Z5" s="3353">
        <v>5.8</v>
      </c>
      <c r="AA5" s="3353">
        <v>5.8</v>
      </c>
      <c r="AB5" s="3353">
        <v>7.3</v>
      </c>
      <c r="AC5" s="3353">
        <v>5.5</v>
      </c>
      <c r="AD5" s="3354">
        <v>7.7</v>
      </c>
      <c r="AE5" s="3354">
        <v>7.7</v>
      </c>
      <c r="AF5" s="3353">
        <v>2.9</v>
      </c>
      <c r="AG5" s="3353">
        <v>4.3</v>
      </c>
      <c r="AH5" s="3353">
        <v>5</v>
      </c>
      <c r="AI5" s="3353">
        <v>12</v>
      </c>
      <c r="AJ5" s="3353">
        <v>7.5</v>
      </c>
      <c r="AK5" s="3353">
        <v>7.5</v>
      </c>
      <c r="AL5" s="3353">
        <v>7.1</v>
      </c>
      <c r="AM5" s="3353">
        <v>9.8000000000000007</v>
      </c>
      <c r="AN5" s="3353">
        <v>4</v>
      </c>
      <c r="AO5" s="3353">
        <v>6.6</v>
      </c>
      <c r="AP5" s="3353">
        <v>2.9</v>
      </c>
      <c r="AQ5" s="3353">
        <v>5.3</v>
      </c>
      <c r="AR5" s="3353">
        <v>14</v>
      </c>
      <c r="AS5" s="3353">
        <v>4.5</v>
      </c>
      <c r="AT5" s="3353">
        <v>5.8</v>
      </c>
      <c r="AU5" s="3353">
        <v>3.5</v>
      </c>
      <c r="AV5" s="3353">
        <v>4</v>
      </c>
      <c r="AW5" s="3353">
        <v>4</v>
      </c>
      <c r="AX5" s="3353">
        <v>1</v>
      </c>
      <c r="AY5" s="3353">
        <v>10.5</v>
      </c>
      <c r="AZ5" s="3353">
        <v>4.0999999999999996</v>
      </c>
      <c r="BA5" s="3353">
        <v>4.2</v>
      </c>
      <c r="BB5" s="3353">
        <v>2.7</v>
      </c>
      <c r="BC5" s="3353">
        <v>2</v>
      </c>
      <c r="BD5" s="3353">
        <v>3.9</v>
      </c>
      <c r="BE5" s="3353">
        <v>5</v>
      </c>
      <c r="BF5" s="3353">
        <v>4.4000000000000004</v>
      </c>
      <c r="BG5" s="3353">
        <v>3</v>
      </c>
      <c r="BH5" s="3353">
        <v>4.5</v>
      </c>
      <c r="BI5" s="3353">
        <v>4.5</v>
      </c>
      <c r="BJ5" s="3353"/>
      <c r="BK5" s="3353"/>
      <c r="BL5" s="3353"/>
    </row>
    <row r="6" spans="1:64" ht="14.25" outlineLevel="1">
      <c r="A6" s="3380" t="s">
        <v>3305</v>
      </c>
      <c r="B6" s="3375"/>
      <c r="C6" s="3381"/>
      <c r="D6" s="3381"/>
      <c r="E6" s="3382"/>
      <c r="F6" s="3383">
        <f>F5/2+F4</f>
        <v>8.9550000000000001</v>
      </c>
      <c r="G6" s="3382">
        <f>G4+G5+G5</f>
        <v>24.45</v>
      </c>
      <c r="H6" s="3384">
        <f>H5</f>
        <v>4.5999999999999996</v>
      </c>
      <c r="I6" s="3385">
        <f>I4</f>
        <v>24.49</v>
      </c>
      <c r="J6" s="3385">
        <f>I5+J4+J5</f>
        <v>15.61</v>
      </c>
      <c r="K6" s="3385">
        <f>K4</f>
        <v>8.3000000000000007</v>
      </c>
      <c r="L6" s="3381">
        <f>L4+L5</f>
        <v>11.01</v>
      </c>
      <c r="M6" s="3385">
        <f>M4+M5</f>
        <v>10.42</v>
      </c>
      <c r="N6" s="3385"/>
      <c r="O6" s="3385">
        <f>O4</f>
        <v>13.28</v>
      </c>
      <c r="P6" s="3385">
        <f>P4</f>
        <v>11.23</v>
      </c>
      <c r="Q6" s="3385">
        <f>Q4</f>
        <v>12.6</v>
      </c>
      <c r="R6" s="3385"/>
      <c r="S6" s="3385">
        <f>S5</f>
        <v>4.25</v>
      </c>
      <c r="T6" s="3385">
        <f>T4</f>
        <v>7.63</v>
      </c>
      <c r="U6" s="3385"/>
      <c r="V6" s="3385"/>
      <c r="W6" s="3385"/>
      <c r="X6" s="3385">
        <f>X4</f>
        <v>15</v>
      </c>
      <c r="Y6" s="3385"/>
      <c r="Z6" s="3385"/>
      <c r="AA6" s="3385">
        <f>AA5+AA5</f>
        <v>11.6</v>
      </c>
      <c r="AB6" s="3385">
        <f>AB5</f>
        <v>7.3</v>
      </c>
      <c r="AC6" s="3385"/>
      <c r="AD6" s="3386"/>
      <c r="AE6" s="3386"/>
      <c r="AF6" s="3385">
        <f>AF4</f>
        <v>11.36</v>
      </c>
      <c r="AG6" s="3385"/>
      <c r="AH6" s="3385">
        <f>AH4</f>
        <v>29.77</v>
      </c>
      <c r="AI6" s="3353"/>
      <c r="AJ6" s="3353"/>
      <c r="AK6" s="3353">
        <f>ROUND(AK5+AL5/6,2)</f>
        <v>8.68</v>
      </c>
      <c r="AL6" s="3353">
        <f>AL5</f>
        <v>7.1</v>
      </c>
      <c r="AM6" s="3353"/>
      <c r="AN6" s="3353">
        <f>AN5</f>
        <v>4</v>
      </c>
      <c r="AO6" s="3387">
        <f>ROUND(AM4/3+AM5/3,2)</f>
        <v>11.73</v>
      </c>
      <c r="AP6" s="3353"/>
      <c r="AQ6" s="3353"/>
      <c r="AR6" s="3353"/>
      <c r="AS6" s="3353"/>
      <c r="AT6" s="3353"/>
      <c r="AU6" s="3353"/>
      <c r="AV6" s="3353"/>
      <c r="AW6" s="3353">
        <f>AW5</f>
        <v>4</v>
      </c>
      <c r="AX6" s="3353"/>
      <c r="AY6" s="3353">
        <f>AY4</f>
        <v>19.87</v>
      </c>
      <c r="AZ6" s="3353">
        <f>AZ4</f>
        <v>25.7</v>
      </c>
      <c r="BA6" s="3353"/>
      <c r="BB6" s="3353"/>
      <c r="BC6" s="3353"/>
      <c r="BD6" s="3353">
        <f>BD4*2</f>
        <v>70.52</v>
      </c>
      <c r="BE6" s="3353">
        <f>BE4+BE5</f>
        <v>23.91</v>
      </c>
      <c r="BF6" s="3353"/>
      <c r="BG6" s="3353"/>
      <c r="BH6" s="3353">
        <v>14.5</v>
      </c>
      <c r="BI6" s="3353">
        <v>14.5</v>
      </c>
      <c r="BJ6" s="3353"/>
      <c r="BK6" s="3353"/>
      <c r="BL6" s="3353"/>
    </row>
    <row r="7" spans="1:64" ht="14.25">
      <c r="A7" s="3388" t="s">
        <v>3306</v>
      </c>
      <c r="B7" s="3375"/>
      <c r="C7" s="3376"/>
      <c r="D7" s="3376"/>
      <c r="E7" s="3378"/>
      <c r="F7" s="3378"/>
      <c r="G7" s="3378"/>
      <c r="H7" s="3352"/>
      <c r="I7" s="3352"/>
      <c r="J7" s="3352"/>
      <c r="K7" s="3352"/>
      <c r="L7" s="3376"/>
      <c r="M7" s="3353"/>
      <c r="N7" s="3353"/>
      <c r="O7" s="3353"/>
      <c r="P7" s="3353"/>
      <c r="Q7" s="3353"/>
      <c r="R7" s="3353"/>
      <c r="S7" s="3353"/>
      <c r="T7" s="3353"/>
      <c r="U7" s="3353"/>
      <c r="V7" s="3353"/>
      <c r="W7" s="3353"/>
      <c r="X7" s="3353"/>
      <c r="Y7" s="3353"/>
      <c r="Z7" s="3353"/>
      <c r="AA7" s="3353"/>
      <c r="AB7" s="3353"/>
      <c r="AC7" s="3353"/>
      <c r="AD7" s="3354"/>
      <c r="AE7" s="3354"/>
      <c r="AF7" s="3353"/>
      <c r="AG7" s="3353"/>
      <c r="AH7" s="3353"/>
      <c r="AI7" s="3353"/>
      <c r="AJ7" s="3353"/>
      <c r="AK7" s="3353"/>
      <c r="AL7" s="3353"/>
      <c r="AM7" s="3353"/>
      <c r="AN7" s="3353"/>
      <c r="AO7" s="3353"/>
      <c r="AP7" s="3353"/>
      <c r="AQ7" s="3353"/>
      <c r="AR7" s="3353"/>
      <c r="AS7" s="3353"/>
      <c r="AT7" s="3353"/>
      <c r="AU7" s="3353"/>
      <c r="AV7" s="3353"/>
      <c r="AW7" s="3353"/>
      <c r="AX7" s="3353"/>
      <c r="AY7" s="3353"/>
      <c r="AZ7" s="3353"/>
      <c r="BA7" s="3353"/>
      <c r="BB7" s="3353"/>
      <c r="BC7" s="3353"/>
      <c r="BD7" s="3353"/>
      <c r="BE7" s="3353"/>
      <c r="BF7" s="3353"/>
      <c r="BG7" s="3353"/>
      <c r="BH7" s="3353"/>
      <c r="BI7" s="3353"/>
      <c r="BJ7" s="3353"/>
      <c r="BK7" s="3353"/>
      <c r="BL7" s="3353"/>
    </row>
    <row r="8" spans="1:64" ht="14.25">
      <c r="A8" s="3388" t="s">
        <v>2915</v>
      </c>
      <c r="B8" s="3389">
        <f>SUM(C8:BG8)</f>
        <v>8613.8000000000029</v>
      </c>
      <c r="C8" s="3390">
        <v>335.66</v>
      </c>
      <c r="D8" s="3390">
        <v>72.36</v>
      </c>
      <c r="E8" s="3391">
        <v>2688.82</v>
      </c>
      <c r="F8" s="3391">
        <v>39.07</v>
      </c>
      <c r="G8" s="3391">
        <v>74.41</v>
      </c>
      <c r="H8" s="3390">
        <v>43.63</v>
      </c>
      <c r="I8" s="3390">
        <v>134.66999999999999</v>
      </c>
      <c r="J8" s="3390">
        <v>25.34</v>
      </c>
      <c r="K8" s="3390">
        <v>45.63</v>
      </c>
      <c r="L8" s="3390">
        <v>30.3</v>
      </c>
      <c r="M8" s="3390">
        <v>27.07</v>
      </c>
      <c r="N8" s="3390">
        <v>96.12</v>
      </c>
      <c r="O8" s="3390">
        <v>62.41</v>
      </c>
      <c r="P8" s="3390">
        <v>44.91</v>
      </c>
      <c r="Q8" s="3390">
        <v>53.52</v>
      </c>
      <c r="R8" s="3390">
        <v>198.85</v>
      </c>
      <c r="S8" s="3390">
        <v>20.350000000000001</v>
      </c>
      <c r="T8" s="3390">
        <v>30.53</v>
      </c>
      <c r="U8" s="3390">
        <v>152.88</v>
      </c>
      <c r="V8" s="3390">
        <v>66.97</v>
      </c>
      <c r="W8" s="3390">
        <v>119.15</v>
      </c>
      <c r="X8" s="3390">
        <v>78.010000000000005</v>
      </c>
      <c r="Y8" s="3390">
        <v>536.21</v>
      </c>
      <c r="Z8" s="3390">
        <v>75.8</v>
      </c>
      <c r="AA8" s="3390">
        <v>2.5299999999999998</v>
      </c>
      <c r="AB8" s="3390">
        <v>68.77</v>
      </c>
      <c r="AC8" s="3390">
        <v>39.090000000000003</v>
      </c>
      <c r="AD8" s="3392">
        <v>132.22</v>
      </c>
      <c r="AE8" s="3392">
        <v>132.22</v>
      </c>
      <c r="AF8" s="3390">
        <v>32.94</v>
      </c>
      <c r="AG8" s="3390">
        <v>61.1</v>
      </c>
      <c r="AH8" s="3390">
        <v>148.86000000000001</v>
      </c>
      <c r="AI8" s="3390">
        <v>755.52</v>
      </c>
      <c r="AJ8" s="3390">
        <v>141.71</v>
      </c>
      <c r="AK8" s="3390">
        <v>14.84</v>
      </c>
      <c r="AL8" s="3390">
        <v>190.68</v>
      </c>
      <c r="AM8" s="3390">
        <v>248.95</v>
      </c>
      <c r="AN8" s="3390">
        <v>7.64</v>
      </c>
      <c r="AO8" s="3390">
        <v>104.43</v>
      </c>
      <c r="AP8" s="3390">
        <v>22.81</v>
      </c>
      <c r="AQ8" s="3390">
        <v>81.99</v>
      </c>
      <c r="AR8" s="3390">
        <v>385.42</v>
      </c>
      <c r="AS8" s="3390">
        <v>16.32</v>
      </c>
      <c r="AT8" s="3390">
        <v>58.39</v>
      </c>
      <c r="AU8" s="3390">
        <v>14.42</v>
      </c>
      <c r="AV8" s="3390">
        <v>44.17</v>
      </c>
      <c r="AW8" s="3390">
        <v>27.48</v>
      </c>
      <c r="AX8" s="3390">
        <v>26.23</v>
      </c>
      <c r="AY8" s="3390">
        <v>208.67</v>
      </c>
      <c r="AZ8" s="3390">
        <v>105.35</v>
      </c>
      <c r="BA8" s="3390">
        <v>119.22</v>
      </c>
      <c r="BB8" s="3390">
        <v>7.45</v>
      </c>
      <c r="BC8" s="3390">
        <v>16.39</v>
      </c>
      <c r="BD8" s="3390">
        <v>137.52000000000001</v>
      </c>
      <c r="BE8" s="3390">
        <v>94.57</v>
      </c>
      <c r="BF8" s="3390">
        <v>12.85</v>
      </c>
      <c r="BG8" s="3390">
        <v>100.38</v>
      </c>
      <c r="BH8" s="3353">
        <f>ROUND(BH4*BH5,2)</f>
        <v>45</v>
      </c>
      <c r="BI8" s="3353">
        <f>ROUND(BI4*BI5,2)</f>
        <v>45</v>
      </c>
      <c r="BJ8" s="3353"/>
      <c r="BK8" s="3353"/>
      <c r="BL8" s="3353"/>
    </row>
    <row r="9" spans="1:64" ht="12" customHeight="1">
      <c r="A9" s="3388" t="s">
        <v>3307</v>
      </c>
      <c r="B9" s="3393">
        <f>SUM(C9:BG9)</f>
        <v>2496.7949999999996</v>
      </c>
      <c r="C9" s="3390">
        <f>(C4+C5)*2-C6</f>
        <v>92.6</v>
      </c>
      <c r="D9" s="3390">
        <f>(D4+D5)*2-D6</f>
        <v>34.159999999999997</v>
      </c>
      <c r="E9" s="3390">
        <f>(E4+E5)*2-E6</f>
        <v>455.22</v>
      </c>
      <c r="F9" s="3390">
        <f>(F4+F5)*2-F6</f>
        <v>16.465000000000003</v>
      </c>
      <c r="G9" s="3390">
        <f t="shared" ref="G9:BI9" si="4">(G4+G5)*2-G6</f>
        <v>13.05</v>
      </c>
      <c r="H9" s="3390">
        <f t="shared" si="4"/>
        <v>23.560000000000002</v>
      </c>
      <c r="I9" s="3390">
        <f t="shared" si="4"/>
        <v>35.489999999999995</v>
      </c>
      <c r="J9" s="3390">
        <f t="shared" si="4"/>
        <v>4.6099999999999994</v>
      </c>
      <c r="K9" s="3390">
        <f t="shared" si="4"/>
        <v>19.3</v>
      </c>
      <c r="L9" s="3390">
        <f t="shared" si="4"/>
        <v>11.01</v>
      </c>
      <c r="M9" s="3390">
        <f t="shared" si="4"/>
        <v>10.42</v>
      </c>
      <c r="N9" s="3390">
        <f t="shared" si="4"/>
        <v>43.72</v>
      </c>
      <c r="O9" s="3390">
        <f t="shared" si="4"/>
        <v>22.68</v>
      </c>
      <c r="P9" s="3390">
        <f t="shared" si="4"/>
        <v>19.23</v>
      </c>
      <c r="Q9" s="3390">
        <f t="shared" si="4"/>
        <v>21.1</v>
      </c>
      <c r="R9" s="3390">
        <f t="shared" si="4"/>
        <v>107.42</v>
      </c>
      <c r="S9" s="3390">
        <f t="shared" si="4"/>
        <v>13.829999999999998</v>
      </c>
      <c r="T9" s="3390">
        <f t="shared" si="4"/>
        <v>15.629999999999999</v>
      </c>
      <c r="U9" s="3390">
        <f t="shared" si="4"/>
        <v>49.480000000000004</v>
      </c>
      <c r="V9" s="3390">
        <f t="shared" si="4"/>
        <v>37.5</v>
      </c>
      <c r="W9" s="3390">
        <f t="shared" si="4"/>
        <v>52.68</v>
      </c>
      <c r="X9" s="3390">
        <f t="shared" si="4"/>
        <v>25.4</v>
      </c>
      <c r="Y9" s="3390">
        <f t="shared" si="4"/>
        <v>101.5</v>
      </c>
      <c r="Z9" s="3390">
        <f t="shared" si="4"/>
        <v>37.74</v>
      </c>
      <c r="AA9" s="3390">
        <f t="shared" si="4"/>
        <v>0.88000000000000078</v>
      </c>
      <c r="AB9" s="3390">
        <f t="shared" si="4"/>
        <v>26.139999999999997</v>
      </c>
      <c r="AC9" s="3390">
        <f t="shared" si="4"/>
        <v>25.22</v>
      </c>
      <c r="AD9" s="3392">
        <f t="shared" si="4"/>
        <v>49.74</v>
      </c>
      <c r="AE9" s="3392">
        <f t="shared" si="4"/>
        <v>49.74</v>
      </c>
      <c r="AF9" s="3390">
        <f t="shared" si="4"/>
        <v>17.16</v>
      </c>
      <c r="AG9" s="3390">
        <f t="shared" si="4"/>
        <v>37.020000000000003</v>
      </c>
      <c r="AH9" s="3390">
        <f t="shared" si="4"/>
        <v>39.769999999999996</v>
      </c>
      <c r="AI9" s="3390">
        <f t="shared" si="4"/>
        <v>149.92000000000002</v>
      </c>
      <c r="AJ9" s="3390">
        <f t="shared" si="4"/>
        <v>52.78</v>
      </c>
      <c r="AK9" s="3390">
        <f t="shared" si="4"/>
        <v>10.280000000000001</v>
      </c>
      <c r="AL9" s="3390">
        <f t="shared" si="4"/>
        <v>60.82</v>
      </c>
      <c r="AM9" s="3390">
        <f t="shared" si="4"/>
        <v>70.400000000000006</v>
      </c>
      <c r="AN9" s="3390">
        <f t="shared" si="4"/>
        <v>7.82</v>
      </c>
      <c r="AO9" s="3390">
        <f t="shared" si="4"/>
        <v>33.11</v>
      </c>
      <c r="AP9" s="3390">
        <f t="shared" si="4"/>
        <v>21.54</v>
      </c>
      <c r="AQ9" s="3390">
        <f t="shared" si="4"/>
        <v>41.54</v>
      </c>
      <c r="AR9" s="3390">
        <f t="shared" si="4"/>
        <v>83.06</v>
      </c>
      <c r="AS9" s="3390">
        <f t="shared" si="4"/>
        <v>16.259999999999998</v>
      </c>
      <c r="AT9" s="3390">
        <f t="shared" si="4"/>
        <v>31.740000000000002</v>
      </c>
      <c r="AU9" s="3390">
        <f t="shared" si="4"/>
        <v>15.24</v>
      </c>
      <c r="AV9" s="3390">
        <f t="shared" si="4"/>
        <v>30.08</v>
      </c>
      <c r="AW9" s="3390">
        <f t="shared" si="4"/>
        <v>17.740000000000002</v>
      </c>
      <c r="AX9" s="3390">
        <f t="shared" si="4"/>
        <v>54.46</v>
      </c>
      <c r="AY9" s="3390">
        <f t="shared" si="4"/>
        <v>40.870000000000005</v>
      </c>
      <c r="AZ9" s="3390">
        <f t="shared" si="4"/>
        <v>33.899999999999991</v>
      </c>
      <c r="BA9" s="3390">
        <f t="shared" si="4"/>
        <v>65.180000000000007</v>
      </c>
      <c r="BB9" s="3390">
        <f t="shared" si="4"/>
        <v>10.92</v>
      </c>
      <c r="BC9" s="3390">
        <f t="shared" si="4"/>
        <v>20.399999999999999</v>
      </c>
      <c r="BD9" s="3390">
        <f t="shared" si="4"/>
        <v>7.7999999999999972</v>
      </c>
      <c r="BE9" s="3390">
        <f t="shared" si="4"/>
        <v>23.91</v>
      </c>
      <c r="BF9" s="3390">
        <f t="shared" si="4"/>
        <v>14.64</v>
      </c>
      <c r="BG9" s="3390">
        <f t="shared" si="4"/>
        <v>72.92</v>
      </c>
      <c r="BH9" s="3390">
        <f t="shared" si="4"/>
        <v>14.5</v>
      </c>
      <c r="BI9" s="3390">
        <f t="shared" si="4"/>
        <v>14.5</v>
      </c>
      <c r="BJ9" s="3353"/>
      <c r="BK9" s="3353"/>
      <c r="BL9" s="3353"/>
    </row>
    <row r="10" spans="1:64" ht="12" customHeight="1">
      <c r="A10" s="3388" t="s">
        <v>3308</v>
      </c>
      <c r="B10" s="3393"/>
      <c r="C10" s="3390">
        <f>C8/20</f>
        <v>16.783000000000001</v>
      </c>
      <c r="D10" s="3390">
        <f>D8/20</f>
        <v>3.6179999999999999</v>
      </c>
      <c r="E10" s="3390">
        <f>E8/20</f>
        <v>134.441</v>
      </c>
      <c r="F10" s="3390">
        <f>F8/20</f>
        <v>1.9535</v>
      </c>
      <c r="G10" s="3390">
        <f>G8/20</f>
        <v>3.7204999999999999</v>
      </c>
      <c r="H10" s="3390">
        <f t="shared" ref="H10:BI10" si="5">H8/20</f>
        <v>2.1815000000000002</v>
      </c>
      <c r="I10" s="3390">
        <f t="shared" si="5"/>
        <v>6.7334999999999994</v>
      </c>
      <c r="J10" s="3390">
        <f t="shared" si="5"/>
        <v>1.2669999999999999</v>
      </c>
      <c r="K10" s="3390">
        <f t="shared" si="5"/>
        <v>2.2815000000000003</v>
      </c>
      <c r="L10" s="3390">
        <f t="shared" si="5"/>
        <v>1.5150000000000001</v>
      </c>
      <c r="M10" s="3390">
        <f t="shared" si="5"/>
        <v>1.3534999999999999</v>
      </c>
      <c r="N10" s="3390">
        <f t="shared" si="5"/>
        <v>4.806</v>
      </c>
      <c r="O10" s="3390">
        <f t="shared" si="5"/>
        <v>3.1204999999999998</v>
      </c>
      <c r="P10" s="3390">
        <f t="shared" si="5"/>
        <v>2.2454999999999998</v>
      </c>
      <c r="Q10" s="3390">
        <f t="shared" si="5"/>
        <v>2.6760000000000002</v>
      </c>
      <c r="R10" s="3390">
        <f t="shared" si="5"/>
        <v>9.942499999999999</v>
      </c>
      <c r="S10" s="3390">
        <f t="shared" si="5"/>
        <v>1.0175000000000001</v>
      </c>
      <c r="T10" s="3390">
        <f t="shared" si="5"/>
        <v>1.5265</v>
      </c>
      <c r="U10" s="3390">
        <f t="shared" si="5"/>
        <v>7.6440000000000001</v>
      </c>
      <c r="V10" s="3390">
        <f t="shared" si="5"/>
        <v>3.3485</v>
      </c>
      <c r="W10" s="3390">
        <f t="shared" si="5"/>
        <v>5.9575000000000005</v>
      </c>
      <c r="X10" s="3390">
        <f t="shared" si="5"/>
        <v>3.9005000000000001</v>
      </c>
      <c r="Y10" s="3390">
        <f t="shared" si="5"/>
        <v>26.810500000000001</v>
      </c>
      <c r="Z10" s="3390">
        <f t="shared" si="5"/>
        <v>3.79</v>
      </c>
      <c r="AA10" s="3390">
        <f t="shared" si="5"/>
        <v>0.1265</v>
      </c>
      <c r="AB10" s="3390">
        <f>AB8/20</f>
        <v>3.4384999999999999</v>
      </c>
      <c r="AC10" s="3390">
        <f t="shared" si="5"/>
        <v>1.9545000000000001</v>
      </c>
      <c r="AD10" s="3392">
        <f t="shared" si="5"/>
        <v>6.6109999999999998</v>
      </c>
      <c r="AE10" s="3392">
        <f t="shared" si="5"/>
        <v>6.6109999999999998</v>
      </c>
      <c r="AF10" s="3390">
        <f t="shared" si="5"/>
        <v>1.6469999999999998</v>
      </c>
      <c r="AG10" s="3390">
        <f t="shared" si="5"/>
        <v>3.0550000000000002</v>
      </c>
      <c r="AH10" s="3390">
        <f t="shared" si="5"/>
        <v>7.4430000000000005</v>
      </c>
      <c r="AI10" s="3390">
        <f t="shared" si="5"/>
        <v>37.775999999999996</v>
      </c>
      <c r="AJ10" s="3390">
        <f t="shared" si="5"/>
        <v>7.0855000000000006</v>
      </c>
      <c r="AK10" s="3390">
        <f t="shared" si="5"/>
        <v>0.74199999999999999</v>
      </c>
      <c r="AL10" s="3390">
        <f t="shared" si="5"/>
        <v>9.5340000000000007</v>
      </c>
      <c r="AM10" s="3390">
        <f t="shared" si="5"/>
        <v>12.4475</v>
      </c>
      <c r="AN10" s="3390">
        <f t="shared" si="5"/>
        <v>0.38200000000000001</v>
      </c>
      <c r="AO10" s="3390">
        <f t="shared" si="5"/>
        <v>5.2215000000000007</v>
      </c>
      <c r="AP10" s="3390">
        <f t="shared" si="5"/>
        <v>1.1404999999999998</v>
      </c>
      <c r="AQ10" s="3390">
        <f>AQ8/20</f>
        <v>4.0994999999999999</v>
      </c>
      <c r="AR10" s="3390">
        <f t="shared" si="5"/>
        <v>19.271000000000001</v>
      </c>
      <c r="AS10" s="3390">
        <f t="shared" si="5"/>
        <v>0.81600000000000006</v>
      </c>
      <c r="AT10" s="3390">
        <f t="shared" si="5"/>
        <v>2.9195000000000002</v>
      </c>
      <c r="AU10" s="3390">
        <f t="shared" si="5"/>
        <v>0.72099999999999997</v>
      </c>
      <c r="AV10" s="3390">
        <f t="shared" si="5"/>
        <v>2.2084999999999999</v>
      </c>
      <c r="AW10" s="3390">
        <f t="shared" si="5"/>
        <v>1.3740000000000001</v>
      </c>
      <c r="AX10" s="3390">
        <f t="shared" si="5"/>
        <v>1.3115000000000001</v>
      </c>
      <c r="AY10" s="3390">
        <f t="shared" si="5"/>
        <v>10.433499999999999</v>
      </c>
      <c r="AZ10" s="3390">
        <f t="shared" si="5"/>
        <v>5.2675000000000001</v>
      </c>
      <c r="BA10" s="3390">
        <f t="shared" si="5"/>
        <v>5.9610000000000003</v>
      </c>
      <c r="BB10" s="3390">
        <f t="shared" si="5"/>
        <v>0.3725</v>
      </c>
      <c r="BC10" s="3390">
        <f t="shared" si="5"/>
        <v>0.81950000000000001</v>
      </c>
      <c r="BD10" s="3390">
        <f t="shared" si="5"/>
        <v>6.8760000000000003</v>
      </c>
      <c r="BE10" s="3390">
        <f t="shared" si="5"/>
        <v>4.7284999999999995</v>
      </c>
      <c r="BF10" s="3390">
        <f t="shared" si="5"/>
        <v>0.64249999999999996</v>
      </c>
      <c r="BG10" s="3390">
        <f t="shared" si="5"/>
        <v>5.0190000000000001</v>
      </c>
      <c r="BH10" s="3390">
        <f t="shared" si="5"/>
        <v>2.25</v>
      </c>
      <c r="BI10" s="3390">
        <f t="shared" si="5"/>
        <v>2.25</v>
      </c>
      <c r="BJ10" s="3353"/>
      <c r="BK10" s="3353"/>
      <c r="BL10" s="3353"/>
    </row>
    <row r="11" spans="1:64" ht="12" customHeight="1">
      <c r="A11" s="3394" t="s">
        <v>3309</v>
      </c>
      <c r="B11" s="3395" t="s">
        <v>3310</v>
      </c>
      <c r="C11" s="3396">
        <f>1*IF(C5&gt;0,C5)</f>
        <v>9</v>
      </c>
      <c r="D11" s="3396">
        <f>1*IF(D5&gt;0,D5)</f>
        <v>7.8</v>
      </c>
      <c r="E11" s="3396">
        <f>1*IF(E5&gt;0,E5)</f>
        <v>12.5</v>
      </c>
      <c r="F11" s="3396">
        <f>1*IF(F5&gt;0,F5)</f>
        <v>7.51</v>
      </c>
      <c r="G11" s="3396">
        <f t="shared" ref="G11:Q11" si="6">1*IF(G5&gt;0,G5)</f>
        <v>5.7</v>
      </c>
      <c r="H11" s="3396">
        <f t="shared" si="6"/>
        <v>4.5999999999999996</v>
      </c>
      <c r="I11" s="3396">
        <f t="shared" si="6"/>
        <v>5.5</v>
      </c>
      <c r="J11" s="3396">
        <f t="shared" si="6"/>
        <v>5.5</v>
      </c>
      <c r="K11" s="3396">
        <f t="shared" si="6"/>
        <v>5.5</v>
      </c>
      <c r="L11" s="3396">
        <f t="shared" si="6"/>
        <v>5.5</v>
      </c>
      <c r="M11" s="3396">
        <f t="shared" si="6"/>
        <v>5.5</v>
      </c>
      <c r="N11" s="3396">
        <f t="shared" si="6"/>
        <v>6.1</v>
      </c>
      <c r="O11" s="3396">
        <f t="shared" si="6"/>
        <v>4.7</v>
      </c>
      <c r="P11" s="3396">
        <f t="shared" si="6"/>
        <v>4</v>
      </c>
      <c r="Q11" s="3396">
        <f t="shared" si="6"/>
        <v>4.25</v>
      </c>
      <c r="R11" s="3396">
        <f>1*IF(R5&gt;0,R5)</f>
        <v>4</v>
      </c>
      <c r="S11" s="3396">
        <f>1*IF(S5&gt;0,S5)</f>
        <v>4.25</v>
      </c>
      <c r="T11" s="3396">
        <f>1*IF(T5&gt;0,T5)</f>
        <v>4</v>
      </c>
      <c r="U11" s="3396">
        <f>1*IF(U5&gt;0,U5)</f>
        <v>12.8</v>
      </c>
      <c r="V11" s="3396">
        <f t="shared" ref="V11:AE11" si="7">1*IF(V5&gt;0,V5)</f>
        <v>4.8</v>
      </c>
      <c r="W11" s="3396">
        <f t="shared" si="7"/>
        <v>5.8</v>
      </c>
      <c r="X11" s="3396">
        <f t="shared" si="7"/>
        <v>5.2</v>
      </c>
      <c r="Y11" s="3396">
        <f t="shared" si="7"/>
        <v>15</v>
      </c>
      <c r="Z11" s="3396">
        <f t="shared" si="7"/>
        <v>5.8</v>
      </c>
      <c r="AA11" s="3396">
        <f t="shared" si="7"/>
        <v>5.8</v>
      </c>
      <c r="AB11" s="3396">
        <f t="shared" si="7"/>
        <v>7.3</v>
      </c>
      <c r="AC11" s="3396">
        <f t="shared" si="7"/>
        <v>5.5</v>
      </c>
      <c r="AD11" s="3397">
        <f t="shared" si="7"/>
        <v>7.7</v>
      </c>
      <c r="AE11" s="3397">
        <f t="shared" si="7"/>
        <v>7.7</v>
      </c>
      <c r="AF11" s="3396">
        <f>1*IF(AF5&gt;0,AF5)</f>
        <v>2.9</v>
      </c>
      <c r="AG11" s="3396">
        <f>1*IF(AG5&gt;0,AG5)</f>
        <v>4.3</v>
      </c>
      <c r="AH11" s="3396">
        <f>1*IF(AH5&gt;0,AH5)</f>
        <v>5</v>
      </c>
      <c r="AI11" s="3396">
        <f>1*IF(AI5&gt;0,AI5)</f>
        <v>12</v>
      </c>
      <c r="AJ11" s="3396">
        <f t="shared" ref="AJ11:BI11" si="8">1*IF(AJ5&gt;0,AJ5)</f>
        <v>7.5</v>
      </c>
      <c r="AK11" s="3396">
        <f t="shared" si="8"/>
        <v>7.5</v>
      </c>
      <c r="AL11" s="3396">
        <f t="shared" si="8"/>
        <v>7.1</v>
      </c>
      <c r="AM11" s="3396">
        <f t="shared" si="8"/>
        <v>9.8000000000000007</v>
      </c>
      <c r="AN11" s="3396">
        <f t="shared" si="8"/>
        <v>4</v>
      </c>
      <c r="AO11" s="3396">
        <f t="shared" si="8"/>
        <v>6.6</v>
      </c>
      <c r="AP11" s="3396">
        <f t="shared" si="8"/>
        <v>2.9</v>
      </c>
      <c r="AQ11" s="3396">
        <f t="shared" si="8"/>
        <v>5.3</v>
      </c>
      <c r="AR11" s="3396">
        <f t="shared" si="8"/>
        <v>14</v>
      </c>
      <c r="AS11" s="3396">
        <f t="shared" si="8"/>
        <v>4.5</v>
      </c>
      <c r="AT11" s="3396">
        <f t="shared" si="8"/>
        <v>5.8</v>
      </c>
      <c r="AU11" s="3396">
        <f t="shared" si="8"/>
        <v>3.5</v>
      </c>
      <c r="AV11" s="3396">
        <f t="shared" si="8"/>
        <v>4</v>
      </c>
      <c r="AW11" s="3396">
        <f t="shared" si="8"/>
        <v>4</v>
      </c>
      <c r="AX11" s="3396">
        <f t="shared" si="8"/>
        <v>1</v>
      </c>
      <c r="AY11" s="3396">
        <f t="shared" si="8"/>
        <v>10.5</v>
      </c>
      <c r="AZ11" s="3396">
        <f t="shared" si="8"/>
        <v>4.0999999999999996</v>
      </c>
      <c r="BA11" s="3396">
        <f t="shared" si="8"/>
        <v>4.2</v>
      </c>
      <c r="BB11" s="3396">
        <f t="shared" si="8"/>
        <v>2.7</v>
      </c>
      <c r="BC11" s="3396">
        <f t="shared" si="8"/>
        <v>2</v>
      </c>
      <c r="BD11" s="3396">
        <f t="shared" si="8"/>
        <v>3.9</v>
      </c>
      <c r="BE11" s="3396">
        <f t="shared" si="8"/>
        <v>5</v>
      </c>
      <c r="BF11" s="3396">
        <f t="shared" si="8"/>
        <v>4.4000000000000004</v>
      </c>
      <c r="BG11" s="3396">
        <f t="shared" si="8"/>
        <v>3</v>
      </c>
      <c r="BH11" s="3396">
        <f t="shared" si="8"/>
        <v>4.5</v>
      </c>
      <c r="BI11" s="3396">
        <f t="shared" si="8"/>
        <v>4.5</v>
      </c>
      <c r="BJ11" s="3353"/>
      <c r="BK11" s="3353"/>
      <c r="BL11" s="3353"/>
    </row>
    <row r="12" spans="1:64" ht="12" customHeight="1">
      <c r="A12" s="3398" t="s">
        <v>3311</v>
      </c>
      <c r="B12" s="3399"/>
      <c r="C12" s="3400" t="s">
        <v>3312</v>
      </c>
      <c r="D12" s="3400" t="s">
        <v>3312</v>
      </c>
      <c r="E12" s="3400" t="s">
        <v>3312</v>
      </c>
      <c r="F12" s="3400" t="s">
        <v>3312</v>
      </c>
      <c r="G12" s="3400" t="s">
        <v>3312</v>
      </c>
      <c r="H12" s="3400" t="s">
        <v>3312</v>
      </c>
      <c r="I12" s="3400" t="s">
        <v>3312</v>
      </c>
      <c r="J12" s="3400" t="s">
        <v>3312</v>
      </c>
      <c r="K12" s="3400" t="s">
        <v>3312</v>
      </c>
      <c r="L12" s="3400" t="s">
        <v>3312</v>
      </c>
      <c r="M12" s="3400" t="s">
        <v>3312</v>
      </c>
      <c r="N12" s="3400" t="s">
        <v>3312</v>
      </c>
      <c r="O12" s="3400" t="s">
        <v>3312</v>
      </c>
      <c r="P12" s="3400" t="s">
        <v>3312</v>
      </c>
      <c r="Q12" s="3400" t="s">
        <v>3312</v>
      </c>
      <c r="R12" s="3400" t="s">
        <v>3312</v>
      </c>
      <c r="S12" s="3400" t="s">
        <v>3312</v>
      </c>
      <c r="T12" s="3400" t="s">
        <v>3312</v>
      </c>
      <c r="U12" s="3400" t="s">
        <v>3312</v>
      </c>
      <c r="V12" s="3400" t="s">
        <v>3312</v>
      </c>
      <c r="W12" s="3400" t="s">
        <v>3312</v>
      </c>
      <c r="X12" s="3400" t="s">
        <v>3312</v>
      </c>
      <c r="Y12" s="3400" t="s">
        <v>3312</v>
      </c>
      <c r="Z12" s="3400" t="s">
        <v>3312</v>
      </c>
      <c r="AA12" s="3400" t="s">
        <v>3312</v>
      </c>
      <c r="AB12" s="3400" t="s">
        <v>3312</v>
      </c>
      <c r="AC12" s="3400" t="s">
        <v>3312</v>
      </c>
      <c r="AD12" s="3401" t="s">
        <v>3312</v>
      </c>
      <c r="AE12" s="3401" t="s">
        <v>3312</v>
      </c>
      <c r="AF12" s="3400" t="s">
        <v>3312</v>
      </c>
      <c r="AG12" s="3400" t="s">
        <v>3312</v>
      </c>
      <c r="AH12" s="3400" t="s">
        <v>3312</v>
      </c>
      <c r="AI12" s="3400" t="s">
        <v>3312</v>
      </c>
      <c r="AJ12" s="3400" t="s">
        <v>3312</v>
      </c>
      <c r="AK12" s="3400" t="s">
        <v>3312</v>
      </c>
      <c r="AL12" s="3400" t="s">
        <v>3312</v>
      </c>
      <c r="AM12" s="3400" t="s">
        <v>3312</v>
      </c>
      <c r="AN12" s="3400" t="s">
        <v>3312</v>
      </c>
      <c r="AO12" s="3400" t="s">
        <v>3312</v>
      </c>
      <c r="AP12" s="3400" t="s">
        <v>3312</v>
      </c>
      <c r="AQ12" s="3400" t="s">
        <v>3312</v>
      </c>
      <c r="AR12" s="3400" t="s">
        <v>3312</v>
      </c>
      <c r="AS12" s="3400" t="s">
        <v>3312</v>
      </c>
      <c r="AT12" s="3400" t="s">
        <v>3312</v>
      </c>
      <c r="AU12" s="3400" t="s">
        <v>3312</v>
      </c>
      <c r="AV12" s="3400" t="s">
        <v>3312</v>
      </c>
      <c r="AW12" s="3400" t="s">
        <v>3312</v>
      </c>
      <c r="AX12" s="3400" t="s">
        <v>3312</v>
      </c>
      <c r="AY12" s="3400" t="s">
        <v>3312</v>
      </c>
      <c r="AZ12" s="3400" t="s">
        <v>3312</v>
      </c>
      <c r="BA12" s="3400" t="s">
        <v>3312</v>
      </c>
      <c r="BB12" s="3400" t="s">
        <v>3312</v>
      </c>
      <c r="BC12" s="3400" t="s">
        <v>3312</v>
      </c>
      <c r="BD12" s="3400" t="s">
        <v>3312</v>
      </c>
      <c r="BE12" s="3400" t="s">
        <v>3312</v>
      </c>
      <c r="BF12" s="3400" t="s">
        <v>3312</v>
      </c>
      <c r="BG12" s="3400" t="s">
        <v>3312</v>
      </c>
      <c r="BH12" s="3400" t="s">
        <v>3312</v>
      </c>
      <c r="BI12" s="3400" t="s">
        <v>3312</v>
      </c>
      <c r="BJ12" s="3353"/>
      <c r="BK12" s="3353"/>
      <c r="BL12" s="3353"/>
    </row>
    <row r="13" spans="1:64" ht="12" customHeight="1">
      <c r="A13" s="3402" t="s">
        <v>3313</v>
      </c>
      <c r="B13" s="3403" t="s">
        <v>3314</v>
      </c>
      <c r="C13" s="3404">
        <v>5.0199999999999996</v>
      </c>
      <c r="D13" s="3404">
        <v>7.39</v>
      </c>
      <c r="E13" s="3405">
        <v>36.46</v>
      </c>
      <c r="F13" s="3406">
        <f>[1]分值!D16</f>
        <v>28.83</v>
      </c>
      <c r="G13" s="3406">
        <f>F13</f>
        <v>28.83</v>
      </c>
      <c r="H13" s="3404">
        <f>[1]分值!D26</f>
        <v>5.0199999999999996</v>
      </c>
      <c r="I13" s="3376">
        <v>5.0199999999999996</v>
      </c>
      <c r="J13" s="3376">
        <v>5.0199999999999996</v>
      </c>
      <c r="K13" s="3376">
        <v>5.0199999999999996</v>
      </c>
      <c r="L13" s="3376">
        <v>5.0199999999999996</v>
      </c>
      <c r="M13" s="3376">
        <v>5.0199999999999996</v>
      </c>
      <c r="N13" s="3407">
        <f>[1]分值!D16</f>
        <v>28.83</v>
      </c>
      <c r="O13" s="3377">
        <f>N13</f>
        <v>28.83</v>
      </c>
      <c r="P13" s="3376">
        <f>O13</f>
        <v>28.83</v>
      </c>
      <c r="Q13" s="3376">
        <v>7.39</v>
      </c>
      <c r="R13" s="3376">
        <v>7.39</v>
      </c>
      <c r="S13" s="3376">
        <v>5.0199999999999996</v>
      </c>
      <c r="T13" s="3376">
        <v>7.39</v>
      </c>
      <c r="U13" s="3377">
        <v>7.39</v>
      </c>
      <c r="V13" s="3376">
        <v>7.39</v>
      </c>
      <c r="W13" s="3376">
        <v>7.39</v>
      </c>
      <c r="X13" s="3376">
        <v>5.0199999999999996</v>
      </c>
      <c r="Y13" s="3376">
        <v>36.46</v>
      </c>
      <c r="Z13" s="3376">
        <v>5.0199999999999996</v>
      </c>
      <c r="AA13" s="3376">
        <v>7.39</v>
      </c>
      <c r="AB13" s="3376">
        <v>7.39</v>
      </c>
      <c r="AC13" s="3376">
        <v>5.0199999999999996</v>
      </c>
      <c r="AD13" s="3377">
        <v>36.46</v>
      </c>
      <c r="AE13" s="3377">
        <f>AD13</f>
        <v>36.46</v>
      </c>
      <c r="AF13" s="3376">
        <v>5.0199999999999996</v>
      </c>
      <c r="AG13" s="3376">
        <v>7.39</v>
      </c>
      <c r="AH13" s="3376">
        <v>5.0199999999999996</v>
      </c>
      <c r="AI13" s="3407">
        <v>11.9</v>
      </c>
      <c r="AJ13" s="3376">
        <v>7.39</v>
      </c>
      <c r="AK13" s="3376">
        <v>7.39</v>
      </c>
      <c r="AL13" s="3376">
        <v>7.39</v>
      </c>
      <c r="AM13" s="3376">
        <v>7.39</v>
      </c>
      <c r="AN13" s="3408">
        <v>7.39</v>
      </c>
      <c r="AO13" s="3376">
        <v>5.0199999999999996</v>
      </c>
      <c r="AP13" s="3407">
        <v>5.0199999999999996</v>
      </c>
      <c r="AQ13" s="3407">
        <v>5.0199999999999996</v>
      </c>
      <c r="AR13" s="3376">
        <f>25.57/2+7.39/2</f>
        <v>16.48</v>
      </c>
      <c r="AS13" s="3376">
        <v>5.0199999999999996</v>
      </c>
      <c r="AT13" s="3376">
        <v>5.0199999999999996</v>
      </c>
      <c r="AU13" s="3409">
        <v>5.0199999999999996</v>
      </c>
      <c r="AV13" s="3353">
        <v>7.39</v>
      </c>
      <c r="AW13" s="3353">
        <v>7.39</v>
      </c>
      <c r="AX13" s="3353"/>
      <c r="AY13" s="3409">
        <v>5.0199999999999996</v>
      </c>
      <c r="AZ13" s="3353">
        <v>5.0199999999999996</v>
      </c>
      <c r="BA13" s="3353">
        <v>5.0199999999999996</v>
      </c>
      <c r="BB13" s="3353">
        <v>5.0199999999999996</v>
      </c>
      <c r="BC13" s="3353">
        <v>5.0199999999999996</v>
      </c>
      <c r="BD13" s="3353">
        <v>5.0199999999999996</v>
      </c>
      <c r="BE13" s="3353">
        <v>5.0199999999999996</v>
      </c>
      <c r="BF13" s="3353"/>
      <c r="BG13" s="3353">
        <v>5.0199999999999996</v>
      </c>
      <c r="BH13" s="3353">
        <v>7.39</v>
      </c>
      <c r="BI13" s="3353">
        <v>7.39</v>
      </c>
      <c r="BJ13" s="3353"/>
      <c r="BK13" s="3353"/>
      <c r="BL13" s="3353"/>
    </row>
    <row r="14" spans="1:64" ht="12" customHeight="1">
      <c r="A14" s="3402" t="s">
        <v>3315</v>
      </c>
      <c r="B14" s="3403"/>
      <c r="C14" s="3404">
        <v>17.97</v>
      </c>
      <c r="D14" s="3404">
        <v>17.79</v>
      </c>
      <c r="E14" s="3404">
        <v>23.73</v>
      </c>
      <c r="F14" s="3404">
        <f>[1]分值!J14</f>
        <v>6.29</v>
      </c>
      <c r="G14" s="3404">
        <f>F14</f>
        <v>6.29</v>
      </c>
      <c r="H14" s="3404">
        <f>F14</f>
        <v>6.29</v>
      </c>
      <c r="I14" s="3376">
        <v>6.29</v>
      </c>
      <c r="J14" s="3376">
        <v>6.29</v>
      </c>
      <c r="K14" s="3376">
        <v>6.29</v>
      </c>
      <c r="L14" s="3376">
        <v>6.29</v>
      </c>
      <c r="M14" s="3376">
        <v>6.29</v>
      </c>
      <c r="N14" s="3376">
        <v>6.56</v>
      </c>
      <c r="O14" s="3376">
        <v>6.29</v>
      </c>
      <c r="P14" s="3376">
        <v>6.29</v>
      </c>
      <c r="Q14" s="3376">
        <v>6.29</v>
      </c>
      <c r="R14" s="3376">
        <v>6.29</v>
      </c>
      <c r="S14" s="3376">
        <v>6.29</v>
      </c>
      <c r="T14" s="3376">
        <v>6.56</v>
      </c>
      <c r="U14" s="3376">
        <v>6.29</v>
      </c>
      <c r="V14" s="3376">
        <v>6.29</v>
      </c>
      <c r="W14" s="3376">
        <v>6.29</v>
      </c>
      <c r="X14" s="3376">
        <v>6.29</v>
      </c>
      <c r="Y14" s="3376">
        <v>15.79</v>
      </c>
      <c r="Z14" s="3376">
        <v>6.29</v>
      </c>
      <c r="AA14" s="3376">
        <v>6.29</v>
      </c>
      <c r="AB14" s="3376">
        <v>6.29</v>
      </c>
      <c r="AC14" s="3376">
        <v>6.29</v>
      </c>
      <c r="AD14" s="3377">
        <v>6.56</v>
      </c>
      <c r="AE14" s="3377">
        <v>6.56</v>
      </c>
      <c r="AF14" s="3376">
        <v>6.29</v>
      </c>
      <c r="AG14" s="3376">
        <v>6.56</v>
      </c>
      <c r="AH14" s="3376">
        <v>6.29</v>
      </c>
      <c r="AI14" s="3377">
        <v>23.73</v>
      </c>
      <c r="AJ14" s="3376">
        <v>6.29</v>
      </c>
      <c r="AK14" s="3376">
        <v>6.29</v>
      </c>
      <c r="AL14" s="3376">
        <v>6.29</v>
      </c>
      <c r="AM14" s="3376">
        <v>6.29</v>
      </c>
      <c r="AN14" s="3410">
        <v>6.29</v>
      </c>
      <c r="AO14" s="3376">
        <v>6.29</v>
      </c>
      <c r="AP14" s="3376">
        <v>3.08</v>
      </c>
      <c r="AQ14" s="3376">
        <v>6.29</v>
      </c>
      <c r="AR14" s="3376">
        <v>15.79</v>
      </c>
      <c r="AS14" s="3376">
        <v>6.29</v>
      </c>
      <c r="AT14" s="3376">
        <v>6.29</v>
      </c>
      <c r="AU14" s="3376">
        <v>5.42</v>
      </c>
      <c r="AV14" s="3407">
        <v>6.29</v>
      </c>
      <c r="AW14" s="3407">
        <v>6.29</v>
      </c>
      <c r="AX14" s="3353"/>
      <c r="AY14" s="3407">
        <f>23.73/2</f>
        <v>11.865</v>
      </c>
      <c r="AZ14" s="3376">
        <v>12.88</v>
      </c>
      <c r="BA14" s="3376">
        <v>12.88</v>
      </c>
      <c r="BB14" s="3376">
        <v>6.56</v>
      </c>
      <c r="BC14" s="3376">
        <v>6.56</v>
      </c>
      <c r="BD14" s="3376">
        <v>6.56</v>
      </c>
      <c r="BE14" s="3376">
        <v>6.56</v>
      </c>
      <c r="BF14" s="3353"/>
      <c r="BG14" s="3353">
        <v>6.56</v>
      </c>
      <c r="BH14" s="3376">
        <v>6.29</v>
      </c>
      <c r="BI14" s="3376">
        <v>6.29</v>
      </c>
      <c r="BJ14" s="3353"/>
      <c r="BK14" s="3353"/>
      <c r="BL14" s="3353"/>
    </row>
    <row r="15" spans="1:64" ht="12" customHeight="1">
      <c r="A15" s="3388" t="s">
        <v>3316</v>
      </c>
      <c r="B15" s="3403"/>
      <c r="C15" s="3404">
        <v>5.28</v>
      </c>
      <c r="D15" s="3404">
        <v>5.28</v>
      </c>
      <c r="E15" s="3404">
        <v>5.28</v>
      </c>
      <c r="F15" s="3411">
        <f>C15</f>
        <v>5.28</v>
      </c>
      <c r="G15" s="3404">
        <f t="shared" ref="G15:M15" si="9">C15</f>
        <v>5.28</v>
      </c>
      <c r="H15" s="3404">
        <f t="shared" si="9"/>
        <v>5.28</v>
      </c>
      <c r="I15" s="3404">
        <f t="shared" si="9"/>
        <v>5.28</v>
      </c>
      <c r="J15" s="3404">
        <f t="shared" si="9"/>
        <v>5.28</v>
      </c>
      <c r="K15" s="3404">
        <f t="shared" si="9"/>
        <v>5.28</v>
      </c>
      <c r="L15" s="3404">
        <f t="shared" si="9"/>
        <v>5.28</v>
      </c>
      <c r="M15" s="3404">
        <f t="shared" si="9"/>
        <v>5.28</v>
      </c>
      <c r="N15" s="3376">
        <v>11.04</v>
      </c>
      <c r="O15" s="3376">
        <v>11.04</v>
      </c>
      <c r="P15" s="3377">
        <f>5.28/2+11.04/2</f>
        <v>8.16</v>
      </c>
      <c r="Q15" s="3376">
        <v>11.04</v>
      </c>
      <c r="R15" s="3376">
        <f>11.04/2+5.28/2</f>
        <v>8.16</v>
      </c>
      <c r="S15" s="3376">
        <v>5.28</v>
      </c>
      <c r="T15" s="3376">
        <v>5.28</v>
      </c>
      <c r="U15" s="3376">
        <v>11.04</v>
      </c>
      <c r="V15" s="3376">
        <f>5.28/2+11.04/2</f>
        <v>8.16</v>
      </c>
      <c r="W15" s="3376">
        <v>5.28</v>
      </c>
      <c r="X15" s="3376">
        <v>5.28</v>
      </c>
      <c r="Y15" s="3376">
        <v>5.28</v>
      </c>
      <c r="Z15" s="3376">
        <v>11.04</v>
      </c>
      <c r="AA15" s="3376">
        <v>11.04</v>
      </c>
      <c r="AB15" s="3376">
        <v>11.04</v>
      </c>
      <c r="AC15" s="3376">
        <v>5.28</v>
      </c>
      <c r="AD15" s="3377">
        <v>11.04</v>
      </c>
      <c r="AE15" s="3377">
        <v>11.04</v>
      </c>
      <c r="AF15" s="3376">
        <v>11.04</v>
      </c>
      <c r="AG15" s="3376">
        <v>5.28</v>
      </c>
      <c r="AH15" s="3376">
        <v>5.28</v>
      </c>
      <c r="AI15" s="3376">
        <v>5.28</v>
      </c>
      <c r="AJ15" s="3376">
        <v>11.04</v>
      </c>
      <c r="AK15" s="3376">
        <v>11.04</v>
      </c>
      <c r="AL15" s="3376">
        <v>11.04</v>
      </c>
      <c r="AM15" s="3376">
        <v>11.04</v>
      </c>
      <c r="AN15" s="3376">
        <v>11.04</v>
      </c>
      <c r="AO15" s="3376">
        <v>11.04</v>
      </c>
      <c r="AP15" s="3376">
        <v>5.28</v>
      </c>
      <c r="AQ15" s="3376">
        <v>5.28</v>
      </c>
      <c r="AR15" s="3376">
        <v>5.28</v>
      </c>
      <c r="AS15" s="3376">
        <v>11.04</v>
      </c>
      <c r="AT15" s="3376">
        <v>11.04</v>
      </c>
      <c r="AU15" s="3376">
        <v>11.04</v>
      </c>
      <c r="AV15" s="3376">
        <v>5.28</v>
      </c>
      <c r="AW15" s="3376">
        <v>5.28</v>
      </c>
      <c r="AX15" s="3353"/>
      <c r="AY15" s="3387">
        <f>5.28*2/3+11.04/3</f>
        <v>7.1999999999999993</v>
      </c>
      <c r="AZ15" s="3353">
        <v>5.28</v>
      </c>
      <c r="BA15" s="3353">
        <v>5.28</v>
      </c>
      <c r="BB15" s="3353">
        <v>5.28</v>
      </c>
      <c r="BC15" s="3353">
        <v>5.28</v>
      </c>
      <c r="BD15" s="3353">
        <v>5.28</v>
      </c>
      <c r="BE15" s="3353">
        <v>5.28</v>
      </c>
      <c r="BF15" s="3353"/>
      <c r="BG15" s="3353">
        <v>5.28</v>
      </c>
      <c r="BH15" s="3353">
        <v>5.28</v>
      </c>
      <c r="BI15" s="3353">
        <v>5.28</v>
      </c>
      <c r="BJ15" s="3353"/>
      <c r="BK15" s="3353"/>
      <c r="BL15" s="3353"/>
    </row>
    <row r="16" spans="1:64" ht="12" customHeight="1">
      <c r="A16" s="3388" t="s">
        <v>3317</v>
      </c>
      <c r="B16" s="3403"/>
      <c r="C16" s="3404"/>
      <c r="D16" s="3404"/>
      <c r="E16" s="3404"/>
      <c r="F16" s="3404">
        <f>[1]分值!V23</f>
        <v>5.98</v>
      </c>
      <c r="G16" s="3404">
        <f>[1]分值!V23</f>
        <v>5.98</v>
      </c>
      <c r="H16" s="3404">
        <f>F16</f>
        <v>5.98</v>
      </c>
      <c r="I16" s="3404"/>
      <c r="J16" s="3376"/>
      <c r="K16" s="3376"/>
      <c r="L16" s="3376">
        <v>5.98</v>
      </c>
      <c r="M16" s="3376"/>
      <c r="N16" s="3376">
        <v>6</v>
      </c>
      <c r="O16" s="3376">
        <v>6</v>
      </c>
      <c r="P16" s="3376">
        <v>6</v>
      </c>
      <c r="Q16" s="3376">
        <v>5.98</v>
      </c>
      <c r="R16" s="3376">
        <v>5.98</v>
      </c>
      <c r="S16" s="3376"/>
      <c r="T16" s="3376">
        <v>5.98</v>
      </c>
      <c r="U16" s="3376">
        <f>6/2</f>
        <v>3</v>
      </c>
      <c r="V16" s="3376"/>
      <c r="W16" s="3376"/>
      <c r="X16" s="3376"/>
      <c r="Y16" s="3376">
        <v>5.98</v>
      </c>
      <c r="Z16" s="3376">
        <v>5.98</v>
      </c>
      <c r="AA16" s="3376">
        <v>5.98</v>
      </c>
      <c r="AB16" s="3376">
        <v>5.98</v>
      </c>
      <c r="AC16" s="3376"/>
      <c r="AD16" s="3377">
        <v>6</v>
      </c>
      <c r="AE16" s="3377">
        <v>6</v>
      </c>
      <c r="AF16" s="3376">
        <v>0</v>
      </c>
      <c r="AG16" s="3376"/>
      <c r="AH16" s="3376"/>
      <c r="AI16" s="3381"/>
      <c r="AJ16" s="3381">
        <v>6</v>
      </c>
      <c r="AK16" s="3381">
        <v>6</v>
      </c>
      <c r="AL16" s="3381">
        <v>6</v>
      </c>
      <c r="AM16" s="3381">
        <v>6</v>
      </c>
      <c r="AN16" s="3353"/>
      <c r="AO16" s="3353"/>
      <c r="AP16" s="3353"/>
      <c r="AQ16" s="3353"/>
      <c r="AR16" s="3353"/>
      <c r="AS16" s="3353"/>
      <c r="AT16" s="3353"/>
      <c r="AU16" s="3353"/>
      <c r="AV16" s="3353"/>
      <c r="AW16" s="3353"/>
      <c r="AX16" s="3353"/>
      <c r="AY16" s="3353"/>
      <c r="AZ16" s="3353"/>
      <c r="BA16" s="3353"/>
      <c r="BB16" s="3353"/>
      <c r="BC16" s="3353"/>
      <c r="BD16" s="3353"/>
      <c r="BE16" s="3353"/>
      <c r="BF16" s="3353"/>
      <c r="BG16" s="3353"/>
      <c r="BH16" s="3353"/>
      <c r="BI16" s="3353"/>
      <c r="BJ16" s="3353"/>
      <c r="BK16" s="3353"/>
      <c r="BL16" s="3353"/>
    </row>
    <row r="17" spans="1:62" ht="12" customHeight="1" thickBot="1">
      <c r="A17" s="3388" t="s">
        <v>3318</v>
      </c>
      <c r="B17" s="3403"/>
      <c r="C17" s="3406">
        <v>40.1</v>
      </c>
      <c r="D17" s="3411">
        <f>[1]分值!P13</f>
        <v>22.02</v>
      </c>
      <c r="E17" s="3411">
        <f>[1]分值!P7</f>
        <v>40.1</v>
      </c>
      <c r="F17" s="3411">
        <f>[1]分值!P7</f>
        <v>40.1</v>
      </c>
      <c r="G17" s="3404">
        <f>F17</f>
        <v>40.1</v>
      </c>
      <c r="H17" s="3406">
        <f>[1]分值!P14</f>
        <v>13.76</v>
      </c>
      <c r="I17" s="3411">
        <v>40.1</v>
      </c>
      <c r="J17" s="3411">
        <v>40.1</v>
      </c>
      <c r="K17" s="3411">
        <f>F17</f>
        <v>40.1</v>
      </c>
      <c r="L17" s="3411">
        <f>F17</f>
        <v>40.1</v>
      </c>
      <c r="M17" s="3376">
        <v>40.1</v>
      </c>
      <c r="N17" s="3376">
        <v>40.1</v>
      </c>
      <c r="O17" s="3376">
        <v>40.1</v>
      </c>
      <c r="P17" s="3376">
        <v>40.1</v>
      </c>
      <c r="Q17" s="3376">
        <v>40.1</v>
      </c>
      <c r="R17" s="3376">
        <v>40.1</v>
      </c>
      <c r="S17" s="3376">
        <v>39.03</v>
      </c>
      <c r="T17" s="3376">
        <v>40.1</v>
      </c>
      <c r="U17" s="3376">
        <v>40.1</v>
      </c>
      <c r="V17" s="3376">
        <v>40.1</v>
      </c>
      <c r="W17" s="3376">
        <v>40.1</v>
      </c>
      <c r="X17" s="3376">
        <v>13.76</v>
      </c>
      <c r="Y17" s="3376">
        <v>40.1</v>
      </c>
      <c r="Z17" s="3376">
        <v>40.1</v>
      </c>
      <c r="AA17" s="3376">
        <v>40.1</v>
      </c>
      <c r="AB17" s="3376">
        <v>40.1</v>
      </c>
      <c r="AC17" s="3376">
        <v>40.1</v>
      </c>
      <c r="AD17" s="3377">
        <v>40.1</v>
      </c>
      <c r="AE17" s="3377">
        <v>40.1</v>
      </c>
      <c r="AF17" s="3376">
        <v>40.1</v>
      </c>
      <c r="AG17" s="3376">
        <v>40.1</v>
      </c>
      <c r="AH17" s="3376">
        <v>40.1</v>
      </c>
      <c r="AI17" s="3376">
        <v>40.1</v>
      </c>
      <c r="AJ17" s="3376">
        <v>40.1</v>
      </c>
      <c r="AK17" s="3376">
        <v>40.1</v>
      </c>
      <c r="AL17" s="3376">
        <v>40.1</v>
      </c>
      <c r="AM17" s="3376">
        <v>40.1</v>
      </c>
      <c r="AN17" s="3377">
        <v>13.76</v>
      </c>
      <c r="AO17" s="3376">
        <v>40.1</v>
      </c>
      <c r="AP17" s="3376">
        <v>40.1</v>
      </c>
      <c r="AQ17" s="3376">
        <v>40.1</v>
      </c>
      <c r="AR17" s="3376">
        <v>40.1</v>
      </c>
      <c r="AS17" s="3376">
        <v>40.1</v>
      </c>
      <c r="AT17" s="3376">
        <v>40.1</v>
      </c>
      <c r="AU17" s="3376">
        <v>40.1</v>
      </c>
      <c r="AV17" s="3376">
        <v>40.1</v>
      </c>
      <c r="AW17" s="3376">
        <v>40.1</v>
      </c>
      <c r="AX17" s="3353"/>
      <c r="AY17" s="3387">
        <f>ROUND(13.76/3,2)</f>
        <v>4.59</v>
      </c>
      <c r="AZ17" s="3353"/>
      <c r="BA17" s="3387">
        <f>13.76/2</f>
        <v>6.88</v>
      </c>
      <c r="BB17" s="3412"/>
      <c r="BC17" s="3353"/>
      <c r="BD17" s="3413"/>
      <c r="BE17" s="3413"/>
      <c r="BF17" s="3353"/>
      <c r="BG17" s="3413"/>
      <c r="BH17" s="3413">
        <v>40.1</v>
      </c>
      <c r="BI17" s="3413">
        <v>40.1</v>
      </c>
      <c r="BJ17" s="3353"/>
    </row>
    <row r="18" spans="1:62" ht="12" customHeight="1" thickBot="1">
      <c r="A18" s="3394" t="s">
        <v>3319</v>
      </c>
      <c r="B18" s="3414"/>
      <c r="C18" s="3415">
        <f>1.7647*C9/C8</f>
        <v>0.48683554787582667</v>
      </c>
      <c r="D18" s="3415">
        <f>1.7647*D9/D8</f>
        <v>0.83308667772249845</v>
      </c>
      <c r="E18" s="3415">
        <f>1.7647*E9/E8</f>
        <v>0.29876553060450306</v>
      </c>
      <c r="F18" s="3415">
        <f>1.7647*F9/F8</f>
        <v>0.7436853212183262</v>
      </c>
      <c r="G18" s="3415">
        <f>1.7647*G9/G8</f>
        <v>0.30949247412982128</v>
      </c>
      <c r="H18" s="3415">
        <f t="shared" ref="H18:BI18" si="10">1.7647*H9/H8</f>
        <v>0.95292991061196419</v>
      </c>
      <c r="I18" s="3415">
        <f t="shared" si="10"/>
        <v>0.46505682780129204</v>
      </c>
      <c r="J18" s="3415">
        <f t="shared" si="10"/>
        <v>0.32104447513812151</v>
      </c>
      <c r="K18" s="3415">
        <f t="shared" si="10"/>
        <v>0.74641047556432161</v>
      </c>
      <c r="L18" s="3415">
        <f t="shared" si="10"/>
        <v>0.64123257425742575</v>
      </c>
      <c r="M18" s="3415">
        <f t="shared" si="10"/>
        <v>0.67928237901736233</v>
      </c>
      <c r="N18" s="3415">
        <f t="shared" si="10"/>
        <v>0.80267045359966693</v>
      </c>
      <c r="O18" s="3415">
        <f t="shared" si="10"/>
        <v>0.64129780483896814</v>
      </c>
      <c r="P18" s="3415">
        <f t="shared" si="10"/>
        <v>0.75562638610554445</v>
      </c>
      <c r="Q18" s="3415">
        <f t="shared" si="10"/>
        <v>0.69572440209267561</v>
      </c>
      <c r="R18" s="3415">
        <f t="shared" si="10"/>
        <v>0.95330185567010317</v>
      </c>
      <c r="S18" s="3415">
        <f t="shared" si="10"/>
        <v>1.1993022604422603</v>
      </c>
      <c r="T18" s="3415">
        <f t="shared" si="10"/>
        <v>0.90344778905994083</v>
      </c>
      <c r="U18" s="3415">
        <f t="shared" si="10"/>
        <v>0.57114963369963379</v>
      </c>
      <c r="V18" s="3415">
        <f t="shared" si="10"/>
        <v>0.98814767806480508</v>
      </c>
      <c r="W18" s="3415">
        <f t="shared" si="10"/>
        <v>0.7802299286613511</v>
      </c>
      <c r="X18" s="3415">
        <f t="shared" si="10"/>
        <v>0.57458505319830777</v>
      </c>
      <c r="Y18" s="3415">
        <f t="shared" si="10"/>
        <v>0.33404272579772848</v>
      </c>
      <c r="Z18" s="3415">
        <f t="shared" si="10"/>
        <v>0.87862503957783644</v>
      </c>
      <c r="AA18" s="3415">
        <f t="shared" si="10"/>
        <v>0.61380869565217455</v>
      </c>
      <c r="AB18" s="3415">
        <f t="shared" si="10"/>
        <v>0.67077589064999266</v>
      </c>
      <c r="AC18" s="3415">
        <f t="shared" si="10"/>
        <v>1.138545254540803</v>
      </c>
      <c r="AD18" s="3416">
        <f t="shared" si="10"/>
        <v>0.66386460444713358</v>
      </c>
      <c r="AE18" s="3416">
        <f t="shared" si="10"/>
        <v>0.66386460444713358</v>
      </c>
      <c r="AF18" s="3415">
        <f t="shared" si="10"/>
        <v>0.91931548269581065</v>
      </c>
      <c r="AG18" s="3415">
        <f t="shared" si="10"/>
        <v>1.0692175777414075</v>
      </c>
      <c r="AH18" s="3415">
        <f t="shared" si="10"/>
        <v>0.47146391911863483</v>
      </c>
      <c r="AI18" s="3415">
        <f t="shared" si="10"/>
        <v>0.35017448115205424</v>
      </c>
      <c r="AJ18" s="3415">
        <f t="shared" si="10"/>
        <v>0.65726389104509209</v>
      </c>
      <c r="AK18" s="3415">
        <f t="shared" si="10"/>
        <v>1.2224471698113208</v>
      </c>
      <c r="AL18" s="3415">
        <f t="shared" si="10"/>
        <v>0.56287525697503671</v>
      </c>
      <c r="AM18" s="3415">
        <f t="shared" si="10"/>
        <v>0.49903546896967266</v>
      </c>
      <c r="AN18" s="3415">
        <f t="shared" si="10"/>
        <v>1.8062767015706807</v>
      </c>
      <c r="AO18" s="3415">
        <f t="shared" si="10"/>
        <v>0.55950605190079472</v>
      </c>
      <c r="AP18" s="3415">
        <f t="shared" si="10"/>
        <v>1.6664462078035949</v>
      </c>
      <c r="AQ18" s="3415">
        <f t="shared" si="10"/>
        <v>0.89408022929625575</v>
      </c>
      <c r="AR18" s="3415">
        <f t="shared" si="10"/>
        <v>0.38030196149654921</v>
      </c>
      <c r="AS18" s="3415">
        <f t="shared" si="10"/>
        <v>1.7582121323529409</v>
      </c>
      <c r="AT18" s="3415">
        <f t="shared" si="10"/>
        <v>0.95926662099674598</v>
      </c>
      <c r="AU18" s="3415">
        <f t="shared" si="10"/>
        <v>1.8650504854368932</v>
      </c>
      <c r="AV18" s="3415">
        <f t="shared" si="10"/>
        <v>1.2017698890649762</v>
      </c>
      <c r="AW18" s="3415">
        <f t="shared" si="10"/>
        <v>1.1392204512372637</v>
      </c>
      <c r="AX18" s="3415">
        <f t="shared" si="10"/>
        <v>3.6639558520777733</v>
      </c>
      <c r="AY18" s="3415">
        <f t="shared" si="10"/>
        <v>0.34563324387789335</v>
      </c>
      <c r="AZ18" s="3415">
        <f t="shared" si="10"/>
        <v>0.56785315614617926</v>
      </c>
      <c r="BA18" s="3415">
        <f t="shared" si="10"/>
        <v>0.96479739976514023</v>
      </c>
      <c r="BB18" s="3415">
        <f t="shared" si="10"/>
        <v>2.5866475167785232</v>
      </c>
      <c r="BC18" s="3415">
        <f t="shared" si="10"/>
        <v>2.1964539353264185</v>
      </c>
      <c r="BD18" s="3415">
        <f t="shared" si="10"/>
        <v>0.10009205933682368</v>
      </c>
      <c r="BE18" s="3415">
        <f t="shared" si="10"/>
        <v>0.44616661732050333</v>
      </c>
      <c r="BF18" s="3415">
        <f t="shared" si="10"/>
        <v>2.0105220233463035</v>
      </c>
      <c r="BG18" s="3415">
        <f t="shared" si="10"/>
        <v>1.281947838214784</v>
      </c>
      <c r="BH18" s="3415">
        <f t="shared" si="10"/>
        <v>0.5686255555555555</v>
      </c>
      <c r="BI18" s="3415">
        <f t="shared" si="10"/>
        <v>0.5686255555555555</v>
      </c>
      <c r="BJ18" s="3353"/>
    </row>
    <row r="19" spans="1:62" s="3421" customFormat="1" ht="12" customHeight="1">
      <c r="A19" s="3417" t="s">
        <v>3320</v>
      </c>
      <c r="B19" s="3418" t="s">
        <v>3310</v>
      </c>
      <c r="C19" s="3419">
        <v>0</v>
      </c>
      <c r="D19" s="3419">
        <v>0.26</v>
      </c>
      <c r="E19" s="3419"/>
      <c r="F19" s="3419"/>
      <c r="G19" s="3419"/>
      <c r="H19" s="3419"/>
      <c r="I19" s="3419"/>
      <c r="J19" s="3419"/>
      <c r="K19" s="3419"/>
      <c r="L19" s="3419"/>
      <c r="M19" s="3419"/>
      <c r="N19" s="3419">
        <v>0.54</v>
      </c>
      <c r="O19" s="3419"/>
      <c r="P19" s="3419"/>
      <c r="Q19" s="3419"/>
      <c r="R19" s="3419"/>
      <c r="S19" s="3419"/>
      <c r="T19" s="3419"/>
      <c r="U19" s="3419">
        <v>0.5</v>
      </c>
      <c r="V19" s="3419"/>
      <c r="W19" s="3419"/>
      <c r="X19" s="3419"/>
      <c r="Y19" s="3419"/>
      <c r="Z19" s="3419">
        <v>0.3</v>
      </c>
      <c r="AA19" s="3419">
        <v>0.3</v>
      </c>
      <c r="AB19" s="3419">
        <v>0.3</v>
      </c>
      <c r="AC19" s="3419">
        <v>0.5</v>
      </c>
      <c r="AD19" s="3420"/>
      <c r="AE19" s="3420"/>
      <c r="AF19" s="3419">
        <v>0.4</v>
      </c>
      <c r="AG19" s="3419"/>
      <c r="AH19" s="3419"/>
      <c r="AK19" s="3421">
        <v>0.4</v>
      </c>
      <c r="AL19" s="3421">
        <v>0.3</v>
      </c>
      <c r="AN19" s="3421">
        <v>0.4</v>
      </c>
      <c r="AU19" s="3421">
        <v>0.55000000000000004</v>
      </c>
    </row>
    <row r="20" spans="1:62" ht="12" customHeight="1">
      <c r="A20" s="3422" t="s">
        <v>3321</v>
      </c>
      <c r="B20" s="3423"/>
      <c r="C20" s="3396">
        <f>IF(C19&lt;0.3,1,VLOOKUP(C19,[1]分值!$L$18:$M$27,2))</f>
        <v>1</v>
      </c>
      <c r="D20" s="3396">
        <f>IF(D19&lt;0.3,1,VLOOKUP(D19,[1]分值!$L$18:$M$27,2))</f>
        <v>1</v>
      </c>
      <c r="E20" s="3396">
        <f>IF(E19&lt;0.3,1,VLOOKUP(E19,[1]分值!$L$18:$M$27,2))</f>
        <v>1</v>
      </c>
      <c r="F20" s="3396">
        <f>IF(F19&lt;0.3,1,VLOOKUP(F19,[1]分值!$L$18:$M$27,2))</f>
        <v>1</v>
      </c>
      <c r="G20" s="3396">
        <f>IF(G19&lt;0.3,1,VLOOKUP(G19,[1]分值!$L$18:$M$27,2))</f>
        <v>1</v>
      </c>
      <c r="H20" s="3396">
        <f>IF(H19&lt;0.3,1,VLOOKUP(H19,[1]分值!$L$18:$M$27,2))</f>
        <v>1</v>
      </c>
      <c r="I20" s="3396">
        <f>IF(I19&lt;0.3,1,VLOOKUP(I19,[1]分值!$L$18:$M$27,2))</f>
        <v>1</v>
      </c>
      <c r="J20" s="3396">
        <f>IF(J19&lt;0.3,1,VLOOKUP(J19,[1]分值!$L$18:$M$27,2))</f>
        <v>1</v>
      </c>
      <c r="K20" s="3396">
        <f>IF(K19&lt;0.3,1,VLOOKUP(K19,[1]分值!$L$18:$M$27,2))</f>
        <v>1</v>
      </c>
      <c r="L20" s="3396">
        <f>IF(L19&lt;0.3,1,VLOOKUP(L19,[1]分值!$L$18:$M$27,2))</f>
        <v>1</v>
      </c>
      <c r="M20" s="3396">
        <f>IF(M19&lt;0.3,1,VLOOKUP(M19,[1]分值!$L$18:$M$27,2))</f>
        <v>1</v>
      </c>
      <c r="N20" s="3396">
        <f>IF(N19&lt;0.3,1,VLOOKUP(N19,[1]分值!$L$18:$M$27,2))</f>
        <v>1.2</v>
      </c>
      <c r="O20" s="3396">
        <f>IF(O19&lt;0.3,1,VLOOKUP(O19,[1]分值!$L$18:$M$27,2))</f>
        <v>1</v>
      </c>
      <c r="P20" s="3396">
        <f>IF(P19&lt;0.3,1,VLOOKUP(P19,[1]分值!$L$18:$M$27,2))</f>
        <v>1</v>
      </c>
      <c r="Q20" s="3396">
        <f>IF(Q19&lt;0.3,1,VLOOKUP(Q19,[1]分值!$L$18:$M$27,2))</f>
        <v>1</v>
      </c>
      <c r="R20" s="3396">
        <f>IF(R19&lt;0.3,1,VLOOKUP(R19,[1]分值!$L$18:$M$27,2))</f>
        <v>1</v>
      </c>
      <c r="S20" s="3396">
        <f>IF(S19&lt;0.3,1,VLOOKUP(S19,[1]分值!$L$18:$M$27,2))</f>
        <v>1</v>
      </c>
      <c r="T20" s="3396">
        <f>IF(T19&lt;0.3,1,VLOOKUP(T19,[1]分值!$L$18:$M$27,2))</f>
        <v>1</v>
      </c>
      <c r="U20" s="3396">
        <f>IF(U19&lt;0.3,1,VLOOKUP(U19,[1]分值!$L$18:$M$27,2))</f>
        <v>1.2</v>
      </c>
      <c r="V20" s="3396">
        <f>IF(V19&lt;0.3,1,VLOOKUP(V19,[1]分值!$L$18:$M$27,2))</f>
        <v>1</v>
      </c>
      <c r="W20" s="3396">
        <f>IF(W19&lt;0.3,1,VLOOKUP(W19,[1]分值!$L$18:$M$27,2))</f>
        <v>1</v>
      </c>
      <c r="X20" s="3396">
        <f>IF(X19&lt;0.3,1,VLOOKUP(X19,[1]分值!$L$18:$M$27,2))</f>
        <v>1</v>
      </c>
      <c r="Y20" s="3396">
        <f>IF(Y19&lt;0.3,1,VLOOKUP(Y19,[1]分值!$L$18:$M$27,2))</f>
        <v>1</v>
      </c>
      <c r="Z20" s="3396">
        <f>IF(Z19&lt;0.3,1,VLOOKUP(Z19,[1]分值!$L$18:$M$27,2))</f>
        <v>1.1000000000000001</v>
      </c>
      <c r="AA20" s="3396">
        <f>IF(AA19&lt;0.3,1,VLOOKUP(AA19,[1]分值!$L$18:$M$27,2))</f>
        <v>1.1000000000000001</v>
      </c>
      <c r="AB20" s="3396">
        <f>IF(AB19&lt;0.3,1,VLOOKUP(AB19,[1]分值!$L$18:$M$27,2))</f>
        <v>1.1000000000000001</v>
      </c>
      <c r="AC20" s="3396">
        <f>IF(AC19&lt;0.3,1,VLOOKUP(AC19,[1]分值!$L$18:$M$27,2))</f>
        <v>1.2</v>
      </c>
      <c r="AD20" s="3397">
        <f>IF(AD19&lt;0.3,1,VLOOKUP(AD19,[1]分值!$L$18:$M$27,2))</f>
        <v>1</v>
      </c>
      <c r="AE20" s="3397">
        <f>IF(AE19&lt;0.3,1,VLOOKUP(AE19,[1]分值!$L$18:$M$27,2))</f>
        <v>1</v>
      </c>
      <c r="AF20" s="3396">
        <f>IF(AF19&lt;0.3,1,VLOOKUP(AF19,[1]分值!$L$18:$M$27,2))</f>
        <v>1.1000000000000001</v>
      </c>
      <c r="AG20" s="3396">
        <f>IF(AG19&lt;0.3,1,VLOOKUP(AG19,[1]分值!$L$18:$M$27,2))</f>
        <v>1</v>
      </c>
      <c r="AH20" s="3396">
        <f>IF(AH19&lt;0.3,1,VLOOKUP(AH19,[1]分值!$L$18:$M$27,2))</f>
        <v>1</v>
      </c>
      <c r="AI20" s="3396">
        <f>IF(AI19&lt;0.3,1,VLOOKUP(AI19,[1]分值!$L$18:$M$27,2))</f>
        <v>1</v>
      </c>
      <c r="AJ20" s="3396">
        <f>IF(AJ19&lt;0.3,1,VLOOKUP(AJ19,[1]分值!$L$18:$M$27,2))</f>
        <v>1</v>
      </c>
      <c r="AK20" s="3396">
        <f>IF(AK19&lt;0.3,1,VLOOKUP(AK19,[1]分值!$L$18:$M$27,2))</f>
        <v>1.1000000000000001</v>
      </c>
      <c r="AL20" s="3396">
        <f>IF(AL19&lt;0.3,1,VLOOKUP(AL19,[1]分值!$L$18:$M$27,2))</f>
        <v>1.1000000000000001</v>
      </c>
      <c r="AM20" s="3396">
        <f>IF(AM19&lt;0.3,1,VLOOKUP(AM19,[1]分值!$L$18:$M$27,2))</f>
        <v>1</v>
      </c>
      <c r="AN20" s="3396">
        <f>IF(AN19&lt;0.3,1,VLOOKUP(AN19,[1]分值!$L$18:$M$27,2))</f>
        <v>1.1000000000000001</v>
      </c>
      <c r="AO20" s="3396">
        <f>IF(AO19&lt;0.3,1,VLOOKUP(AO19,[1]分值!$L$18:$M$27,2))</f>
        <v>1</v>
      </c>
      <c r="AP20" s="3396">
        <f>IF(AP19&lt;0.3,1,VLOOKUP(AP19,[1]分值!$L$18:$M$27,2))</f>
        <v>1</v>
      </c>
      <c r="AQ20" s="3396">
        <f>IF(AQ19&lt;0.3,1,VLOOKUP(AQ19,[1]分值!$L$18:$M$27,2))</f>
        <v>1</v>
      </c>
      <c r="AR20" s="3396">
        <f>IF(AR19&lt;0.3,1,VLOOKUP(AR19,[1]分值!$L$18:$M$27,2))</f>
        <v>1</v>
      </c>
      <c r="AS20" s="3396">
        <f>IF(AS19&lt;0.3,1,VLOOKUP(AS19,[1]分值!$L$18:$M$27,2))</f>
        <v>1</v>
      </c>
      <c r="AT20" s="3396">
        <f>IF(AT19&lt;0.3,1,VLOOKUP(AT19,[1]分值!$L$18:$M$27,2))</f>
        <v>1</v>
      </c>
      <c r="AU20" s="3396">
        <f>IF(AU19&lt;0.3,1,VLOOKUP(AU19,[1]分值!$L$18:$M$27,2))</f>
        <v>1.2</v>
      </c>
      <c r="AV20" s="3396">
        <f>IF(AV19&lt;0.3,1,VLOOKUP(AV19,[1]分值!$L$18:$M$27,2))</f>
        <v>1</v>
      </c>
      <c r="AW20" s="3396">
        <f>IF(AW19&lt;0.3,1,VLOOKUP(AW19,[1]分值!$L$18:$M$27,2))</f>
        <v>1</v>
      </c>
      <c r="AX20" s="3396">
        <f>IF(AX19&lt;0.3,1,VLOOKUP(AX19,[1]分值!$L$18:$M$27,2))</f>
        <v>1</v>
      </c>
      <c r="AY20" s="3396">
        <f>IF(AY19&lt;0.3,1,VLOOKUP(AY19,[1]分值!$L$18:$M$27,2))</f>
        <v>1</v>
      </c>
      <c r="AZ20" s="3396">
        <f>IF(AZ19&lt;0.3,1,VLOOKUP(AZ19,[1]分值!$L$18:$M$27,2))</f>
        <v>1</v>
      </c>
      <c r="BA20" s="3396">
        <f>IF(BA19&lt;0.3,1,VLOOKUP(BA19,[1]分值!$L$18:$M$27,2))</f>
        <v>1</v>
      </c>
      <c r="BB20" s="3396">
        <f>IF(BB19&lt;0.3,1,VLOOKUP(BB19,[1]分值!$L$18:$M$27,2))</f>
        <v>1</v>
      </c>
      <c r="BC20" s="3396">
        <f>IF(BC19&lt;0.3,1,VLOOKUP(BC19,[1]分值!$L$18:$M$27,2))</f>
        <v>1</v>
      </c>
      <c r="BD20" s="3396">
        <f>IF(BD19&lt;0.3,1,VLOOKUP(BD19,[1]分值!$L$18:$M$27,2))</f>
        <v>1</v>
      </c>
      <c r="BE20" s="3396">
        <f>IF(BE19&lt;0.3,1,VLOOKUP(BE19,[1]分值!$L$18:$M$27,2))</f>
        <v>1</v>
      </c>
      <c r="BF20" s="3396">
        <f>IF(BF19&lt;0.3,1,VLOOKUP(BF19,[1]分值!$L$18:$M$27,2))</f>
        <v>1</v>
      </c>
      <c r="BG20" s="3396">
        <f>IF(BG19&lt;0.3,1,VLOOKUP(BG19,[1]分值!$L$18:$M$27,2))</f>
        <v>1</v>
      </c>
      <c r="BH20" s="3396">
        <f>IF(BH19&lt;0.3,1,VLOOKUP(BH19,[1]分值!$L$18:$M$27,2))</f>
        <v>1</v>
      </c>
      <c r="BI20" s="3396">
        <f>IF(BI19&lt;0.3,1,VLOOKUP(BI19,[1]分值!$L$18:$M$27,2))</f>
        <v>1</v>
      </c>
      <c r="BJ20" s="3353"/>
    </row>
    <row r="21" spans="1:62" ht="12" customHeight="1">
      <c r="A21" s="3422" t="s">
        <v>3322</v>
      </c>
      <c r="B21" s="3423"/>
      <c r="C21" s="3396">
        <f>C17*C18*C20</f>
        <v>19.522105469820652</v>
      </c>
      <c r="D21" s="3396">
        <f>D17*D18*D20</f>
        <v>18.344568643449417</v>
      </c>
      <c r="E21" s="3396">
        <f>E17*E18*E20</f>
        <v>11.980497777240574</v>
      </c>
      <c r="F21" s="3396">
        <f t="shared" ref="F21:BI21" si="11">F17*F18*F20</f>
        <v>29.821781380854883</v>
      </c>
      <c r="G21" s="3396">
        <f t="shared" si="11"/>
        <v>12.410648212605834</v>
      </c>
      <c r="H21" s="3396">
        <f t="shared" si="11"/>
        <v>13.112315570020627</v>
      </c>
      <c r="I21" s="3396">
        <f t="shared" si="11"/>
        <v>18.648778794831813</v>
      </c>
      <c r="J21" s="3396">
        <f t="shared" si="11"/>
        <v>12.873883453038673</v>
      </c>
      <c r="K21" s="3396">
        <f t="shared" si="11"/>
        <v>29.931060070129298</v>
      </c>
      <c r="L21" s="3396">
        <f t="shared" si="11"/>
        <v>25.713426227722774</v>
      </c>
      <c r="M21" s="3396">
        <f t="shared" si="11"/>
        <v>27.239223398596231</v>
      </c>
      <c r="N21" s="3396">
        <f t="shared" si="11"/>
        <v>38.624502227215977</v>
      </c>
      <c r="O21" s="3396">
        <f t="shared" si="11"/>
        <v>25.716041974042625</v>
      </c>
      <c r="P21" s="3396">
        <f t="shared" si="11"/>
        <v>30.300618082832333</v>
      </c>
      <c r="Q21" s="3396">
        <f t="shared" si="11"/>
        <v>27.898548523916293</v>
      </c>
      <c r="R21" s="3396">
        <f t="shared" si="11"/>
        <v>38.227404412371136</v>
      </c>
      <c r="S21" s="3396">
        <f t="shared" si="11"/>
        <v>46.808767225061423</v>
      </c>
      <c r="T21" s="3396">
        <f t="shared" si="11"/>
        <v>36.228256341303627</v>
      </c>
      <c r="U21" s="3396">
        <f t="shared" si="11"/>
        <v>27.48372037362638</v>
      </c>
      <c r="V21" s="3396">
        <f t="shared" si="11"/>
        <v>39.624721890398682</v>
      </c>
      <c r="W21" s="3396">
        <f t="shared" si="11"/>
        <v>31.28722013932018</v>
      </c>
      <c r="X21" s="3396">
        <f t="shared" si="11"/>
        <v>7.906290332008715</v>
      </c>
      <c r="Y21" s="3396">
        <f t="shared" si="11"/>
        <v>13.395113304488913</v>
      </c>
      <c r="Z21" s="3396">
        <f t="shared" si="11"/>
        <v>38.756150495778371</v>
      </c>
      <c r="AA21" s="3396">
        <f t="shared" si="11"/>
        <v>27.07510156521742</v>
      </c>
      <c r="AB21" s="3396">
        <f t="shared" si="11"/>
        <v>29.58792453657118</v>
      </c>
      <c r="AC21" s="3396">
        <f t="shared" si="11"/>
        <v>54.786797648503445</v>
      </c>
      <c r="AD21" s="3397">
        <f t="shared" si="11"/>
        <v>26.620970638330057</v>
      </c>
      <c r="AE21" s="3397">
        <f t="shared" si="11"/>
        <v>26.620970638330057</v>
      </c>
      <c r="AF21" s="3396">
        <f t="shared" si="11"/>
        <v>40.551005941712212</v>
      </c>
      <c r="AG21" s="3396">
        <f t="shared" si="11"/>
        <v>42.875624867430439</v>
      </c>
      <c r="AH21" s="3396">
        <f t="shared" si="11"/>
        <v>18.905703156657257</v>
      </c>
      <c r="AI21" s="3396">
        <f t="shared" si="11"/>
        <v>14.041996694197376</v>
      </c>
      <c r="AJ21" s="3396">
        <f t="shared" si="11"/>
        <v>26.356282030908194</v>
      </c>
      <c r="AK21" s="3396">
        <f t="shared" si="11"/>
        <v>53.92214466037737</v>
      </c>
      <c r="AL21" s="3396">
        <f t="shared" si="11"/>
        <v>24.828427585168871</v>
      </c>
      <c r="AM21" s="3396">
        <f t="shared" si="11"/>
        <v>20.011322305683873</v>
      </c>
      <c r="AN21" s="3396">
        <f t="shared" si="11"/>
        <v>27.339804154973823</v>
      </c>
      <c r="AO21" s="3396">
        <f t="shared" si="11"/>
        <v>22.436192681221868</v>
      </c>
      <c r="AP21" s="3396">
        <f t="shared" si="11"/>
        <v>66.824492932924159</v>
      </c>
      <c r="AQ21" s="3396">
        <f t="shared" si="11"/>
        <v>35.85261719477986</v>
      </c>
      <c r="AR21" s="3396">
        <f t="shared" si="11"/>
        <v>15.250108656011625</v>
      </c>
      <c r="AS21" s="3396">
        <f t="shared" si="11"/>
        <v>70.504306507352936</v>
      </c>
      <c r="AT21" s="3396">
        <f t="shared" si="11"/>
        <v>38.466591501969518</v>
      </c>
      <c r="AU21" s="3396">
        <f t="shared" si="11"/>
        <v>89.746229359223307</v>
      </c>
      <c r="AV21" s="3396">
        <f t="shared" si="11"/>
        <v>48.190972551505546</v>
      </c>
      <c r="AW21" s="3396">
        <f t="shared" si="11"/>
        <v>45.682740094614275</v>
      </c>
      <c r="AX21" s="3396">
        <f t="shared" si="11"/>
        <v>0</v>
      </c>
      <c r="AY21" s="3396">
        <f t="shared" si="11"/>
        <v>1.5864565893995304</v>
      </c>
      <c r="AZ21" s="3396">
        <f t="shared" si="11"/>
        <v>0</v>
      </c>
      <c r="BA21" s="3396">
        <f t="shared" si="11"/>
        <v>6.6378061103841643</v>
      </c>
      <c r="BB21" s="3396">
        <f t="shared" si="11"/>
        <v>0</v>
      </c>
      <c r="BC21" s="3396">
        <f t="shared" si="11"/>
        <v>0</v>
      </c>
      <c r="BD21" s="3396">
        <f t="shared" si="11"/>
        <v>0</v>
      </c>
      <c r="BE21" s="3396">
        <f t="shared" si="11"/>
        <v>0</v>
      </c>
      <c r="BF21" s="3396">
        <f t="shared" si="11"/>
        <v>0</v>
      </c>
      <c r="BG21" s="3396">
        <f t="shared" si="11"/>
        <v>0</v>
      </c>
      <c r="BH21" s="3396">
        <f t="shared" si="11"/>
        <v>22.801884777777776</v>
      </c>
      <c r="BI21" s="3396">
        <f t="shared" si="11"/>
        <v>22.801884777777776</v>
      </c>
      <c r="BJ21" s="3353"/>
    </row>
    <row r="22" spans="1:62" ht="12" customHeight="1">
      <c r="A22" s="3424" t="s">
        <v>3323</v>
      </c>
      <c r="B22" s="3403"/>
      <c r="C22" s="3376">
        <v>0</v>
      </c>
      <c r="D22" s="3376"/>
      <c r="E22" s="3376">
        <f>[1]分值!V11</f>
        <v>6.13</v>
      </c>
      <c r="F22" s="3376">
        <f>[1]分值!V11</f>
        <v>6.13</v>
      </c>
      <c r="G22" s="3376"/>
      <c r="H22" s="3376"/>
      <c r="I22" s="3376">
        <f>[1]分值!V11</f>
        <v>6.13</v>
      </c>
      <c r="J22" s="3376">
        <f>[1]分值!V11</f>
        <v>6.13</v>
      </c>
      <c r="K22" s="3376">
        <f>[1]分值!V11</f>
        <v>6.13</v>
      </c>
      <c r="L22" s="3376">
        <f>[1]分值!V11</f>
        <v>6.13</v>
      </c>
      <c r="M22" s="3376">
        <v>6.13</v>
      </c>
      <c r="N22" s="3376">
        <v>6.13</v>
      </c>
      <c r="O22" s="3376">
        <v>6.13</v>
      </c>
      <c r="P22" s="3376">
        <v>6.13</v>
      </c>
      <c r="Q22" s="3376">
        <v>6.13</v>
      </c>
      <c r="R22" s="3376">
        <v>6.13</v>
      </c>
      <c r="S22" s="3376">
        <v>6.13</v>
      </c>
      <c r="T22" s="3376">
        <v>6.13</v>
      </c>
      <c r="U22" s="3376">
        <v>6.13</v>
      </c>
      <c r="V22" s="3376">
        <v>6.13</v>
      </c>
      <c r="W22" s="3376">
        <v>6.13</v>
      </c>
      <c r="X22" s="3376"/>
      <c r="Y22" s="3376">
        <v>6.13</v>
      </c>
      <c r="Z22" s="3376">
        <v>6.13</v>
      </c>
      <c r="AA22" s="3376">
        <v>6.13</v>
      </c>
      <c r="AB22" s="3376">
        <v>6.13</v>
      </c>
      <c r="AC22" s="3376">
        <v>6.13</v>
      </c>
      <c r="AD22" s="3377">
        <v>6.13</v>
      </c>
      <c r="AE22" s="3377">
        <v>6.13</v>
      </c>
      <c r="AF22" s="3376">
        <v>6.13</v>
      </c>
      <c r="AG22" s="3376">
        <v>6.13</v>
      </c>
      <c r="AH22" s="3376">
        <v>6.13</v>
      </c>
      <c r="AI22" s="3376">
        <v>7.32</v>
      </c>
      <c r="AJ22" s="3376">
        <v>7.32</v>
      </c>
      <c r="AK22" s="3376">
        <v>6.13</v>
      </c>
      <c r="AL22" s="3376">
        <v>6.13</v>
      </c>
      <c r="AM22" s="3376">
        <v>7.32</v>
      </c>
      <c r="AN22" s="3407">
        <v>7.32</v>
      </c>
      <c r="AO22" s="3376">
        <v>6.13</v>
      </c>
      <c r="AP22" s="3353"/>
      <c r="AQ22" s="3353"/>
      <c r="AR22" s="3353"/>
      <c r="AS22" s="3353">
        <v>6.13</v>
      </c>
      <c r="AT22" s="3353">
        <v>6.13</v>
      </c>
      <c r="AU22" s="3353">
        <v>6.13</v>
      </c>
      <c r="AV22" s="3353">
        <v>6.13</v>
      </c>
      <c r="AW22" s="3353">
        <v>6.13</v>
      </c>
      <c r="AX22" s="3353"/>
      <c r="AY22" s="3353"/>
      <c r="AZ22" s="3353"/>
      <c r="BA22" s="3353"/>
      <c r="BB22" s="3353">
        <v>6.13</v>
      </c>
      <c r="BC22" s="3353"/>
      <c r="BD22" s="3353"/>
      <c r="BE22" s="3353"/>
      <c r="BF22" s="3353"/>
      <c r="BG22" s="3353"/>
      <c r="BH22" s="3353"/>
      <c r="BI22" s="3353"/>
      <c r="BJ22" s="3353"/>
    </row>
    <row r="23" spans="1:62" ht="12" customHeight="1" thickBot="1">
      <c r="A23" s="3394" t="s">
        <v>3324</v>
      </c>
      <c r="B23" s="3425" t="s">
        <v>3310</v>
      </c>
      <c r="C23" s="3376">
        <v>5.2</v>
      </c>
      <c r="D23" s="3376">
        <v>6.5</v>
      </c>
      <c r="E23" s="3376">
        <v>12</v>
      </c>
      <c r="F23" s="3376">
        <v>4.3</v>
      </c>
      <c r="G23" s="3376">
        <v>4</v>
      </c>
      <c r="H23" s="3376">
        <v>4.4000000000000004</v>
      </c>
      <c r="I23" s="3376">
        <v>5</v>
      </c>
      <c r="J23" s="3376">
        <v>2.4</v>
      </c>
      <c r="K23" s="3376">
        <v>5.6</v>
      </c>
      <c r="L23" s="3376">
        <v>2.8</v>
      </c>
      <c r="M23" s="3376">
        <v>6</v>
      </c>
      <c r="N23" s="3376">
        <v>3.7</v>
      </c>
      <c r="O23" s="3376">
        <v>2.6</v>
      </c>
      <c r="P23" s="3376">
        <v>2.5</v>
      </c>
      <c r="Q23" s="3376">
        <v>3.5</v>
      </c>
      <c r="R23" s="3376">
        <v>6.5</v>
      </c>
      <c r="S23" s="3376">
        <v>3</v>
      </c>
      <c r="T23" s="3376">
        <v>2</v>
      </c>
      <c r="U23" s="3376">
        <v>3</v>
      </c>
      <c r="V23" s="3376">
        <v>3</v>
      </c>
      <c r="W23" s="3376">
        <v>3.3</v>
      </c>
      <c r="X23" s="3376">
        <v>5</v>
      </c>
      <c r="Y23" s="3376">
        <v>5</v>
      </c>
      <c r="Z23" s="3376">
        <v>3.5</v>
      </c>
      <c r="AA23" s="3376">
        <v>3.5</v>
      </c>
      <c r="AB23" s="3376">
        <v>3.5</v>
      </c>
      <c r="AC23" s="3376">
        <v>4.4000000000000004</v>
      </c>
      <c r="AD23" s="3377">
        <v>3.7</v>
      </c>
      <c r="AE23" s="3377">
        <v>4</v>
      </c>
      <c r="AF23" s="3376">
        <v>2.7</v>
      </c>
      <c r="AG23" s="3376">
        <v>2.4</v>
      </c>
      <c r="AH23" s="3376">
        <v>3.4</v>
      </c>
      <c r="AI23" s="3376">
        <v>8.3000000000000007</v>
      </c>
      <c r="AJ23" s="3376">
        <v>3.1</v>
      </c>
      <c r="AK23" s="3376">
        <v>2.7</v>
      </c>
      <c r="AL23" s="3376">
        <v>3.3</v>
      </c>
      <c r="AM23" s="3376">
        <v>3.2</v>
      </c>
      <c r="AN23" s="3376">
        <v>3</v>
      </c>
      <c r="AO23" s="3376">
        <v>3.7</v>
      </c>
      <c r="AP23" s="3376">
        <v>2.6</v>
      </c>
      <c r="AQ23" s="3376">
        <v>3</v>
      </c>
      <c r="AR23" s="3376">
        <v>3.8</v>
      </c>
      <c r="AS23" s="3376">
        <v>2.8</v>
      </c>
      <c r="AT23" s="3376">
        <v>3</v>
      </c>
      <c r="AU23" s="3376">
        <v>2.5</v>
      </c>
      <c r="AV23" s="3376">
        <v>2.2999999999999998</v>
      </c>
      <c r="AW23" s="3376">
        <v>2.7</v>
      </c>
      <c r="AX23" s="3353"/>
      <c r="AY23" s="3353">
        <v>4.3</v>
      </c>
      <c r="AZ23" s="3353">
        <v>2.7</v>
      </c>
      <c r="BA23" s="3387">
        <v>3</v>
      </c>
      <c r="BB23" s="3387">
        <v>3</v>
      </c>
      <c r="BC23" s="3387">
        <v>3</v>
      </c>
      <c r="BD23" s="3353">
        <v>3.2</v>
      </c>
      <c r="BE23" s="3353">
        <v>3.3</v>
      </c>
      <c r="BF23" s="3387">
        <v>2.6</v>
      </c>
      <c r="BG23" s="3387">
        <v>2.2999999999999998</v>
      </c>
      <c r="BH23" s="3387">
        <v>2</v>
      </c>
      <c r="BI23" s="3387">
        <v>2</v>
      </c>
      <c r="BJ23" s="3353"/>
    </row>
    <row r="24" spans="1:62" ht="12" customHeight="1" thickBot="1">
      <c r="A24" s="3394" t="s">
        <v>3325</v>
      </c>
      <c r="B24" s="3414"/>
      <c r="C24" s="3415">
        <f t="shared" ref="C24:H24" si="12">1*IF(AND(C23&gt;0,C23&lt;4.5),VLOOKUP(C23,ZG,2),IF(C23&gt;4.5,ROUND(200%+(C23-4.5)*9%,3)))</f>
        <v>2.0630000000000002</v>
      </c>
      <c r="D24" s="3415">
        <f t="shared" si="12"/>
        <v>2.1800000000000002</v>
      </c>
      <c r="E24" s="3415">
        <f t="shared" si="12"/>
        <v>2.6749999999999998</v>
      </c>
      <c r="F24" s="3415">
        <f t="shared" si="12"/>
        <v>1.821</v>
      </c>
      <c r="G24" s="3415">
        <f t="shared" si="12"/>
        <v>1.5880000000000001</v>
      </c>
      <c r="H24" s="3415">
        <f t="shared" si="12"/>
        <v>1.91</v>
      </c>
      <c r="I24" s="3415">
        <f t="shared" ref="I24:AO24" si="13">1*IF(AND(I23&gt;0,I23&lt;4.5),VLOOKUP(I23,ZG,2),IF(I23&gt;4.5,ROUND(200%+(I23-4.5)*9%,3)))</f>
        <v>2.0449999999999999</v>
      </c>
      <c r="J24" s="3415">
        <f t="shared" si="13"/>
        <v>0.75800000000000001</v>
      </c>
      <c r="K24" s="3415">
        <f t="shared" si="13"/>
        <v>2.0990000000000002</v>
      </c>
      <c r="L24" s="3415">
        <f t="shared" si="13"/>
        <v>0.91200000000000003</v>
      </c>
      <c r="M24" s="3415">
        <f t="shared" si="13"/>
        <v>2.1349999999999998</v>
      </c>
      <c r="N24" s="3415">
        <f t="shared" si="13"/>
        <v>1.3819999999999999</v>
      </c>
      <c r="O24" s="3415">
        <f t="shared" si="13"/>
        <v>0.83099999999999996</v>
      </c>
      <c r="P24" s="3415">
        <f t="shared" si="13"/>
        <v>0.79400000000000004</v>
      </c>
      <c r="Q24" s="3415">
        <f t="shared" si="13"/>
        <v>1.26</v>
      </c>
      <c r="R24" s="3415">
        <f t="shared" si="13"/>
        <v>2.1800000000000002</v>
      </c>
      <c r="S24" s="3415">
        <f t="shared" si="13"/>
        <v>1</v>
      </c>
      <c r="T24" s="3415">
        <f t="shared" si="13"/>
        <v>0.63</v>
      </c>
      <c r="U24" s="3415">
        <f t="shared" si="13"/>
        <v>1</v>
      </c>
      <c r="V24" s="3415">
        <f t="shared" si="13"/>
        <v>1</v>
      </c>
      <c r="W24" s="3415">
        <f t="shared" si="13"/>
        <v>1.149</v>
      </c>
      <c r="X24" s="3415">
        <f t="shared" si="13"/>
        <v>2.0449999999999999</v>
      </c>
      <c r="Y24" s="3415">
        <f t="shared" si="13"/>
        <v>2.0449999999999999</v>
      </c>
      <c r="Z24" s="3415">
        <f t="shared" si="13"/>
        <v>1.26</v>
      </c>
      <c r="AA24" s="3415">
        <f t="shared" si="13"/>
        <v>1.26</v>
      </c>
      <c r="AB24" s="3415">
        <f t="shared" si="13"/>
        <v>1.26</v>
      </c>
      <c r="AC24" s="3415">
        <f t="shared" si="13"/>
        <v>1.91</v>
      </c>
      <c r="AD24" s="3416">
        <f t="shared" si="13"/>
        <v>1.3819999999999999</v>
      </c>
      <c r="AE24" s="3416">
        <f t="shared" si="13"/>
        <v>1.5880000000000001</v>
      </c>
      <c r="AF24" s="3415">
        <f t="shared" si="13"/>
        <v>0.871</v>
      </c>
      <c r="AG24" s="3415">
        <f t="shared" si="13"/>
        <v>0.75800000000000001</v>
      </c>
      <c r="AH24" s="3415">
        <f t="shared" si="13"/>
        <v>1.2030000000000001</v>
      </c>
      <c r="AI24" s="3415">
        <f t="shared" si="13"/>
        <v>2.3420000000000001</v>
      </c>
      <c r="AJ24" s="3415">
        <f t="shared" si="13"/>
        <v>1.0469999999999999</v>
      </c>
      <c r="AK24" s="3415">
        <f t="shared" si="13"/>
        <v>0.871</v>
      </c>
      <c r="AL24" s="3415">
        <f t="shared" si="13"/>
        <v>1.149</v>
      </c>
      <c r="AM24" s="3415">
        <f t="shared" si="13"/>
        <v>1.097</v>
      </c>
      <c r="AN24" s="3415">
        <f t="shared" si="13"/>
        <v>1</v>
      </c>
      <c r="AO24" s="3415">
        <f t="shared" si="13"/>
        <v>1.3819999999999999</v>
      </c>
      <c r="AP24" s="3415">
        <f t="shared" ref="AP24:BI24" si="14">1*IF(AND(AP23&gt;0,AP23&lt;4.5),VLOOKUP(AP23,ZG,2),IF(AP23&gt;4.5,ROUND(200%+(AP23-4.5)*9%,3)))</f>
        <v>0.83099999999999996</v>
      </c>
      <c r="AQ24" s="3415">
        <f t="shared" si="14"/>
        <v>1</v>
      </c>
      <c r="AR24" s="3415">
        <f t="shared" si="14"/>
        <v>1.4470000000000001</v>
      </c>
      <c r="AS24" s="3415">
        <f t="shared" si="14"/>
        <v>0.91200000000000003</v>
      </c>
      <c r="AT24" s="3415">
        <f t="shared" si="14"/>
        <v>1</v>
      </c>
      <c r="AU24" s="3415">
        <f t="shared" si="14"/>
        <v>0.79400000000000004</v>
      </c>
      <c r="AV24" s="3415">
        <f t="shared" si="14"/>
        <v>0.72399999999999998</v>
      </c>
      <c r="AW24" s="3415">
        <f t="shared" si="14"/>
        <v>0.871</v>
      </c>
      <c r="AX24" s="3415">
        <f t="shared" si="14"/>
        <v>0</v>
      </c>
      <c r="AY24" s="3415">
        <f t="shared" si="14"/>
        <v>1.821</v>
      </c>
      <c r="AZ24" s="3415">
        <f t="shared" si="14"/>
        <v>0.871</v>
      </c>
      <c r="BA24" s="3415">
        <f t="shared" si="14"/>
        <v>1</v>
      </c>
      <c r="BB24" s="3415">
        <f t="shared" si="14"/>
        <v>1</v>
      </c>
      <c r="BC24" s="3415">
        <f t="shared" si="14"/>
        <v>1</v>
      </c>
      <c r="BD24" s="3415">
        <f t="shared" si="14"/>
        <v>1.097</v>
      </c>
      <c r="BE24" s="3415">
        <f t="shared" si="14"/>
        <v>1.149</v>
      </c>
      <c r="BF24" s="3415">
        <f t="shared" si="14"/>
        <v>0.83099999999999996</v>
      </c>
      <c r="BG24" s="3415">
        <f t="shared" si="14"/>
        <v>0.72399999999999998</v>
      </c>
      <c r="BH24" s="3415">
        <f t="shared" si="14"/>
        <v>0.63</v>
      </c>
      <c r="BI24" s="3415">
        <f t="shared" si="14"/>
        <v>0.63</v>
      </c>
      <c r="BJ24" s="3353"/>
    </row>
    <row r="25" spans="1:62" ht="12" customHeight="1">
      <c r="A25" s="4276" t="s">
        <v>3326</v>
      </c>
      <c r="B25" s="3403" t="s">
        <v>3327</v>
      </c>
      <c r="C25" s="3381" t="s">
        <v>3328</v>
      </c>
      <c r="D25" s="3381"/>
      <c r="E25" s="3426"/>
      <c r="F25" s="3381" t="s">
        <v>3329</v>
      </c>
      <c r="G25" s="3381"/>
      <c r="H25" s="3381"/>
      <c r="I25" s="3381"/>
      <c r="J25" s="3381"/>
      <c r="K25" s="3381"/>
      <c r="L25" s="3381" t="s">
        <v>3328</v>
      </c>
      <c r="M25" s="3381"/>
      <c r="N25" s="3381" t="s">
        <v>3330</v>
      </c>
      <c r="O25" s="3381" t="s">
        <v>3328</v>
      </c>
      <c r="P25" s="3381"/>
      <c r="Q25" s="3381"/>
      <c r="R25" s="3381"/>
      <c r="S25" s="3381"/>
      <c r="T25" s="3381"/>
      <c r="U25" s="3381" t="s">
        <v>3328</v>
      </c>
      <c r="V25" s="3381"/>
      <c r="W25" s="3381"/>
      <c r="X25" s="3381"/>
      <c r="Y25" s="3381"/>
      <c r="Z25" s="3381"/>
      <c r="AA25" s="3381"/>
      <c r="AB25" s="3381"/>
      <c r="AC25" s="3381"/>
      <c r="AD25" s="3381" t="s">
        <v>3328</v>
      </c>
      <c r="AE25" s="3381" t="s">
        <v>3328</v>
      </c>
      <c r="AF25" s="3381"/>
      <c r="AG25" s="3381"/>
      <c r="AH25" s="3381"/>
      <c r="AI25" s="3381"/>
      <c r="AJ25" s="3381"/>
      <c r="AK25" s="3381"/>
      <c r="AL25" s="3381" t="s">
        <v>3328</v>
      </c>
      <c r="AM25" s="3381" t="s">
        <v>3328</v>
      </c>
      <c r="AN25" s="3381"/>
      <c r="AO25" s="3381" t="s">
        <v>3330</v>
      </c>
      <c r="AP25" s="3381"/>
      <c r="AQ25" s="3381" t="s">
        <v>3331</v>
      </c>
      <c r="AR25" s="3381"/>
      <c r="AS25" s="3381"/>
      <c r="AT25" s="3427" t="s">
        <v>3328</v>
      </c>
      <c r="AU25" s="3381"/>
      <c r="AV25" s="3381"/>
      <c r="AW25" s="3381"/>
      <c r="AX25" s="3381"/>
      <c r="AY25" s="3381"/>
      <c r="AZ25" s="3381"/>
      <c r="BA25" s="3381"/>
      <c r="BB25" s="3381"/>
      <c r="BC25" s="3381"/>
      <c r="BD25" s="3381"/>
      <c r="BE25" s="3381"/>
      <c r="BF25" s="3381"/>
      <c r="BG25" s="3381"/>
      <c r="BH25" s="3353"/>
      <c r="BI25" s="3353"/>
      <c r="BJ25" s="3353"/>
    </row>
    <row r="26" spans="1:62" ht="12" customHeight="1">
      <c r="A26" s="4276"/>
      <c r="B26" s="3403" t="s">
        <v>3332</v>
      </c>
      <c r="C26" s="3426">
        <v>1</v>
      </c>
      <c r="D26" s="3381"/>
      <c r="E26" s="3426"/>
      <c r="F26" s="3381">
        <v>1</v>
      </c>
      <c r="G26" s="3381"/>
      <c r="H26" s="3381"/>
      <c r="I26" s="3381"/>
      <c r="J26" s="3381"/>
      <c r="K26" s="3381"/>
      <c r="L26" s="3381">
        <v>1</v>
      </c>
      <c r="M26" s="3381"/>
      <c r="N26" s="3381">
        <v>4</v>
      </c>
      <c r="O26" s="3381">
        <v>1</v>
      </c>
      <c r="P26" s="3381"/>
      <c r="Q26" s="3381"/>
      <c r="R26" s="3381"/>
      <c r="S26" s="3381"/>
      <c r="T26" s="3381"/>
      <c r="U26" s="3381">
        <v>5</v>
      </c>
      <c r="V26" s="3381"/>
      <c r="W26" s="3381"/>
      <c r="X26" s="3381"/>
      <c r="Y26" s="3381"/>
      <c r="Z26" s="3381"/>
      <c r="AA26" s="3381"/>
      <c r="AB26" s="3381"/>
      <c r="AC26" s="3381"/>
      <c r="AD26" s="3428">
        <v>3</v>
      </c>
      <c r="AE26" s="3428">
        <v>3</v>
      </c>
      <c r="AF26" s="3381"/>
      <c r="AG26" s="3381"/>
      <c r="AH26" s="3381"/>
      <c r="AI26" s="3353"/>
      <c r="AJ26" s="3353"/>
      <c r="AK26" s="3353"/>
      <c r="AL26" s="3353">
        <v>9</v>
      </c>
      <c r="AM26" s="3353">
        <v>1</v>
      </c>
      <c r="AN26" s="3353"/>
      <c r="AO26" s="3353">
        <v>3</v>
      </c>
      <c r="AP26" s="3353"/>
      <c r="AQ26" s="3353">
        <v>3</v>
      </c>
      <c r="AR26" s="3353"/>
      <c r="AS26" s="3353"/>
      <c r="AT26" s="3353">
        <v>2</v>
      </c>
      <c r="AU26" s="3353"/>
      <c r="AV26" s="3353"/>
      <c r="AW26" s="3353"/>
      <c r="AX26" s="3353"/>
      <c r="AY26" s="3353"/>
      <c r="AZ26" s="3353"/>
      <c r="BA26" s="3353"/>
      <c r="BB26" s="3353"/>
      <c r="BC26" s="3353"/>
      <c r="BD26" s="3353"/>
      <c r="BE26" s="3353"/>
      <c r="BF26" s="3353"/>
      <c r="BG26" s="3353"/>
      <c r="BH26" s="3353"/>
      <c r="BI26" s="3353"/>
      <c r="BJ26" s="3353"/>
    </row>
    <row r="27" spans="1:62" ht="12" customHeight="1">
      <c r="A27" s="4276"/>
      <c r="B27" s="3403" t="s">
        <v>3333</v>
      </c>
      <c r="C27" s="3426">
        <f t="shared" ref="C27:H27" si="15">IF(C25=0,0,VLOOKUP(C25,GD,5,FALSE))</f>
        <v>1.2</v>
      </c>
      <c r="D27" s="3381">
        <f t="shared" si="15"/>
        <v>0</v>
      </c>
      <c r="E27" s="3381">
        <f t="shared" si="15"/>
        <v>0</v>
      </c>
      <c r="F27" s="3381">
        <f t="shared" si="15"/>
        <v>0.39</v>
      </c>
      <c r="G27" s="3381">
        <f t="shared" si="15"/>
        <v>0</v>
      </c>
      <c r="H27" s="3381">
        <f t="shared" si="15"/>
        <v>0</v>
      </c>
      <c r="I27" s="3381">
        <f t="shared" ref="I27:AO27" si="16">IF(I25=0,0,VLOOKUP(I25,GD,5,FALSE))</f>
        <v>0</v>
      </c>
      <c r="J27" s="3381">
        <f t="shared" si="16"/>
        <v>0</v>
      </c>
      <c r="K27" s="3381">
        <f t="shared" si="16"/>
        <v>0</v>
      </c>
      <c r="L27" s="3381">
        <f t="shared" si="16"/>
        <v>1.2</v>
      </c>
      <c r="M27" s="3381">
        <f t="shared" si="16"/>
        <v>0</v>
      </c>
      <c r="N27" s="3381">
        <f t="shared" si="16"/>
        <v>1.3</v>
      </c>
      <c r="O27" s="3381">
        <f t="shared" si="16"/>
        <v>1.2</v>
      </c>
      <c r="P27" s="3381">
        <f t="shared" si="16"/>
        <v>0</v>
      </c>
      <c r="Q27" s="3381">
        <f t="shared" si="16"/>
        <v>0</v>
      </c>
      <c r="R27" s="3381">
        <f t="shared" si="16"/>
        <v>0</v>
      </c>
      <c r="S27" s="3381">
        <f t="shared" si="16"/>
        <v>0</v>
      </c>
      <c r="T27" s="3381">
        <f t="shared" si="16"/>
        <v>0</v>
      </c>
      <c r="U27" s="3381">
        <f t="shared" si="16"/>
        <v>1.2</v>
      </c>
      <c r="V27" s="3381">
        <f t="shared" si="16"/>
        <v>0</v>
      </c>
      <c r="W27" s="3381">
        <f t="shared" si="16"/>
        <v>0</v>
      </c>
      <c r="X27" s="3381">
        <f t="shared" si="16"/>
        <v>0</v>
      </c>
      <c r="Y27" s="3381">
        <f t="shared" si="16"/>
        <v>0</v>
      </c>
      <c r="Z27" s="3381">
        <f t="shared" si="16"/>
        <v>0</v>
      </c>
      <c r="AA27" s="3381">
        <f t="shared" si="16"/>
        <v>0</v>
      </c>
      <c r="AB27" s="3381">
        <f t="shared" si="16"/>
        <v>0</v>
      </c>
      <c r="AC27" s="3381">
        <f t="shared" si="16"/>
        <v>0</v>
      </c>
      <c r="AD27" s="3428">
        <f t="shared" si="16"/>
        <v>1.2</v>
      </c>
      <c r="AE27" s="3428">
        <f>AD27</f>
        <v>1.2</v>
      </c>
      <c r="AF27" s="3381">
        <f t="shared" si="16"/>
        <v>0</v>
      </c>
      <c r="AG27" s="3381">
        <f t="shared" si="16"/>
        <v>0</v>
      </c>
      <c r="AH27" s="3381">
        <f t="shared" si="16"/>
        <v>0</v>
      </c>
      <c r="AI27" s="3381">
        <f t="shared" si="16"/>
        <v>0</v>
      </c>
      <c r="AJ27" s="3381">
        <f t="shared" si="16"/>
        <v>0</v>
      </c>
      <c r="AK27" s="3381">
        <f t="shared" si="16"/>
        <v>0</v>
      </c>
      <c r="AL27" s="3381">
        <f t="shared" si="16"/>
        <v>1.2</v>
      </c>
      <c r="AM27" s="3381">
        <f t="shared" si="16"/>
        <v>1.2</v>
      </c>
      <c r="AN27" s="3381">
        <f t="shared" si="16"/>
        <v>0</v>
      </c>
      <c r="AO27" s="3381">
        <f t="shared" si="16"/>
        <v>1.3</v>
      </c>
      <c r="AP27" s="3381">
        <f t="shared" ref="AP27:BG27" si="17">IF(AP25=0,0,VLOOKUP(AP25,GD,5,FALSE))</f>
        <v>0</v>
      </c>
      <c r="AQ27" s="3381">
        <f t="shared" si="17"/>
        <v>0.53</v>
      </c>
      <c r="AR27" s="3381">
        <f t="shared" si="17"/>
        <v>0</v>
      </c>
      <c r="AS27" s="3381">
        <f t="shared" si="17"/>
        <v>0</v>
      </c>
      <c r="AT27" s="3381">
        <f t="shared" si="17"/>
        <v>1.2</v>
      </c>
      <c r="AU27" s="3381">
        <f t="shared" si="17"/>
        <v>0</v>
      </c>
      <c r="AV27" s="3381">
        <f t="shared" si="17"/>
        <v>0</v>
      </c>
      <c r="AW27" s="3381">
        <f t="shared" si="17"/>
        <v>0</v>
      </c>
      <c r="AX27" s="3381">
        <f t="shared" si="17"/>
        <v>0</v>
      </c>
      <c r="AY27" s="3381">
        <f t="shared" si="17"/>
        <v>0</v>
      </c>
      <c r="AZ27" s="3381">
        <f t="shared" si="17"/>
        <v>0</v>
      </c>
      <c r="BA27" s="3381">
        <f t="shared" si="17"/>
        <v>0</v>
      </c>
      <c r="BB27" s="3381">
        <f t="shared" si="17"/>
        <v>0</v>
      </c>
      <c r="BC27" s="3381">
        <f t="shared" si="17"/>
        <v>0</v>
      </c>
      <c r="BD27" s="3381">
        <f t="shared" si="17"/>
        <v>0</v>
      </c>
      <c r="BE27" s="3381">
        <f t="shared" si="17"/>
        <v>0</v>
      </c>
      <c r="BF27" s="3381">
        <f t="shared" si="17"/>
        <v>0</v>
      </c>
      <c r="BG27" s="3381">
        <f t="shared" si="17"/>
        <v>0</v>
      </c>
      <c r="BH27" s="3353"/>
      <c r="BI27" s="3353"/>
      <c r="BJ27" s="3353"/>
    </row>
    <row r="28" spans="1:62" ht="12" customHeight="1">
      <c r="A28" s="3402" t="s">
        <v>3334</v>
      </c>
      <c r="B28" s="3425" t="s">
        <v>3335</v>
      </c>
      <c r="C28" s="3376">
        <v>7.2</v>
      </c>
      <c r="D28" s="3376">
        <f>C28</f>
        <v>7.2</v>
      </c>
      <c r="E28" s="3376">
        <f>C28</f>
        <v>7.2</v>
      </c>
      <c r="F28" s="3376">
        <v>6.5</v>
      </c>
      <c r="G28" s="3376">
        <f>F28</f>
        <v>6.5</v>
      </c>
      <c r="H28" s="3376">
        <f>G28</f>
        <v>6.5</v>
      </c>
      <c r="I28" s="3376">
        <f>E28</f>
        <v>7.2</v>
      </c>
      <c r="J28" s="3376">
        <f t="shared" ref="J28:T28" si="18">I28</f>
        <v>7.2</v>
      </c>
      <c r="K28" s="3376">
        <f t="shared" si="18"/>
        <v>7.2</v>
      </c>
      <c r="L28" s="3376">
        <f t="shared" si="18"/>
        <v>7.2</v>
      </c>
      <c r="M28" s="3376">
        <f t="shared" si="18"/>
        <v>7.2</v>
      </c>
      <c r="N28" s="3376">
        <f t="shared" si="18"/>
        <v>7.2</v>
      </c>
      <c r="O28" s="3376">
        <f t="shared" si="18"/>
        <v>7.2</v>
      </c>
      <c r="P28" s="3376">
        <f t="shared" si="18"/>
        <v>7.2</v>
      </c>
      <c r="Q28" s="3376">
        <f t="shared" si="18"/>
        <v>7.2</v>
      </c>
      <c r="R28" s="3376">
        <f t="shared" si="18"/>
        <v>7.2</v>
      </c>
      <c r="S28" s="3376">
        <f t="shared" si="18"/>
        <v>7.2</v>
      </c>
      <c r="T28" s="3376">
        <f t="shared" si="18"/>
        <v>7.2</v>
      </c>
      <c r="U28" s="3376">
        <f>F28</f>
        <v>6.5</v>
      </c>
      <c r="V28" s="3376">
        <f>T28</f>
        <v>7.2</v>
      </c>
      <c r="W28" s="3376">
        <f t="shared" ref="W28:AC28" si="19">V28</f>
        <v>7.2</v>
      </c>
      <c r="X28" s="3376">
        <f t="shared" si="19"/>
        <v>7.2</v>
      </c>
      <c r="Y28" s="3376">
        <f t="shared" si="19"/>
        <v>7.2</v>
      </c>
      <c r="Z28" s="3376">
        <f t="shared" si="19"/>
        <v>7.2</v>
      </c>
      <c r="AA28" s="3376">
        <f t="shared" si="19"/>
        <v>7.2</v>
      </c>
      <c r="AB28" s="3376">
        <f t="shared" si="19"/>
        <v>7.2</v>
      </c>
      <c r="AC28" s="3376">
        <f t="shared" si="19"/>
        <v>7.2</v>
      </c>
      <c r="AD28" s="3377">
        <v>7.5</v>
      </c>
      <c r="AE28" s="3377">
        <f>AC28</f>
        <v>7.2</v>
      </c>
      <c r="AF28" s="3376">
        <f>AC28</f>
        <v>7.2</v>
      </c>
      <c r="AG28" s="3376">
        <f t="shared" ref="AG28:AO28" si="20">AF28</f>
        <v>7.2</v>
      </c>
      <c r="AH28" s="3376">
        <f t="shared" si="20"/>
        <v>7.2</v>
      </c>
      <c r="AI28" s="3376">
        <f t="shared" si="20"/>
        <v>7.2</v>
      </c>
      <c r="AJ28" s="3376">
        <f t="shared" si="20"/>
        <v>7.2</v>
      </c>
      <c r="AK28" s="3376">
        <f t="shared" si="20"/>
        <v>7.2</v>
      </c>
      <c r="AL28" s="3376">
        <f t="shared" si="20"/>
        <v>7.2</v>
      </c>
      <c r="AM28" s="3376">
        <f t="shared" si="20"/>
        <v>7.2</v>
      </c>
      <c r="AN28" s="3376">
        <f t="shared" si="20"/>
        <v>7.2</v>
      </c>
      <c r="AO28" s="3376">
        <f t="shared" si="20"/>
        <v>7.2</v>
      </c>
      <c r="AP28" s="3376">
        <f>U28</f>
        <v>6.5</v>
      </c>
      <c r="AQ28" s="3376">
        <f>AP28</f>
        <v>6.5</v>
      </c>
      <c r="AR28" s="3376">
        <f>AO28</f>
        <v>7.2</v>
      </c>
      <c r="AS28" s="3376">
        <f>AR28</f>
        <v>7.2</v>
      </c>
      <c r="AT28" s="3376">
        <f>AR28</f>
        <v>7.2</v>
      </c>
      <c r="AU28" s="3376">
        <f>AR28</f>
        <v>7.2</v>
      </c>
      <c r="AV28" s="3376">
        <f>AQ28</f>
        <v>6.5</v>
      </c>
      <c r="AW28" s="3376">
        <f>AQ28</f>
        <v>6.5</v>
      </c>
      <c r="AX28" s="3376">
        <f>AQ28</f>
        <v>6.5</v>
      </c>
      <c r="AY28" s="3376">
        <f>AQ28</f>
        <v>6.5</v>
      </c>
      <c r="AZ28" s="3376">
        <f>AQ28</f>
        <v>6.5</v>
      </c>
      <c r="BA28" s="3376">
        <f>AZ28</f>
        <v>6.5</v>
      </c>
      <c r="BB28" s="3376">
        <f>BA28</f>
        <v>6.5</v>
      </c>
      <c r="BC28" s="3376">
        <f>BB28</f>
        <v>6.5</v>
      </c>
      <c r="BD28" s="3376">
        <f>BB28</f>
        <v>6.5</v>
      </c>
      <c r="BE28" s="3376">
        <f>BB28</f>
        <v>6.5</v>
      </c>
      <c r="BF28" s="3376">
        <f>BE28</f>
        <v>6.5</v>
      </c>
      <c r="BG28" s="3376">
        <f>BF28</f>
        <v>6.5</v>
      </c>
      <c r="BH28" s="3376">
        <f>BG28</f>
        <v>6.5</v>
      </c>
      <c r="BI28" s="3376">
        <f>BG28</f>
        <v>6.5</v>
      </c>
      <c r="BJ28" s="3353"/>
    </row>
    <row r="29" spans="1:62" ht="12" customHeight="1">
      <c r="A29" s="3388" t="s">
        <v>3336</v>
      </c>
      <c r="B29" s="3429"/>
      <c r="C29" s="3396">
        <f t="shared" ref="C29:BI29" si="21">IF(OR(C12=0,C12="砼屋面"),C28/10,IF(C12="瓦房",VLOOKUP(C28,CX,2),IF(C12="灰瓦房(其他房)",VLOOKUP(C28,CX,3),IF(C12="灰房",VLOOKUP(C28,CX,4)))))</f>
        <v>0.72</v>
      </c>
      <c r="D29" s="3396">
        <f t="shared" si="21"/>
        <v>0.72</v>
      </c>
      <c r="E29" s="3396">
        <f t="shared" si="21"/>
        <v>0.72</v>
      </c>
      <c r="F29" s="3396">
        <f t="shared" si="21"/>
        <v>0.65</v>
      </c>
      <c r="G29" s="3396">
        <f t="shared" si="21"/>
        <v>0.65</v>
      </c>
      <c r="H29" s="3396">
        <f t="shared" si="21"/>
        <v>0.65</v>
      </c>
      <c r="I29" s="3396">
        <f t="shared" si="21"/>
        <v>0.72</v>
      </c>
      <c r="J29" s="3396">
        <f t="shared" si="21"/>
        <v>0.72</v>
      </c>
      <c r="K29" s="3396">
        <f t="shared" si="21"/>
        <v>0.72</v>
      </c>
      <c r="L29" s="3396">
        <f t="shared" si="21"/>
        <v>0.72</v>
      </c>
      <c r="M29" s="3396">
        <f t="shared" si="21"/>
        <v>0.72</v>
      </c>
      <c r="N29" s="3396">
        <f t="shared" si="21"/>
        <v>0.72</v>
      </c>
      <c r="O29" s="3396">
        <f t="shared" si="21"/>
        <v>0.72</v>
      </c>
      <c r="P29" s="3396">
        <f t="shared" si="21"/>
        <v>0.72</v>
      </c>
      <c r="Q29" s="3396">
        <f t="shared" si="21"/>
        <v>0.72</v>
      </c>
      <c r="R29" s="3396">
        <f t="shared" si="21"/>
        <v>0.72</v>
      </c>
      <c r="S29" s="3396">
        <f t="shared" si="21"/>
        <v>0.72</v>
      </c>
      <c r="T29" s="3396">
        <f t="shared" si="21"/>
        <v>0.72</v>
      </c>
      <c r="U29" s="3396">
        <f t="shared" si="21"/>
        <v>0.65</v>
      </c>
      <c r="V29" s="3396">
        <f t="shared" si="21"/>
        <v>0.72</v>
      </c>
      <c r="W29" s="3396">
        <f t="shared" si="21"/>
        <v>0.72</v>
      </c>
      <c r="X29" s="3396">
        <f t="shared" si="21"/>
        <v>0.72</v>
      </c>
      <c r="Y29" s="3396">
        <f t="shared" si="21"/>
        <v>0.72</v>
      </c>
      <c r="Z29" s="3396">
        <f t="shared" si="21"/>
        <v>0.72</v>
      </c>
      <c r="AA29" s="3396">
        <f t="shared" si="21"/>
        <v>0.72</v>
      </c>
      <c r="AB29" s="3396">
        <f t="shared" si="21"/>
        <v>0.72</v>
      </c>
      <c r="AC29" s="3396">
        <f t="shared" si="21"/>
        <v>0.72</v>
      </c>
      <c r="AD29" s="3397">
        <f t="shared" si="21"/>
        <v>0.75</v>
      </c>
      <c r="AE29" s="3397">
        <f t="shared" si="21"/>
        <v>0.72</v>
      </c>
      <c r="AF29" s="3396">
        <f t="shared" si="21"/>
        <v>0.72</v>
      </c>
      <c r="AG29" s="3396">
        <f t="shared" si="21"/>
        <v>0.72</v>
      </c>
      <c r="AH29" s="3396">
        <f t="shared" si="21"/>
        <v>0.72</v>
      </c>
      <c r="AI29" s="3396">
        <f t="shared" si="21"/>
        <v>0.72</v>
      </c>
      <c r="AJ29" s="3396">
        <f t="shared" si="21"/>
        <v>0.72</v>
      </c>
      <c r="AK29" s="3396">
        <f t="shared" si="21"/>
        <v>0.72</v>
      </c>
      <c r="AL29" s="3396">
        <f t="shared" si="21"/>
        <v>0.72</v>
      </c>
      <c r="AM29" s="3396">
        <f t="shared" si="21"/>
        <v>0.72</v>
      </c>
      <c r="AN29" s="3396">
        <f t="shared" si="21"/>
        <v>0.72</v>
      </c>
      <c r="AO29" s="3396">
        <f t="shared" si="21"/>
        <v>0.72</v>
      </c>
      <c r="AP29" s="3396">
        <f t="shared" si="21"/>
        <v>0.65</v>
      </c>
      <c r="AQ29" s="3396">
        <f t="shared" si="21"/>
        <v>0.65</v>
      </c>
      <c r="AR29" s="3396">
        <f t="shared" si="21"/>
        <v>0.72</v>
      </c>
      <c r="AS29" s="3396">
        <f t="shared" si="21"/>
        <v>0.72</v>
      </c>
      <c r="AT29" s="3396">
        <f t="shared" si="21"/>
        <v>0.72</v>
      </c>
      <c r="AU29" s="3396">
        <f t="shared" si="21"/>
        <v>0.72</v>
      </c>
      <c r="AV29" s="3396">
        <f t="shared" si="21"/>
        <v>0.65</v>
      </c>
      <c r="AW29" s="3396">
        <f t="shared" si="21"/>
        <v>0.65</v>
      </c>
      <c r="AX29" s="3396">
        <f t="shared" si="21"/>
        <v>0.65</v>
      </c>
      <c r="AY29" s="3396">
        <f t="shared" si="21"/>
        <v>0.65</v>
      </c>
      <c r="AZ29" s="3396">
        <f t="shared" si="21"/>
        <v>0.65</v>
      </c>
      <c r="BA29" s="3396">
        <f t="shared" si="21"/>
        <v>0.65</v>
      </c>
      <c r="BB29" s="3396">
        <f t="shared" si="21"/>
        <v>0.65</v>
      </c>
      <c r="BC29" s="3396">
        <f t="shared" si="21"/>
        <v>0.65</v>
      </c>
      <c r="BD29" s="3396">
        <f t="shared" si="21"/>
        <v>0.65</v>
      </c>
      <c r="BE29" s="3396">
        <f t="shared" si="21"/>
        <v>0.65</v>
      </c>
      <c r="BF29" s="3396">
        <f t="shared" si="21"/>
        <v>0.65</v>
      </c>
      <c r="BG29" s="3396">
        <f t="shared" si="21"/>
        <v>0.65</v>
      </c>
      <c r="BH29" s="3396">
        <f t="shared" si="21"/>
        <v>0.65</v>
      </c>
      <c r="BI29" s="3396">
        <f t="shared" si="21"/>
        <v>0.65</v>
      </c>
      <c r="BJ29" s="3353" t="s">
        <v>3337</v>
      </c>
    </row>
    <row r="30" spans="1:62" ht="12" customHeight="1" thickBot="1">
      <c r="A30" s="3402" t="s">
        <v>3338</v>
      </c>
      <c r="B30" s="3430">
        <f>SUM(C30:AW30)</f>
        <v>8052136</v>
      </c>
      <c r="C30" s="3431">
        <f t="shared" ref="C30:BI30" si="22">ROUND(IF(C8=0,0,((C13+C14+C16+C15+(C21+C22)*C24)*C10*C29)*$E$1*$F$1+(C26*C5*C23)*$F$1*C27*C29),0)</f>
        <v>267508</v>
      </c>
      <c r="D30" s="3431">
        <f t="shared" si="22"/>
        <v>56630</v>
      </c>
      <c r="E30" s="3431">
        <f t="shared" si="22"/>
        <v>3402523</v>
      </c>
      <c r="F30" s="3431">
        <f t="shared" si="22"/>
        <v>46239</v>
      </c>
      <c r="G30" s="3431">
        <f t="shared" si="22"/>
        <v>49316</v>
      </c>
      <c r="H30" s="3431">
        <f t="shared" si="22"/>
        <v>20833</v>
      </c>
      <c r="I30" s="3431">
        <f t="shared" si="22"/>
        <v>100624</v>
      </c>
      <c r="J30" s="3431">
        <f t="shared" si="22"/>
        <v>8725</v>
      </c>
      <c r="K30" s="3431">
        <f t="shared" si="22"/>
        <v>46776</v>
      </c>
      <c r="L30" s="3431">
        <f t="shared" si="22"/>
        <v>21297</v>
      </c>
      <c r="M30" s="3431">
        <f t="shared" si="22"/>
        <v>26412</v>
      </c>
      <c r="N30" s="3431">
        <f t="shared" si="22"/>
        <v>146951</v>
      </c>
      <c r="O30" s="3431">
        <f t="shared" si="22"/>
        <v>57623</v>
      </c>
      <c r="P30" s="3431">
        <f t="shared" si="22"/>
        <v>39016</v>
      </c>
      <c r="Q30" s="3431">
        <f t="shared" si="22"/>
        <v>43743</v>
      </c>
      <c r="R30" s="3431">
        <f t="shared" si="22"/>
        <v>275054</v>
      </c>
      <c r="S30" s="3431">
        <f t="shared" si="22"/>
        <v>15718</v>
      </c>
      <c r="T30" s="3431">
        <f t="shared" si="22"/>
        <v>17600</v>
      </c>
      <c r="U30" s="3431">
        <f t="shared" si="22"/>
        <v>138214</v>
      </c>
      <c r="V30" s="3431">
        <f t="shared" si="22"/>
        <v>50286</v>
      </c>
      <c r="W30" s="3431">
        <f t="shared" si="22"/>
        <v>81999</v>
      </c>
      <c r="X30" s="3431">
        <f t="shared" si="22"/>
        <v>28388</v>
      </c>
      <c r="Y30" s="3431">
        <f t="shared" si="22"/>
        <v>616133</v>
      </c>
      <c r="Z30" s="3431">
        <f t="shared" si="22"/>
        <v>71477</v>
      </c>
      <c r="AA30" s="3431">
        <f t="shared" si="22"/>
        <v>2039</v>
      </c>
      <c r="AB30" s="3431">
        <f t="shared" si="22"/>
        <v>57833</v>
      </c>
      <c r="AC30" s="3431">
        <f t="shared" si="22"/>
        <v>57727</v>
      </c>
      <c r="AD30" s="3432">
        <f t="shared" si="22"/>
        <v>183831</v>
      </c>
      <c r="AE30" s="3432">
        <f t="shared" si="22"/>
        <v>188154</v>
      </c>
      <c r="AF30" s="3431">
        <f t="shared" si="22"/>
        <v>23056</v>
      </c>
      <c r="AG30" s="3431">
        <f t="shared" si="22"/>
        <v>38264</v>
      </c>
      <c r="AH30" s="3431">
        <f t="shared" si="22"/>
        <v>77237</v>
      </c>
      <c r="AI30" s="3431">
        <f t="shared" si="22"/>
        <v>763231</v>
      </c>
      <c r="AJ30" s="3431">
        <f t="shared" si="22"/>
        <v>103863</v>
      </c>
      <c r="AK30" s="3431">
        <f t="shared" si="22"/>
        <v>13687</v>
      </c>
      <c r="AL30" s="3431">
        <f t="shared" si="22"/>
        <v>194163</v>
      </c>
      <c r="AM30" s="3431">
        <f t="shared" si="22"/>
        <v>175864</v>
      </c>
      <c r="AN30" s="3431">
        <f t="shared" si="22"/>
        <v>5040</v>
      </c>
      <c r="AO30" s="3431">
        <f t="shared" si="22"/>
        <v>91953</v>
      </c>
      <c r="AP30" s="3431">
        <f t="shared" si="22"/>
        <v>15763</v>
      </c>
      <c r="AQ30" s="3431">
        <f t="shared" si="22"/>
        <v>47968</v>
      </c>
      <c r="AR30" s="3431">
        <f t="shared" si="22"/>
        <v>255247</v>
      </c>
      <c r="AS30" s="3431">
        <f t="shared" si="22"/>
        <v>16722</v>
      </c>
      <c r="AT30" s="3431">
        <f t="shared" si="22"/>
        <v>52293</v>
      </c>
      <c r="AU30" s="3431">
        <f t="shared" si="22"/>
        <v>15635</v>
      </c>
      <c r="AV30" s="3431">
        <f t="shared" si="22"/>
        <v>25819</v>
      </c>
      <c r="AW30" s="3431">
        <f t="shared" si="22"/>
        <v>17662</v>
      </c>
      <c r="AX30" s="3431">
        <f t="shared" si="22"/>
        <v>0</v>
      </c>
      <c r="AY30" s="3431">
        <f t="shared" si="22"/>
        <v>56447</v>
      </c>
      <c r="AZ30" s="3431">
        <f t="shared" si="22"/>
        <v>24490</v>
      </c>
      <c r="BA30" s="3431">
        <f t="shared" si="22"/>
        <v>35650</v>
      </c>
      <c r="BB30" s="3431">
        <f t="shared" si="22"/>
        <v>1718</v>
      </c>
      <c r="BC30" s="3431">
        <f t="shared" si="22"/>
        <v>2771</v>
      </c>
      <c r="BD30" s="3431">
        <f t="shared" si="22"/>
        <v>23252</v>
      </c>
      <c r="BE30" s="3431">
        <f t="shared" si="22"/>
        <v>15990</v>
      </c>
      <c r="BF30" s="3431">
        <f t="shared" si="22"/>
        <v>0</v>
      </c>
      <c r="BG30" s="3431">
        <f t="shared" si="22"/>
        <v>16972</v>
      </c>
      <c r="BH30" s="3432">
        <f t="shared" si="22"/>
        <v>15039</v>
      </c>
      <c r="BI30" s="3432">
        <f t="shared" si="22"/>
        <v>15039</v>
      </c>
      <c r="BJ30" s="3433">
        <f>BH30+BI30</f>
        <v>30078</v>
      </c>
    </row>
    <row r="31" spans="1:62" s="3437" customFormat="1" ht="12" customHeight="1" thickBot="1">
      <c r="A31" s="3434" t="s">
        <v>3339</v>
      </c>
      <c r="B31" s="3430">
        <f>SUM(C31:AW31)</f>
        <v>7636486</v>
      </c>
      <c r="C31" s="3435">
        <v>221553</v>
      </c>
      <c r="D31" s="3435">
        <v>77303</v>
      </c>
      <c r="E31" s="3435">
        <v>3784040</v>
      </c>
      <c r="F31" s="3435">
        <v>56530</v>
      </c>
      <c r="G31" s="3435">
        <v>47313</v>
      </c>
      <c r="H31" s="3435">
        <v>18209</v>
      </c>
      <c r="I31" s="3435">
        <v>92759</v>
      </c>
      <c r="J31" s="3435">
        <v>8023</v>
      </c>
      <c r="K31" s="3435">
        <v>47412</v>
      </c>
      <c r="L31" s="3435">
        <v>17218</v>
      </c>
      <c r="M31" s="3435">
        <v>12349</v>
      </c>
      <c r="N31" s="3435">
        <v>49701</v>
      </c>
      <c r="O31" s="3435">
        <v>51420</v>
      </c>
      <c r="P31" s="3435">
        <v>40966</v>
      </c>
      <c r="Q31" s="3435">
        <v>43721</v>
      </c>
      <c r="R31" s="3435">
        <v>184330</v>
      </c>
      <c r="S31" s="3435">
        <v>16481</v>
      </c>
      <c r="T31" s="3435">
        <v>10439</v>
      </c>
      <c r="U31" s="3435">
        <v>104630</v>
      </c>
      <c r="V31" s="3435">
        <v>56385</v>
      </c>
      <c r="W31" s="3435">
        <v>45576</v>
      </c>
      <c r="X31" s="3435">
        <v>17178</v>
      </c>
      <c r="Y31" s="3435">
        <v>412172</v>
      </c>
      <c r="Z31" s="3435">
        <v>49322</v>
      </c>
      <c r="AA31" s="3435">
        <v>3052</v>
      </c>
      <c r="AB31" s="3435">
        <v>51210</v>
      </c>
      <c r="AC31" s="3435">
        <v>34489</v>
      </c>
      <c r="AD31" s="3436">
        <v>341096</v>
      </c>
      <c r="AE31" s="3436"/>
      <c r="AF31" s="3435">
        <v>27531</v>
      </c>
      <c r="AG31" s="3435">
        <v>46748</v>
      </c>
      <c r="AH31" s="3435">
        <v>59597</v>
      </c>
      <c r="AI31" s="3435">
        <v>731851</v>
      </c>
      <c r="AJ31" s="3435">
        <v>104553</v>
      </c>
      <c r="AK31" s="3435">
        <v>12139</v>
      </c>
      <c r="AL31" s="3435">
        <v>117738</v>
      </c>
      <c r="AM31" s="3435">
        <v>151536</v>
      </c>
      <c r="AN31" s="3435">
        <v>5804</v>
      </c>
      <c r="AO31" s="3435">
        <v>56505</v>
      </c>
      <c r="AP31" s="3435">
        <v>16542</v>
      </c>
      <c r="AQ31" s="3435">
        <v>32131</v>
      </c>
      <c r="AR31" s="3435">
        <v>267311</v>
      </c>
      <c r="AS31" s="3435">
        <v>15833</v>
      </c>
      <c r="AT31" s="3435">
        <v>41867</v>
      </c>
      <c r="AU31" s="3435">
        <v>14040</v>
      </c>
      <c r="AV31" s="3435">
        <v>24445</v>
      </c>
      <c r="AW31" s="3435">
        <v>15438</v>
      </c>
      <c r="AX31" s="3435"/>
      <c r="AY31" s="3435"/>
      <c r="AZ31" s="3435"/>
      <c r="BA31" s="3435"/>
      <c r="BB31" s="3435"/>
      <c r="BC31" s="3435"/>
      <c r="BD31" s="3435"/>
      <c r="BE31" s="3435"/>
      <c r="BF31" s="3435"/>
      <c r="BG31" s="3435"/>
    </row>
    <row r="32" spans="1:62" ht="12" customHeight="1" thickBot="1">
      <c r="A32" s="3438" t="s">
        <v>3340</v>
      </c>
      <c r="B32" s="3439">
        <f t="shared" ref="B32:BI32" si="23">ROUND(B30/B8,2)</f>
        <v>934.79</v>
      </c>
      <c r="C32" s="3440">
        <f t="shared" si="23"/>
        <v>796.96</v>
      </c>
      <c r="D32" s="3440">
        <f t="shared" si="23"/>
        <v>782.61</v>
      </c>
      <c r="E32" s="3440">
        <f t="shared" si="23"/>
        <v>1265.43</v>
      </c>
      <c r="F32" s="3440">
        <f t="shared" si="23"/>
        <v>1183.49</v>
      </c>
      <c r="G32" s="3440">
        <f t="shared" si="23"/>
        <v>662.76</v>
      </c>
      <c r="H32" s="3440">
        <f t="shared" si="23"/>
        <v>477.49</v>
      </c>
      <c r="I32" s="3440">
        <f t="shared" si="23"/>
        <v>747.19</v>
      </c>
      <c r="J32" s="3440">
        <f t="shared" si="23"/>
        <v>344.32</v>
      </c>
      <c r="K32" s="3440">
        <f t="shared" si="23"/>
        <v>1025.1199999999999</v>
      </c>
      <c r="L32" s="3440">
        <f t="shared" si="23"/>
        <v>702.87</v>
      </c>
      <c r="M32" s="3440">
        <f t="shared" si="23"/>
        <v>975.69</v>
      </c>
      <c r="N32" s="3440">
        <f t="shared" si="23"/>
        <v>1528.83</v>
      </c>
      <c r="O32" s="3440">
        <f t="shared" si="23"/>
        <v>923.3</v>
      </c>
      <c r="P32" s="3440">
        <f t="shared" si="23"/>
        <v>868.76</v>
      </c>
      <c r="Q32" s="3440">
        <f t="shared" si="23"/>
        <v>817.32</v>
      </c>
      <c r="R32" s="3440">
        <f t="shared" si="23"/>
        <v>1383.22</v>
      </c>
      <c r="S32" s="3440">
        <f t="shared" si="23"/>
        <v>772.38</v>
      </c>
      <c r="T32" s="3440">
        <f t="shared" si="23"/>
        <v>576.48</v>
      </c>
      <c r="U32" s="3440">
        <f t="shared" si="23"/>
        <v>904.07</v>
      </c>
      <c r="V32" s="3440">
        <f t="shared" si="23"/>
        <v>750.87</v>
      </c>
      <c r="W32" s="3440">
        <f t="shared" si="23"/>
        <v>688.2</v>
      </c>
      <c r="X32" s="3440">
        <f t="shared" si="23"/>
        <v>363.9</v>
      </c>
      <c r="Y32" s="3440">
        <f t="shared" si="23"/>
        <v>1149.05</v>
      </c>
      <c r="Z32" s="3440">
        <f t="shared" si="23"/>
        <v>942.97</v>
      </c>
      <c r="AA32" s="3440">
        <f t="shared" si="23"/>
        <v>805.93</v>
      </c>
      <c r="AB32" s="3440">
        <f t="shared" si="23"/>
        <v>840.96</v>
      </c>
      <c r="AC32" s="3440">
        <f t="shared" si="23"/>
        <v>1476.77</v>
      </c>
      <c r="AD32" s="3441">
        <f t="shared" si="23"/>
        <v>1390.34</v>
      </c>
      <c r="AE32" s="3441">
        <f t="shared" si="23"/>
        <v>1423.04</v>
      </c>
      <c r="AF32" s="3440">
        <f t="shared" si="23"/>
        <v>699.94</v>
      </c>
      <c r="AG32" s="3440">
        <f t="shared" si="23"/>
        <v>626.25</v>
      </c>
      <c r="AH32" s="3440">
        <f t="shared" si="23"/>
        <v>518.86</v>
      </c>
      <c r="AI32" s="3440">
        <f t="shared" si="23"/>
        <v>1010.21</v>
      </c>
      <c r="AJ32" s="3440">
        <f t="shared" si="23"/>
        <v>732.93</v>
      </c>
      <c r="AK32" s="3440">
        <f t="shared" si="23"/>
        <v>922.3</v>
      </c>
      <c r="AL32" s="3440">
        <f t="shared" si="23"/>
        <v>1018.27</v>
      </c>
      <c r="AM32" s="3440">
        <f t="shared" si="23"/>
        <v>706.42</v>
      </c>
      <c r="AN32" s="3440">
        <f t="shared" si="23"/>
        <v>659.69</v>
      </c>
      <c r="AO32" s="3440">
        <f t="shared" si="23"/>
        <v>880.52</v>
      </c>
      <c r="AP32" s="3440">
        <f t="shared" si="23"/>
        <v>691.06</v>
      </c>
      <c r="AQ32" s="3440">
        <f t="shared" si="23"/>
        <v>585.04999999999995</v>
      </c>
      <c r="AR32" s="3440">
        <f t="shared" si="23"/>
        <v>662.26</v>
      </c>
      <c r="AS32" s="3440">
        <f t="shared" si="23"/>
        <v>1024.6300000000001</v>
      </c>
      <c r="AT32" s="3440">
        <f t="shared" si="23"/>
        <v>895.58</v>
      </c>
      <c r="AU32" s="3440">
        <f t="shared" si="23"/>
        <v>1084.26</v>
      </c>
      <c r="AV32" s="3440">
        <f t="shared" si="23"/>
        <v>584.54</v>
      </c>
      <c r="AW32" s="3440">
        <f t="shared" si="23"/>
        <v>642.72</v>
      </c>
      <c r="AX32" s="3440">
        <f t="shared" si="23"/>
        <v>0</v>
      </c>
      <c r="AY32" s="3440">
        <f t="shared" si="23"/>
        <v>270.51</v>
      </c>
      <c r="AZ32" s="3440">
        <f t="shared" si="23"/>
        <v>232.46</v>
      </c>
      <c r="BA32" s="3440">
        <f t="shared" si="23"/>
        <v>299.02999999999997</v>
      </c>
      <c r="BB32" s="3440">
        <f t="shared" si="23"/>
        <v>230.6</v>
      </c>
      <c r="BC32" s="3440">
        <f t="shared" si="23"/>
        <v>169.07</v>
      </c>
      <c r="BD32" s="3440">
        <f t="shared" si="23"/>
        <v>169.08</v>
      </c>
      <c r="BE32" s="3440">
        <f t="shared" si="23"/>
        <v>169.08</v>
      </c>
      <c r="BF32" s="3440">
        <f t="shared" si="23"/>
        <v>0</v>
      </c>
      <c r="BG32" s="3440">
        <f t="shared" si="23"/>
        <v>169.08</v>
      </c>
      <c r="BH32" s="3440">
        <f t="shared" si="23"/>
        <v>334.2</v>
      </c>
      <c r="BI32" s="3440">
        <f t="shared" si="23"/>
        <v>334.2</v>
      </c>
      <c r="BJ32" s="3353"/>
    </row>
    <row r="33" spans="1:59" ht="14.25">
      <c r="A33" s="3442" t="s">
        <v>3341</v>
      </c>
      <c r="B33" s="3443" t="s">
        <v>3342</v>
      </c>
      <c r="C33" s="3443" t="s">
        <v>3343</v>
      </c>
      <c r="D33" s="3443" t="s">
        <v>3344</v>
      </c>
      <c r="E33" s="3443" t="s">
        <v>3345</v>
      </c>
      <c r="F33" s="3443" t="s">
        <v>3346</v>
      </c>
      <c r="G33" s="3443" t="s">
        <v>3347</v>
      </c>
      <c r="H33" s="3443" t="s">
        <v>3348</v>
      </c>
      <c r="I33" s="3352"/>
      <c r="J33" s="3352"/>
      <c r="K33" s="3352"/>
      <c r="L33" s="3352"/>
      <c r="M33" s="3353"/>
      <c r="N33" s="3353"/>
      <c r="O33" s="3353"/>
      <c r="P33" s="3353"/>
      <c r="Q33" s="3353"/>
      <c r="R33" s="3353"/>
      <c r="S33" s="3353"/>
      <c r="T33" s="3353"/>
      <c r="U33" s="3353"/>
      <c r="V33" s="3353"/>
      <c r="W33" s="3353"/>
      <c r="X33" s="3353"/>
      <c r="Y33" s="3353"/>
      <c r="Z33" s="3353"/>
      <c r="AA33" s="3353"/>
      <c r="AB33" s="3353"/>
      <c r="AC33" s="3353"/>
      <c r="AD33" s="3354"/>
      <c r="AE33" s="3354"/>
      <c r="AF33" s="3353"/>
      <c r="AG33" s="3353"/>
      <c r="AH33" s="3353"/>
      <c r="AI33" s="3353"/>
      <c r="AJ33" s="3353"/>
      <c r="AK33" s="3353"/>
      <c r="AL33" s="3353"/>
      <c r="AM33" s="3353"/>
      <c r="AN33" s="3353"/>
      <c r="AO33" s="3353"/>
      <c r="AP33" s="3353"/>
      <c r="AQ33" s="3353"/>
      <c r="AR33" s="3353"/>
      <c r="AS33" s="3353"/>
      <c r="AT33" s="3353"/>
      <c r="AU33" s="3353"/>
      <c r="AV33" s="3353"/>
      <c r="AW33" s="3353"/>
      <c r="AX33" s="3353"/>
      <c r="AY33" s="3353"/>
      <c r="AZ33" s="3353"/>
      <c r="BA33" s="3353"/>
      <c r="BB33" s="3353"/>
      <c r="BC33" s="3353"/>
      <c r="BD33" s="3353"/>
      <c r="BE33" s="3353"/>
      <c r="BF33" s="3353" t="s">
        <v>3349</v>
      </c>
      <c r="BG33" s="3353">
        <f>AY30+AZ30+BA30+BB30+BC30+BD30+BE30+BG30</f>
        <v>177290</v>
      </c>
    </row>
    <row r="34" spans="1:59" ht="14.25">
      <c r="A34" s="3444" t="s">
        <v>3350</v>
      </c>
      <c r="B34" s="3445" t="str">
        <f t="shared" ref="B34:H34" si="24">IF(B33="","",VLOOKUP(B33,FSW,2,FALSE))</f>
        <v>份</v>
      </c>
      <c r="C34" s="3445" t="str">
        <f t="shared" si="24"/>
        <v>个</v>
      </c>
      <c r="D34" s="3445" t="str">
        <f t="shared" si="24"/>
        <v>个</v>
      </c>
      <c r="E34" s="3445" t="str">
        <f t="shared" si="24"/>
        <v>个</v>
      </c>
      <c r="F34" s="3445" t="str">
        <f t="shared" si="24"/>
        <v>座</v>
      </c>
      <c r="G34" s="3445" t="str">
        <f t="shared" si="24"/>
        <v>平方米</v>
      </c>
      <c r="H34" s="3445" t="str">
        <f t="shared" si="24"/>
        <v>平方米</v>
      </c>
      <c r="I34" s="3352"/>
      <c r="J34" s="3352"/>
      <c r="K34" s="3352"/>
      <c r="L34" s="3352"/>
      <c r="M34" s="3353"/>
      <c r="N34" s="3353"/>
      <c r="O34" s="3353"/>
      <c r="P34" s="3353"/>
      <c r="Q34" s="3353"/>
      <c r="R34" s="3353"/>
      <c r="S34" s="3353"/>
      <c r="T34" s="3353"/>
      <c r="U34" s="3353"/>
      <c r="V34" s="3353"/>
      <c r="W34" s="3353"/>
      <c r="X34" s="3353"/>
      <c r="Y34" s="3353"/>
      <c r="Z34" s="3353"/>
      <c r="AA34" s="3353"/>
      <c r="AB34" s="3353"/>
      <c r="AC34" s="3353"/>
      <c r="AD34" s="3354"/>
      <c r="AE34" s="3354"/>
      <c r="AF34" s="3353"/>
      <c r="AG34" s="3353"/>
      <c r="AH34" s="3353"/>
      <c r="AI34" s="3353"/>
      <c r="AJ34" s="3353"/>
      <c r="AK34" s="3353"/>
      <c r="AL34" s="3353"/>
      <c r="AM34" s="3353"/>
      <c r="AN34" s="3353"/>
      <c r="AO34" s="3353"/>
      <c r="AP34" s="3353"/>
      <c r="AQ34" s="3353"/>
      <c r="AR34" s="3353"/>
      <c r="AS34" s="3353"/>
      <c r="AT34" s="3353"/>
      <c r="AU34" s="3353"/>
      <c r="AV34" s="3353"/>
      <c r="AW34" s="3353"/>
      <c r="AX34" s="3353"/>
      <c r="AY34" s="3353"/>
      <c r="AZ34" s="3353"/>
      <c r="BA34" s="3353"/>
      <c r="BB34" s="3353"/>
      <c r="BC34" s="3353"/>
      <c r="BD34" s="3353"/>
      <c r="BE34" s="3353"/>
      <c r="BF34" s="3353"/>
      <c r="BG34" s="3353"/>
    </row>
    <row r="35" spans="1:59" ht="18.75" thickBot="1">
      <c r="A35" s="3444" t="s">
        <v>3332</v>
      </c>
      <c r="B35" s="3445">
        <v>147</v>
      </c>
      <c r="C35" s="3445">
        <v>7</v>
      </c>
      <c r="D35" s="3445">
        <v>2</v>
      </c>
      <c r="E35" s="3445">
        <v>28</v>
      </c>
      <c r="F35" s="3445">
        <v>2</v>
      </c>
      <c r="G35" s="3445">
        <v>74.290000000000006</v>
      </c>
      <c r="H35" s="3445">
        <v>99.2</v>
      </c>
      <c r="I35" s="3352"/>
      <c r="J35" s="3352"/>
      <c r="K35" s="3446"/>
      <c r="L35" s="3447">
        <v>160</v>
      </c>
      <c r="M35" s="3353"/>
      <c r="N35" s="3353"/>
      <c r="O35" s="3353"/>
      <c r="P35" s="3353"/>
      <c r="Q35" s="3353"/>
      <c r="R35" s="3353"/>
      <c r="S35" s="3353"/>
      <c r="T35" s="3353"/>
      <c r="U35" s="3353"/>
      <c r="V35" s="3353"/>
      <c r="W35" s="3353"/>
      <c r="X35" s="3353"/>
      <c r="Y35" s="3353"/>
      <c r="Z35" s="3353"/>
      <c r="AA35" s="3353"/>
      <c r="AB35" s="3353"/>
      <c r="AC35" s="3353"/>
      <c r="AD35" s="3354"/>
      <c r="AE35" s="3354"/>
      <c r="AF35" s="3353"/>
      <c r="AG35" s="3353"/>
      <c r="AH35" s="3353"/>
      <c r="AI35" s="3353"/>
      <c r="AJ35" s="3353"/>
      <c r="AK35" s="3353"/>
      <c r="AL35" s="3353"/>
      <c r="AM35" s="3353"/>
      <c r="AN35" s="3353"/>
      <c r="AO35" s="3353"/>
      <c r="AP35" s="3353"/>
      <c r="AQ35" s="3353"/>
      <c r="AR35" s="3353"/>
      <c r="AS35" s="3353"/>
      <c r="AT35" s="3353"/>
      <c r="AU35" s="3353"/>
      <c r="AV35" s="3353"/>
      <c r="AW35" s="3353"/>
      <c r="AX35" s="3353"/>
      <c r="AY35" s="3353"/>
      <c r="AZ35" s="3353"/>
      <c r="BA35" s="3353"/>
      <c r="BB35" s="3353"/>
      <c r="BC35" s="3353"/>
      <c r="BD35" s="3353"/>
      <c r="BE35" s="3353"/>
      <c r="BF35" s="3353"/>
      <c r="BG35" s="3353"/>
    </row>
    <row r="36" spans="1:59" ht="18.75" thickBot="1">
      <c r="A36" s="3444" t="s">
        <v>3334</v>
      </c>
      <c r="B36" s="3445">
        <v>8</v>
      </c>
      <c r="C36" s="3445">
        <v>8</v>
      </c>
      <c r="D36" s="3445">
        <v>8</v>
      </c>
      <c r="E36" s="3445">
        <v>8</v>
      </c>
      <c r="F36" s="3445">
        <v>8</v>
      </c>
      <c r="G36" s="3445">
        <v>8</v>
      </c>
      <c r="H36" s="3445">
        <v>8</v>
      </c>
      <c r="I36" s="3352"/>
      <c r="J36" s="3352"/>
      <c r="K36" s="3446"/>
      <c r="L36" s="3447">
        <f>B30/10000</f>
        <v>805.21360000000004</v>
      </c>
      <c r="M36" s="3353"/>
      <c r="N36" s="3353"/>
      <c r="O36" s="3353"/>
      <c r="P36" s="3353"/>
      <c r="Q36" s="3353"/>
      <c r="R36" s="3353"/>
      <c r="S36" s="3353"/>
      <c r="T36" s="3353"/>
      <c r="U36" s="3353"/>
      <c r="V36" s="3353"/>
      <c r="W36" s="3353"/>
      <c r="X36" s="3353"/>
      <c r="Y36" s="3353"/>
      <c r="Z36" s="3353"/>
      <c r="AA36" s="3353"/>
      <c r="AB36" s="3353"/>
      <c r="AC36" s="3353"/>
      <c r="AD36" s="3354"/>
      <c r="AE36" s="3354"/>
      <c r="AF36" s="3353"/>
      <c r="AG36" s="3353"/>
      <c r="AH36" s="3353"/>
      <c r="AI36" s="3353"/>
      <c r="AJ36" s="3353"/>
      <c r="AK36" s="3353"/>
      <c r="AL36" s="3353"/>
      <c r="AM36" s="3353"/>
      <c r="AN36" s="3353"/>
      <c r="AO36" s="3353"/>
      <c r="AP36" s="3353"/>
      <c r="AQ36" s="3353"/>
      <c r="AR36" s="3353"/>
      <c r="AS36" s="3353"/>
      <c r="AT36" s="3353"/>
      <c r="AU36" s="3353"/>
      <c r="AV36" s="3353"/>
      <c r="AW36" s="3353"/>
      <c r="AX36" s="3353"/>
      <c r="AY36" s="3353"/>
      <c r="AZ36" s="3353"/>
      <c r="BA36" s="3353"/>
      <c r="BB36" s="3353"/>
      <c r="BC36" s="3353"/>
      <c r="BD36" s="3353"/>
      <c r="BE36" s="3353"/>
      <c r="BF36" s="3353"/>
      <c r="BG36" s="3353"/>
    </row>
    <row r="37" spans="1:59" ht="18.75" thickBot="1">
      <c r="A37" s="3444" t="s">
        <v>3333</v>
      </c>
      <c r="B37" s="3445">
        <f t="shared" ref="B37:H37" si="25">IF(B33="","",VLOOKUP(B33,FSW,4,FALSE))</f>
        <v>0.5</v>
      </c>
      <c r="C37" s="3445">
        <f t="shared" si="25"/>
        <v>1.56</v>
      </c>
      <c r="D37" s="3445">
        <f t="shared" si="25"/>
        <v>1.3</v>
      </c>
      <c r="E37" s="3445">
        <f t="shared" si="25"/>
        <v>1.6949149999999999</v>
      </c>
      <c r="F37" s="3445">
        <f t="shared" si="25"/>
        <v>8.81</v>
      </c>
      <c r="G37" s="3445">
        <f t="shared" si="25"/>
        <v>0.20338983050847459</v>
      </c>
      <c r="H37" s="3445">
        <f t="shared" si="25"/>
        <v>1.1000000000000001</v>
      </c>
      <c r="I37" s="3352"/>
      <c r="J37" s="3352"/>
      <c r="K37" s="3446"/>
      <c r="L37" s="3447">
        <f>B69/10000</f>
        <v>172.18940000000001</v>
      </c>
      <c r="M37" s="3353"/>
      <c r="N37" s="3353"/>
      <c r="O37" s="3353"/>
      <c r="P37" s="3353"/>
      <c r="Q37" s="3353"/>
      <c r="R37" s="3353"/>
      <c r="S37" s="3353"/>
      <c r="T37" s="3353"/>
      <c r="U37" s="3353"/>
      <c r="V37" s="3353"/>
      <c r="W37" s="3353"/>
      <c r="X37" s="3353"/>
      <c r="Y37" s="3353"/>
      <c r="Z37" s="3353"/>
      <c r="AA37" s="3353"/>
      <c r="AB37" s="3353"/>
      <c r="AC37" s="3353"/>
      <c r="AD37" s="3354"/>
      <c r="AE37" s="3354"/>
      <c r="AF37" s="3353"/>
      <c r="AG37" s="3353"/>
      <c r="AH37" s="3353"/>
      <c r="AI37" s="3353"/>
      <c r="AJ37" s="3353"/>
      <c r="AK37" s="3353"/>
      <c r="AL37" s="3353"/>
      <c r="AM37" s="3353"/>
      <c r="AN37" s="3353"/>
      <c r="AO37" s="3353"/>
      <c r="AP37" s="3353"/>
      <c r="AQ37" s="3353"/>
      <c r="AR37" s="3353"/>
      <c r="AS37" s="3353"/>
      <c r="AT37" s="3353"/>
      <c r="AU37" s="3353"/>
      <c r="AV37" s="3353"/>
      <c r="AW37" s="3353"/>
      <c r="AX37" s="3353"/>
      <c r="AY37" s="3353"/>
      <c r="AZ37" s="3353"/>
      <c r="BA37" s="3353"/>
      <c r="BB37" s="3353"/>
      <c r="BC37" s="3353"/>
      <c r="BD37" s="3353"/>
      <c r="BE37" s="3353"/>
      <c r="BF37" s="3353"/>
      <c r="BG37" s="3353"/>
    </row>
    <row r="38" spans="1:59" ht="18.75" thickBot="1">
      <c r="A38" s="3448" t="s">
        <v>3351</v>
      </c>
      <c r="B38" s="3449">
        <f>IF(B33=0,0,ROUND(B35*B37*B36/10*$F$1*$E$1,0))</f>
        <v>18144</v>
      </c>
      <c r="C38" s="3449">
        <f t="shared" ref="C38:H38" si="26">IF(C33=0,0,ROUND(C35*C37*C36/10*$F$1*$E$1,0))</f>
        <v>2696</v>
      </c>
      <c r="D38" s="3449">
        <f t="shared" si="26"/>
        <v>642</v>
      </c>
      <c r="E38" s="3449">
        <f t="shared" si="26"/>
        <v>11715</v>
      </c>
      <c r="F38" s="3449">
        <f t="shared" si="26"/>
        <v>4350</v>
      </c>
      <c r="G38" s="3449">
        <f t="shared" si="26"/>
        <v>3730</v>
      </c>
      <c r="H38" s="3449">
        <f t="shared" si="26"/>
        <v>26937</v>
      </c>
      <c r="I38" s="3352"/>
      <c r="J38" s="3352"/>
      <c r="K38" s="3446"/>
      <c r="L38" s="3447">
        <v>11.4841</v>
      </c>
      <c r="M38" s="3353"/>
      <c r="N38" s="3353"/>
      <c r="O38" s="3353"/>
      <c r="P38" s="3353"/>
      <c r="Q38" s="3353"/>
      <c r="R38" s="3353"/>
      <c r="S38" s="3353"/>
      <c r="T38" s="3353"/>
      <c r="U38" s="3353"/>
      <c r="V38" s="3353"/>
      <c r="W38" s="3353"/>
      <c r="X38" s="3353"/>
      <c r="Y38" s="3353"/>
      <c r="Z38" s="3353"/>
      <c r="AA38" s="3353"/>
      <c r="AB38" s="3353"/>
      <c r="AC38" s="3353"/>
      <c r="AD38" s="3354"/>
      <c r="AE38" s="3354"/>
      <c r="AF38" s="3353"/>
      <c r="AG38" s="3353"/>
      <c r="AH38" s="3353"/>
      <c r="AI38" s="3353"/>
      <c r="AJ38" s="3353"/>
      <c r="AK38" s="3353"/>
      <c r="AL38" s="3353"/>
      <c r="AM38" s="3353"/>
      <c r="AN38" s="3353"/>
      <c r="AO38" s="3353"/>
      <c r="AP38" s="3353"/>
      <c r="AQ38" s="3353"/>
      <c r="AR38" s="3353"/>
      <c r="AS38" s="3353"/>
      <c r="AT38" s="3353"/>
      <c r="AU38" s="3353"/>
      <c r="AV38" s="3353"/>
      <c r="AW38" s="3353"/>
      <c r="AX38" s="3353"/>
      <c r="AY38" s="3353"/>
      <c r="AZ38" s="3353"/>
      <c r="BA38" s="3353"/>
      <c r="BB38" s="3353"/>
      <c r="BC38" s="3353"/>
      <c r="BD38" s="3353"/>
      <c r="BE38" s="3353"/>
      <c r="BF38" s="3353"/>
      <c r="BG38" s="3353"/>
    </row>
    <row r="39" spans="1:59" ht="18.75" thickBot="1">
      <c r="A39" s="3450" t="s">
        <v>3341</v>
      </c>
      <c r="B39" s="3443" t="s">
        <v>3352</v>
      </c>
      <c r="C39" s="3443" t="s">
        <v>3353</v>
      </c>
      <c r="D39" s="3443" t="s">
        <v>3354</v>
      </c>
      <c r="E39" s="3443" t="s">
        <v>3355</v>
      </c>
      <c r="F39" s="3443" t="s">
        <v>3356</v>
      </c>
      <c r="G39" s="3443" t="s">
        <v>3357</v>
      </c>
      <c r="H39" s="3443" t="s">
        <v>3358</v>
      </c>
      <c r="I39" s="3352"/>
      <c r="J39" s="3352"/>
      <c r="K39" s="3446"/>
      <c r="L39" s="3447">
        <v>10.5204</v>
      </c>
      <c r="M39" s="3353"/>
      <c r="N39" s="3353"/>
      <c r="O39" s="3353"/>
      <c r="P39" s="3353"/>
      <c r="Q39" s="3353"/>
      <c r="R39" s="3353"/>
      <c r="S39" s="3353"/>
      <c r="T39" s="3353"/>
      <c r="U39" s="3353"/>
      <c r="V39" s="3353"/>
      <c r="W39" s="3353"/>
      <c r="X39" s="3353"/>
      <c r="Y39" s="3353"/>
      <c r="Z39" s="3353"/>
      <c r="AA39" s="3353"/>
      <c r="AB39" s="3353"/>
      <c r="AC39" s="3353"/>
      <c r="AD39" s="3354"/>
      <c r="AE39" s="3354"/>
      <c r="AF39" s="3353"/>
      <c r="AG39" s="3353"/>
      <c r="AH39" s="3353"/>
      <c r="AI39" s="3353"/>
      <c r="AJ39" s="3353"/>
      <c r="AK39" s="3353"/>
      <c r="AL39" s="3353"/>
      <c r="AM39" s="3353"/>
      <c r="AN39" s="3353"/>
      <c r="AO39" s="3353"/>
      <c r="AP39" s="3353"/>
      <c r="AQ39" s="3353"/>
      <c r="AR39" s="3353"/>
      <c r="AS39" s="3353"/>
      <c r="AT39" s="3353"/>
      <c r="AU39" s="3353"/>
      <c r="AV39" s="3353"/>
      <c r="AW39" s="3353"/>
      <c r="AX39" s="3353"/>
      <c r="AY39" s="3353"/>
      <c r="AZ39" s="3353"/>
      <c r="BA39" s="3353"/>
      <c r="BB39" s="3353"/>
      <c r="BC39" s="3353"/>
      <c r="BD39" s="3353"/>
      <c r="BE39" s="3353"/>
      <c r="BF39" s="3353"/>
      <c r="BG39" s="3353"/>
    </row>
    <row r="40" spans="1:59" ht="18.75" thickBot="1">
      <c r="A40" s="3444" t="s">
        <v>3350</v>
      </c>
      <c r="B40" s="3445" t="s">
        <v>3359</v>
      </c>
      <c r="C40" s="3445" t="s">
        <v>3360</v>
      </c>
      <c r="D40" s="3445" t="s">
        <v>3361</v>
      </c>
      <c r="E40" s="3445" t="str">
        <f>IF(E39="","",VLOOKUP(E39,FSW,2,FALSE))</f>
        <v>米</v>
      </c>
      <c r="F40" s="3445" t="str">
        <f>IF(F39="","",VLOOKUP(F39,FSW,2,FALSE))</f>
        <v>个</v>
      </c>
      <c r="G40" s="3445" t="s">
        <v>3362</v>
      </c>
      <c r="H40" s="3445" t="str">
        <f>IF(H39="","",VLOOKUP(H39,FSW,2,FALSE))</f>
        <v>延米</v>
      </c>
      <c r="I40" s="3352"/>
      <c r="J40" s="3352"/>
      <c r="K40" s="3446"/>
      <c r="L40" s="3447">
        <f>SUM(L35:L39)</f>
        <v>1159.4075</v>
      </c>
      <c r="M40" s="3353"/>
      <c r="N40" s="3353"/>
      <c r="O40" s="3353"/>
      <c r="P40" s="3353"/>
      <c r="Q40" s="3353"/>
      <c r="R40" s="3353"/>
      <c r="S40" s="3353"/>
      <c r="T40" s="3353"/>
      <c r="U40" s="3353"/>
      <c r="V40" s="3353"/>
      <c r="W40" s="3353"/>
      <c r="X40" s="3353"/>
      <c r="Y40" s="3353"/>
      <c r="Z40" s="3353"/>
      <c r="AA40" s="3353"/>
      <c r="AB40" s="3353"/>
      <c r="AC40" s="3353"/>
      <c r="AD40" s="3354"/>
      <c r="AE40" s="3354"/>
      <c r="AF40" s="3353"/>
      <c r="AG40" s="3353"/>
      <c r="AH40" s="3353"/>
      <c r="AI40" s="3353"/>
      <c r="AJ40" s="3353"/>
      <c r="AK40" s="3353"/>
      <c r="AL40" s="3353"/>
      <c r="AM40" s="3353"/>
      <c r="AN40" s="3353"/>
      <c r="AO40" s="3353"/>
      <c r="AP40" s="3353"/>
      <c r="AQ40" s="3353"/>
      <c r="AR40" s="3353"/>
      <c r="AS40" s="3353"/>
      <c r="AT40" s="3353"/>
      <c r="AU40" s="3353"/>
      <c r="AV40" s="3353"/>
      <c r="AW40" s="3353"/>
      <c r="AX40" s="3353"/>
      <c r="AY40" s="3353"/>
      <c r="AZ40" s="3353"/>
      <c r="BA40" s="3353"/>
      <c r="BB40" s="3353"/>
      <c r="BC40" s="3353"/>
      <c r="BD40" s="3353"/>
      <c r="BE40" s="3353"/>
      <c r="BF40" s="3353"/>
      <c r="BG40" s="3353"/>
    </row>
    <row r="41" spans="1:59" ht="14.25">
      <c r="A41" s="3444" t="s">
        <v>3332</v>
      </c>
      <c r="B41" s="3445">
        <v>10</v>
      </c>
      <c r="C41" s="3445">
        <v>2</v>
      </c>
      <c r="D41" s="3445">
        <v>13.46</v>
      </c>
      <c r="E41" s="3445">
        <v>6.3</v>
      </c>
      <c r="F41" s="3445">
        <v>13</v>
      </c>
      <c r="G41" s="3445">
        <v>12</v>
      </c>
      <c r="H41" s="3451">
        <v>9</v>
      </c>
      <c r="I41" s="3352"/>
      <c r="J41" s="3352"/>
      <c r="K41" s="3446"/>
      <c r="L41" s="3352"/>
      <c r="M41" s="3353"/>
      <c r="N41" s="3353"/>
      <c r="O41" s="3353"/>
      <c r="P41" s="3353"/>
      <c r="Q41" s="3353"/>
      <c r="R41" s="3353"/>
      <c r="S41" s="3353"/>
      <c r="T41" s="3353"/>
      <c r="U41" s="3353"/>
      <c r="V41" s="3353"/>
      <c r="W41" s="3353"/>
      <c r="X41" s="3353"/>
      <c r="Y41" s="3353"/>
      <c r="Z41" s="3353"/>
      <c r="AA41" s="3353"/>
      <c r="AB41" s="3353"/>
      <c r="AC41" s="3353"/>
      <c r="AD41" s="3354"/>
      <c r="AE41" s="3354"/>
      <c r="AF41" s="3353"/>
      <c r="AG41" s="3353"/>
      <c r="AH41" s="3353"/>
      <c r="AI41" s="3353"/>
      <c r="AJ41" s="3353"/>
      <c r="AK41" s="3353"/>
      <c r="AL41" s="3353"/>
      <c r="AM41" s="3353"/>
      <c r="AN41" s="3353"/>
      <c r="AO41" s="3353"/>
      <c r="AP41" s="3353"/>
      <c r="AQ41" s="3353"/>
      <c r="AR41" s="3353"/>
      <c r="AS41" s="3353"/>
      <c r="AT41" s="3353"/>
      <c r="AU41" s="3353"/>
      <c r="AV41" s="3353"/>
      <c r="AW41" s="3353"/>
      <c r="AX41" s="3353"/>
      <c r="AY41" s="3353"/>
      <c r="AZ41" s="3353"/>
      <c r="BA41" s="3353"/>
      <c r="BB41" s="3353"/>
      <c r="BC41" s="3353"/>
      <c r="BD41" s="3353"/>
      <c r="BE41" s="3353"/>
      <c r="BF41" s="3353"/>
      <c r="BG41" s="3353"/>
    </row>
    <row r="42" spans="1:59" ht="14.25">
      <c r="A42" s="3444" t="s">
        <v>3334</v>
      </c>
      <c r="B42" s="3445">
        <v>8</v>
      </c>
      <c r="C42" s="3445">
        <v>8</v>
      </c>
      <c r="D42" s="3445">
        <v>8</v>
      </c>
      <c r="E42" s="3445">
        <v>8</v>
      </c>
      <c r="F42" s="3445">
        <v>8</v>
      </c>
      <c r="G42" s="3445">
        <v>8</v>
      </c>
      <c r="H42" s="3445">
        <v>8</v>
      </c>
      <c r="I42" s="3352"/>
      <c r="J42" s="3352"/>
      <c r="K42" s="3446"/>
      <c r="L42" s="3352"/>
      <c r="M42" s="3353"/>
      <c r="N42" s="3353"/>
      <c r="O42" s="3353"/>
      <c r="P42" s="3353"/>
      <c r="Q42" s="3353"/>
      <c r="R42" s="3353"/>
      <c r="S42" s="3353"/>
      <c r="T42" s="3353"/>
      <c r="U42" s="3353"/>
      <c r="V42" s="3353"/>
      <c r="W42" s="3353"/>
      <c r="X42" s="3353"/>
      <c r="Y42" s="3353"/>
      <c r="Z42" s="3353"/>
      <c r="AA42" s="3353"/>
      <c r="AB42" s="3353"/>
      <c r="AC42" s="3353"/>
      <c r="AD42" s="3354"/>
      <c r="AE42" s="3354"/>
      <c r="AF42" s="3353"/>
      <c r="AG42" s="3353"/>
      <c r="AH42" s="3353"/>
      <c r="AI42" s="3353"/>
      <c r="AJ42" s="3353"/>
      <c r="AK42" s="3353"/>
      <c r="AL42" s="3353"/>
      <c r="AM42" s="3353"/>
      <c r="AN42" s="3353"/>
      <c r="AO42" s="3353"/>
      <c r="AP42" s="3353"/>
      <c r="AQ42" s="3353"/>
      <c r="AR42" s="3353"/>
      <c r="AS42" s="3353"/>
      <c r="AT42" s="3353"/>
      <c r="AU42" s="3353"/>
      <c r="AV42" s="3353"/>
      <c r="AW42" s="3353"/>
      <c r="AX42" s="3353"/>
      <c r="AY42" s="3353"/>
      <c r="AZ42" s="3353"/>
      <c r="BA42" s="3353"/>
      <c r="BB42" s="3353"/>
      <c r="BC42" s="3353"/>
      <c r="BD42" s="3353"/>
      <c r="BE42" s="3353"/>
      <c r="BF42" s="3353"/>
      <c r="BG42" s="3353"/>
    </row>
    <row r="43" spans="1:59" ht="14.25">
      <c r="A43" s="3444" t="s">
        <v>3333</v>
      </c>
      <c r="B43" s="3445">
        <f t="shared" ref="B43:H43" si="27">IF(B39="","",VLOOKUP(B39,FSW,4,FALSE))</f>
        <v>6.7796609999999999</v>
      </c>
      <c r="C43" s="3445">
        <f t="shared" si="27"/>
        <v>10.169492</v>
      </c>
      <c r="D43" s="3445">
        <f t="shared" si="27"/>
        <v>1.1864410000000001</v>
      </c>
      <c r="E43" s="3445">
        <f t="shared" si="27"/>
        <v>0.1</v>
      </c>
      <c r="F43" s="3445">
        <f t="shared" si="27"/>
        <v>2.65</v>
      </c>
      <c r="G43" s="3445">
        <f t="shared" si="27"/>
        <v>1.39</v>
      </c>
      <c r="H43" s="3445">
        <f t="shared" si="27"/>
        <v>1.3559319999999999</v>
      </c>
      <c r="I43" s="3352"/>
      <c r="J43" s="3352"/>
      <c r="K43" s="3452"/>
      <c r="L43" s="3352"/>
      <c r="M43" s="3353"/>
      <c r="N43" s="3353"/>
      <c r="O43" s="3353"/>
      <c r="P43" s="3353"/>
      <c r="Q43" s="3353"/>
      <c r="R43" s="3353"/>
      <c r="S43" s="3353"/>
      <c r="T43" s="3353"/>
      <c r="U43" s="3353"/>
      <c r="V43" s="3353"/>
      <c r="W43" s="3353"/>
      <c r="X43" s="3353"/>
      <c r="Y43" s="3353"/>
      <c r="Z43" s="3353"/>
      <c r="AA43" s="3353"/>
      <c r="AB43" s="3353"/>
      <c r="AC43" s="3353"/>
      <c r="AD43" s="3354"/>
      <c r="AE43" s="3354"/>
      <c r="AF43" s="3353"/>
      <c r="AG43" s="3353"/>
      <c r="AH43" s="3353"/>
      <c r="AI43" s="3353"/>
      <c r="AJ43" s="3353"/>
      <c r="AK43" s="3353"/>
      <c r="AL43" s="3353"/>
      <c r="AM43" s="3353"/>
      <c r="AN43" s="3353"/>
      <c r="AO43" s="3353"/>
      <c r="AP43" s="3353"/>
      <c r="AQ43" s="3353"/>
      <c r="AR43" s="3353"/>
      <c r="AS43" s="3353"/>
      <c r="AT43" s="3353"/>
      <c r="AU43" s="3353"/>
      <c r="AV43" s="3353"/>
      <c r="AW43" s="3353"/>
      <c r="AX43" s="3353"/>
      <c r="AY43" s="3353"/>
      <c r="AZ43" s="3353"/>
      <c r="BA43" s="3353"/>
      <c r="BB43" s="3353"/>
      <c r="BC43" s="3353"/>
      <c r="BD43" s="3353"/>
      <c r="BE43" s="3353"/>
      <c r="BF43" s="3353"/>
      <c r="BG43" s="3353"/>
    </row>
    <row r="44" spans="1:59" ht="15" thickBot="1">
      <c r="A44" s="3448" t="s">
        <v>3351</v>
      </c>
      <c r="B44" s="3449">
        <f t="shared" ref="B44:H44" si="28">IF(B39=0,0,ROUND(B41*B43*B42/10*$F$1*$E$1,0))</f>
        <v>16736</v>
      </c>
      <c r="C44" s="3449">
        <f t="shared" si="28"/>
        <v>5021</v>
      </c>
      <c r="D44" s="3449">
        <f t="shared" si="28"/>
        <v>3942</v>
      </c>
      <c r="E44" s="3449">
        <f t="shared" si="28"/>
        <v>156</v>
      </c>
      <c r="F44" s="3449">
        <f t="shared" si="28"/>
        <v>8504</v>
      </c>
      <c r="G44" s="3449">
        <f t="shared" si="28"/>
        <v>4118</v>
      </c>
      <c r="H44" s="3449">
        <f t="shared" si="28"/>
        <v>3012</v>
      </c>
      <c r="I44" s="3352"/>
      <c r="J44" s="3352"/>
      <c r="K44" s="3452"/>
      <c r="L44" s="3352"/>
      <c r="M44" s="3353"/>
      <c r="N44" s="3353"/>
      <c r="O44" s="3353"/>
      <c r="P44" s="3353"/>
      <c r="Q44" s="3353"/>
      <c r="R44" s="3353"/>
      <c r="S44" s="3353"/>
      <c r="T44" s="3353"/>
      <c r="U44" s="3353"/>
      <c r="V44" s="3353"/>
      <c r="W44" s="3353"/>
      <c r="X44" s="3353"/>
      <c r="Y44" s="3353"/>
      <c r="Z44" s="3353"/>
      <c r="AA44" s="3353"/>
      <c r="AB44" s="3353"/>
      <c r="AC44" s="3353"/>
      <c r="AD44" s="3354"/>
      <c r="AE44" s="3354"/>
      <c r="AF44" s="3353"/>
      <c r="AG44" s="3353"/>
      <c r="AH44" s="3353"/>
      <c r="AI44" s="3353"/>
      <c r="AJ44" s="3353"/>
      <c r="AK44" s="3353"/>
      <c r="AL44" s="3353"/>
      <c r="AM44" s="3353"/>
      <c r="AN44" s="3353"/>
      <c r="AO44" s="3353"/>
      <c r="AP44" s="3353"/>
      <c r="AQ44" s="3353"/>
      <c r="AR44" s="3353"/>
      <c r="AS44" s="3353"/>
      <c r="AT44" s="3353"/>
      <c r="AU44" s="3353"/>
      <c r="AV44" s="3353"/>
      <c r="AW44" s="3353"/>
      <c r="AX44" s="3353"/>
      <c r="AY44" s="3353"/>
      <c r="AZ44" s="3353"/>
      <c r="BA44" s="3353"/>
      <c r="BB44" s="3353"/>
      <c r="BC44" s="3353"/>
      <c r="BD44" s="3353"/>
      <c r="BE44" s="3353"/>
      <c r="BF44" s="3353"/>
      <c r="BG44" s="3353"/>
    </row>
    <row r="45" spans="1:59" ht="14.25">
      <c r="A45" s="3450" t="s">
        <v>3341</v>
      </c>
      <c r="B45" s="3453" t="s">
        <v>3363</v>
      </c>
      <c r="C45" s="3453" t="s">
        <v>3364</v>
      </c>
      <c r="D45" s="3453" t="s">
        <v>3365</v>
      </c>
      <c r="E45" s="3454"/>
      <c r="F45" s="3443" t="s">
        <v>3366</v>
      </c>
      <c r="G45" s="3443" t="s">
        <v>3367</v>
      </c>
      <c r="H45" s="3443" t="s">
        <v>3368</v>
      </c>
      <c r="I45" s="3352"/>
      <c r="J45" s="3352"/>
      <c r="K45" s="3352"/>
      <c r="L45" s="3352"/>
      <c r="M45" s="3353"/>
      <c r="N45" s="3353"/>
      <c r="O45" s="3353"/>
      <c r="P45" s="3353"/>
      <c r="Q45" s="3353"/>
      <c r="R45" s="3353"/>
      <c r="S45" s="3353"/>
      <c r="T45" s="3353"/>
      <c r="U45" s="3353"/>
      <c r="V45" s="3353"/>
      <c r="W45" s="3353"/>
      <c r="X45" s="3353"/>
      <c r="Y45" s="3353"/>
      <c r="Z45" s="3353"/>
      <c r="AA45" s="3353"/>
      <c r="AB45" s="3353"/>
      <c r="AC45" s="3353"/>
      <c r="AD45" s="3354"/>
      <c r="AE45" s="3354"/>
      <c r="AF45" s="3353"/>
      <c r="AG45" s="3353"/>
      <c r="AH45" s="3353"/>
      <c r="AI45" s="3353"/>
      <c r="AJ45" s="3353"/>
      <c r="AK45" s="3353"/>
      <c r="AL45" s="3353"/>
      <c r="AM45" s="3353"/>
      <c r="AN45" s="3353"/>
      <c r="AO45" s="3353"/>
      <c r="AP45" s="3353"/>
      <c r="AQ45" s="3353"/>
      <c r="AR45" s="3353"/>
      <c r="AS45" s="3353"/>
      <c r="AT45" s="3353"/>
      <c r="AU45" s="3353"/>
      <c r="AV45" s="3353"/>
      <c r="AW45" s="3353"/>
      <c r="AX45" s="3353"/>
      <c r="AY45" s="3353"/>
      <c r="AZ45" s="3353"/>
      <c r="BA45" s="3353"/>
      <c r="BB45" s="3353"/>
      <c r="BC45" s="3353"/>
      <c r="BD45" s="3353"/>
      <c r="BE45" s="3353"/>
      <c r="BF45" s="3353"/>
      <c r="BG45" s="3353"/>
    </row>
    <row r="46" spans="1:59" ht="14.25">
      <c r="A46" s="3444" t="s">
        <v>3350</v>
      </c>
      <c r="B46" s="3445">
        <f>IF(B45="","",VLOOKUP(B45,FSW,2,FALSE))</f>
        <v>0</v>
      </c>
      <c r="C46" s="3445" t="s">
        <v>3362</v>
      </c>
      <c r="D46" s="3445" t="str">
        <f>IF(D45="","",VLOOKUP(D45,FSW,2,FALSE))</f>
        <v>m2</v>
      </c>
      <c r="E46" s="3445" t="str">
        <f>IF(E45="","",VLOOKUP(E45,FSW,2,FALSE))</f>
        <v/>
      </c>
      <c r="F46" s="3445" t="s">
        <v>3369</v>
      </c>
      <c r="G46" s="3445" t="s">
        <v>3369</v>
      </c>
      <c r="H46" s="3445" t="s">
        <v>3369</v>
      </c>
      <c r="I46" s="3352"/>
      <c r="J46" s="3352"/>
      <c r="K46" s="3352"/>
      <c r="L46" s="3352"/>
      <c r="M46" s="3353"/>
      <c r="N46" s="3353"/>
      <c r="O46" s="3353"/>
      <c r="P46" s="3353"/>
      <c r="Q46" s="3353"/>
      <c r="R46" s="3353"/>
      <c r="S46" s="3353"/>
      <c r="T46" s="3353"/>
      <c r="U46" s="3353"/>
      <c r="V46" s="3353"/>
      <c r="W46" s="3353"/>
      <c r="X46" s="3353"/>
      <c r="Y46" s="3353"/>
      <c r="Z46" s="3353"/>
      <c r="AA46" s="3353"/>
      <c r="AB46" s="3353"/>
      <c r="AC46" s="3353"/>
      <c r="AD46" s="3354"/>
      <c r="AE46" s="3354"/>
      <c r="AF46" s="3353"/>
      <c r="AG46" s="3353"/>
      <c r="AH46" s="3353"/>
      <c r="AI46" s="3353"/>
      <c r="AJ46" s="3353"/>
      <c r="AK46" s="3353"/>
      <c r="AL46" s="3353"/>
      <c r="AM46" s="3353"/>
      <c r="AN46" s="3353"/>
      <c r="AO46" s="3353"/>
      <c r="AP46" s="3353"/>
      <c r="AQ46" s="3353"/>
      <c r="AR46" s="3353"/>
      <c r="AS46" s="3353"/>
      <c r="AT46" s="3353"/>
      <c r="AU46" s="3353"/>
      <c r="AV46" s="3353"/>
      <c r="AW46" s="3353"/>
      <c r="AX46" s="3353"/>
      <c r="AY46" s="3353"/>
      <c r="AZ46" s="3353"/>
      <c r="BA46" s="3353"/>
      <c r="BB46" s="3353"/>
      <c r="BC46" s="3353"/>
      <c r="BD46" s="3353"/>
      <c r="BE46" s="3353"/>
      <c r="BF46" s="3353"/>
      <c r="BG46" s="3353"/>
    </row>
    <row r="47" spans="1:59" ht="14.25">
      <c r="A47" s="3444" t="s">
        <v>3332</v>
      </c>
      <c r="B47" s="3445">
        <v>33.58</v>
      </c>
      <c r="C47" s="3455">
        <v>72</v>
      </c>
      <c r="D47" s="3445">
        <v>56.35</v>
      </c>
      <c r="E47" s="3445">
        <v>162.13999999999999</v>
      </c>
      <c r="F47" s="3445">
        <v>1720.04</v>
      </c>
      <c r="G47" s="3445">
        <v>2010</v>
      </c>
      <c r="H47" s="3445">
        <v>22740</v>
      </c>
      <c r="I47" s="3352"/>
      <c r="J47" s="3352"/>
      <c r="K47" s="3352"/>
      <c r="L47" s="3352"/>
      <c r="M47" s="3353"/>
      <c r="N47" s="3353"/>
      <c r="O47" s="3353"/>
      <c r="P47" s="3353"/>
      <c r="Q47" s="3353"/>
      <c r="R47" s="3353"/>
      <c r="S47" s="3353"/>
      <c r="T47" s="3353"/>
      <c r="U47" s="3353"/>
      <c r="V47" s="3353"/>
      <c r="W47" s="3353"/>
      <c r="X47" s="3353"/>
      <c r="Y47" s="3353"/>
      <c r="Z47" s="3353"/>
      <c r="AA47" s="3353"/>
      <c r="AB47" s="3353"/>
      <c r="AC47" s="3353"/>
      <c r="AD47" s="3354"/>
      <c r="AE47" s="3354"/>
      <c r="AF47" s="3353"/>
      <c r="AG47" s="3353"/>
      <c r="AH47" s="3353"/>
      <c r="AI47" s="3353"/>
      <c r="AJ47" s="3353"/>
      <c r="AK47" s="3353"/>
      <c r="AL47" s="3353"/>
      <c r="AM47" s="3353"/>
      <c r="AN47" s="3353"/>
      <c r="AO47" s="3353"/>
      <c r="AP47" s="3353"/>
      <c r="AQ47" s="3353"/>
      <c r="AR47" s="3353"/>
      <c r="AS47" s="3353"/>
      <c r="AT47" s="3353"/>
      <c r="AU47" s="3353"/>
      <c r="AV47" s="3353"/>
      <c r="AW47" s="3353"/>
      <c r="AX47" s="3353"/>
      <c r="AY47" s="3353"/>
      <c r="AZ47" s="3353"/>
      <c r="BA47" s="3353"/>
      <c r="BB47" s="3353"/>
      <c r="BC47" s="3353"/>
      <c r="BD47" s="3353"/>
      <c r="BE47" s="3353"/>
      <c r="BF47" s="3353"/>
      <c r="BG47" s="3353"/>
    </row>
    <row r="48" spans="1:59" ht="14.25">
      <c r="A48" s="3444" t="s">
        <v>3334</v>
      </c>
      <c r="B48" s="3445">
        <v>8</v>
      </c>
      <c r="C48" s="3445">
        <v>8</v>
      </c>
      <c r="D48" s="3445">
        <v>8</v>
      </c>
      <c r="E48" s="3445">
        <v>8</v>
      </c>
      <c r="F48" s="3445">
        <v>8</v>
      </c>
      <c r="G48" s="3445">
        <v>8</v>
      </c>
      <c r="H48" s="3445">
        <v>8</v>
      </c>
      <c r="I48" s="3352"/>
      <c r="J48" s="3352"/>
      <c r="K48" s="3352"/>
      <c r="L48" s="3352"/>
      <c r="M48" s="3353"/>
      <c r="N48" s="3353"/>
      <c r="O48" s="3353"/>
      <c r="P48" s="3353"/>
      <c r="Q48" s="3353"/>
      <c r="R48" s="3353"/>
      <c r="S48" s="3353"/>
      <c r="T48" s="3353"/>
      <c r="U48" s="3353"/>
      <c r="V48" s="3353"/>
      <c r="W48" s="3353"/>
      <c r="X48" s="3353"/>
      <c r="Y48" s="3353"/>
      <c r="Z48" s="3353"/>
      <c r="AA48" s="3353"/>
      <c r="AB48" s="3353"/>
      <c r="AC48" s="3353"/>
      <c r="AD48" s="3354"/>
      <c r="AE48" s="3354"/>
      <c r="AF48" s="3353"/>
      <c r="AG48" s="3353"/>
      <c r="AH48" s="3353"/>
      <c r="AI48" s="3353"/>
      <c r="AJ48" s="3353"/>
      <c r="AK48" s="3353"/>
      <c r="AL48" s="3353"/>
      <c r="AM48" s="3353"/>
      <c r="AN48" s="3353"/>
      <c r="AO48" s="3353"/>
      <c r="AP48" s="3353"/>
      <c r="AQ48" s="3353"/>
      <c r="AR48" s="3353"/>
      <c r="AS48" s="3353"/>
      <c r="AT48" s="3353"/>
      <c r="AU48" s="3353"/>
      <c r="AV48" s="3353"/>
      <c r="AW48" s="3353"/>
      <c r="AX48" s="3353"/>
      <c r="AY48" s="3353"/>
      <c r="AZ48" s="3353"/>
      <c r="BA48" s="3353"/>
      <c r="BB48" s="3353"/>
      <c r="BC48" s="3353"/>
      <c r="BD48" s="3353"/>
      <c r="BE48" s="3353"/>
      <c r="BF48" s="3353"/>
      <c r="BG48" s="3353"/>
    </row>
    <row r="49" spans="1:13" ht="14.25">
      <c r="A49" s="3444" t="s">
        <v>3333</v>
      </c>
      <c r="B49" s="3445">
        <f>IF(B45="","",VLOOKUP(B45,FSW,4,FALSE))</f>
        <v>0.50847500000000001</v>
      </c>
      <c r="C49" s="3445">
        <v>0.46779700000000002</v>
      </c>
      <c r="D49" s="3445">
        <f>IF(D45="","",VLOOKUP(D45,FSW,4,FALSE))</f>
        <v>0.40677999999999997</v>
      </c>
      <c r="E49" s="3445" t="str">
        <f>IF(E45="","",VLOOKUP(E45,FSW,4,FALSE))</f>
        <v/>
      </c>
      <c r="F49" s="3445">
        <v>0.21</v>
      </c>
      <c r="G49" s="3445">
        <v>0.21</v>
      </c>
      <c r="H49" s="3445">
        <v>0.21</v>
      </c>
      <c r="I49" s="3352"/>
      <c r="J49" s="3352"/>
      <c r="K49" s="3352"/>
      <c r="L49" s="3352"/>
      <c r="M49" s="3353"/>
    </row>
    <row r="50" spans="1:13" ht="15" thickBot="1">
      <c r="A50" s="3448" t="s">
        <v>3351</v>
      </c>
      <c r="B50" s="3449">
        <f t="shared" ref="B50:H50" si="29">IF(B45=0,0,ROUND(B47*B49*B48/10*$F$1*$E$1,0))</f>
        <v>4215</v>
      </c>
      <c r="C50" s="3449">
        <f t="shared" si="29"/>
        <v>8314</v>
      </c>
      <c r="D50" s="3449">
        <f t="shared" si="29"/>
        <v>5658</v>
      </c>
      <c r="E50" s="3449">
        <f t="shared" si="29"/>
        <v>0</v>
      </c>
      <c r="F50" s="3449">
        <f t="shared" si="29"/>
        <v>89166</v>
      </c>
      <c r="G50" s="3449">
        <f t="shared" si="29"/>
        <v>104198</v>
      </c>
      <c r="H50" s="3449">
        <f t="shared" si="29"/>
        <v>1178836</v>
      </c>
      <c r="I50" s="3352"/>
      <c r="J50" s="3352"/>
      <c r="K50" s="3352"/>
      <c r="L50" s="3352"/>
      <c r="M50" s="3353"/>
    </row>
    <row r="51" spans="1:13" ht="14.25">
      <c r="A51" s="3450" t="s">
        <v>3341</v>
      </c>
      <c r="B51" s="3443" t="s">
        <v>3370</v>
      </c>
      <c r="C51" s="3443" t="s">
        <v>3371</v>
      </c>
      <c r="D51" s="3456" t="s">
        <v>3372</v>
      </c>
      <c r="E51" s="3456" t="s">
        <v>3373</v>
      </c>
      <c r="F51" s="3456" t="s">
        <v>3374</v>
      </c>
      <c r="G51" s="3456" t="s">
        <v>3375</v>
      </c>
      <c r="H51" s="3456" t="s">
        <v>3376</v>
      </c>
      <c r="I51" s="3352"/>
      <c r="J51" s="3352"/>
      <c r="K51" s="3352"/>
      <c r="L51" s="3352"/>
      <c r="M51" s="3353"/>
    </row>
    <row r="52" spans="1:13" ht="14.25" outlineLevel="1">
      <c r="A52" s="3444" t="s">
        <v>3350</v>
      </c>
      <c r="B52" s="3445" t="str">
        <f>IF(B51="","",VLOOKUP(B51,FSW,2,FALSE))</f>
        <v>平方米</v>
      </c>
      <c r="C52" s="3445" t="str">
        <f>IF(C51="","",VLOOKUP(C51,FSW,2,FALSE))</f>
        <v>个</v>
      </c>
      <c r="D52" s="3445" t="s">
        <v>3377</v>
      </c>
      <c r="E52" s="3445" t="s">
        <v>3377</v>
      </c>
      <c r="F52" s="3445" t="s">
        <v>3377</v>
      </c>
      <c r="G52" s="3445" t="s">
        <v>3377</v>
      </c>
      <c r="H52" s="3445" t="s">
        <v>3377</v>
      </c>
      <c r="I52" s="3352"/>
      <c r="J52" s="3352"/>
      <c r="K52" s="3352"/>
      <c r="L52" s="3352"/>
      <c r="M52" s="3353"/>
    </row>
    <row r="53" spans="1:13" ht="14.25" outlineLevel="1">
      <c r="A53" s="3444" t="s">
        <v>3332</v>
      </c>
      <c r="B53" s="3445">
        <v>45</v>
      </c>
      <c r="C53" s="3457">
        <v>16</v>
      </c>
      <c r="D53" s="3445">
        <v>1500</v>
      </c>
      <c r="E53" s="3445">
        <v>1496</v>
      </c>
      <c r="F53" s="3445">
        <v>500</v>
      </c>
      <c r="G53" s="3445">
        <v>800</v>
      </c>
      <c r="H53" s="3445">
        <v>200</v>
      </c>
      <c r="I53" s="3352"/>
      <c r="J53" s="3352"/>
      <c r="K53" s="3352"/>
      <c r="L53" s="3352"/>
      <c r="M53" s="3353"/>
    </row>
    <row r="54" spans="1:13" ht="14.25" outlineLevel="1">
      <c r="A54" s="3444" t="s">
        <v>3334</v>
      </c>
      <c r="B54" s="3445">
        <v>8</v>
      </c>
      <c r="C54" s="3445">
        <v>8</v>
      </c>
      <c r="D54" s="3445">
        <v>0.8</v>
      </c>
      <c r="E54" s="3445">
        <v>0.8</v>
      </c>
      <c r="F54" s="3445">
        <v>0.8</v>
      </c>
      <c r="G54" s="3445">
        <v>0.8</v>
      </c>
      <c r="H54" s="3445">
        <v>0.8</v>
      </c>
      <c r="I54" s="3352"/>
      <c r="J54" s="3352"/>
      <c r="K54" s="3352"/>
      <c r="L54" s="3352"/>
      <c r="M54" s="3353"/>
    </row>
    <row r="55" spans="1:13" ht="14.25" outlineLevel="1">
      <c r="A55" s="3444" t="s">
        <v>3333</v>
      </c>
      <c r="B55" s="3445">
        <f>IF(B51="","",VLOOKUP(B51,FSW,4,FALSE))</f>
        <v>1.2</v>
      </c>
      <c r="C55" s="3445">
        <f>IF(C51="","",VLOOKUP(C51,FSW,4,FALSE))</f>
        <v>0.28000000000000003</v>
      </c>
      <c r="D55" s="3445"/>
      <c r="E55" s="3445"/>
      <c r="F55" s="3445"/>
      <c r="G55" s="3445"/>
      <c r="H55" s="3445"/>
      <c r="I55" s="3458"/>
      <c r="J55" s="3352"/>
      <c r="K55" s="3352" t="s">
        <v>3378</v>
      </c>
      <c r="L55" s="3352"/>
      <c r="M55" s="3353"/>
    </row>
    <row r="56" spans="1:13" ht="15" outlineLevel="1" thickBot="1">
      <c r="A56" s="3448" t="s">
        <v>3351</v>
      </c>
      <c r="B56" s="3449">
        <f>IF(B51=0,0,ROUND(B53*B55*B54/10*$F$1*$E$1,0))</f>
        <v>13330</v>
      </c>
      <c r="C56" s="3449">
        <f>IF(C51=0,0,ROUND(C53*C55*C54/10*$F$1*$E$1,0))</f>
        <v>1106</v>
      </c>
      <c r="D56" s="3449">
        <f>ROUND(D53*D55*D54,0)</f>
        <v>0</v>
      </c>
      <c r="E56" s="3449">
        <f>ROUND(E53*E55*E54,0)</f>
        <v>0</v>
      </c>
      <c r="F56" s="3449">
        <f>ROUND(F53*F55*F54,0)</f>
        <v>0</v>
      </c>
      <c r="G56" s="3449">
        <f>ROUND(G53*G55*G54,0)</f>
        <v>0</v>
      </c>
      <c r="H56" s="3449">
        <f>ROUND(H53*H55*H54,0)</f>
        <v>0</v>
      </c>
      <c r="I56" s="3459" t="s">
        <v>3379</v>
      </c>
      <c r="J56" s="3352"/>
      <c r="K56" s="3352">
        <f>303696+197759+139924+145504+26438+142019</f>
        <v>955340</v>
      </c>
      <c r="L56" s="3352"/>
      <c r="M56" s="3353"/>
    </row>
    <row r="57" spans="1:13" ht="13.5" customHeight="1" collapsed="1" thickBot="1">
      <c r="A57" s="3450" t="s">
        <v>3341</v>
      </c>
      <c r="B57" s="3456" t="s">
        <v>3380</v>
      </c>
      <c r="C57" s="3460" t="s">
        <v>3381</v>
      </c>
      <c r="D57" s="3460" t="s">
        <v>3382</v>
      </c>
      <c r="E57" s="3460"/>
      <c r="F57" s="3460"/>
      <c r="G57" s="3460"/>
      <c r="H57" s="3460"/>
      <c r="I57" s="3352"/>
      <c r="J57" s="3352"/>
      <c r="K57" s="3352"/>
      <c r="L57" s="3352"/>
      <c r="M57" s="3353"/>
    </row>
    <row r="58" spans="1:13" ht="14.25" hidden="1" outlineLevel="1">
      <c r="A58" s="3444" t="s">
        <v>3350</v>
      </c>
      <c r="B58" s="3445" t="s">
        <v>3377</v>
      </c>
      <c r="C58" s="3445">
        <f t="shared" ref="C58:H58" si="30">IF(C57="","",VLOOKUP(C57,FSW,2,FALSE))</f>
        <v>0</v>
      </c>
      <c r="D58" s="3445"/>
      <c r="E58" s="3445" t="str">
        <f t="shared" si="30"/>
        <v/>
      </c>
      <c r="F58" s="3445" t="str">
        <f t="shared" si="30"/>
        <v/>
      </c>
      <c r="G58" s="3445" t="str">
        <f t="shared" si="30"/>
        <v/>
      </c>
      <c r="H58" s="3445" t="str">
        <f t="shared" si="30"/>
        <v/>
      </c>
      <c r="I58" s="3458"/>
      <c r="J58" s="3458"/>
      <c r="K58" s="3352"/>
      <c r="L58" s="3352"/>
      <c r="M58" s="3353"/>
    </row>
    <row r="59" spans="1:13" ht="14.25" hidden="1" outlineLevel="1">
      <c r="A59" s="3444" t="s">
        <v>3332</v>
      </c>
      <c r="B59" s="3445"/>
      <c r="C59" s="3445"/>
      <c r="D59" s="3445"/>
      <c r="E59" s="3445"/>
      <c r="F59" s="3445"/>
      <c r="G59" s="3445"/>
      <c r="H59" s="3445"/>
      <c r="I59" s="3352"/>
      <c r="J59" s="3352"/>
      <c r="K59" s="3352"/>
      <c r="L59" s="3352"/>
      <c r="M59" s="3353"/>
    </row>
    <row r="60" spans="1:13" ht="14.25" hidden="1" outlineLevel="1">
      <c r="A60" s="3444" t="s">
        <v>3334</v>
      </c>
      <c r="B60" s="3445">
        <v>0.8</v>
      </c>
      <c r="C60" s="3445"/>
      <c r="D60" s="3445"/>
      <c r="E60" s="3445" t="str">
        <f t="shared" ref="E60:H60" si="31">IF(E57="","",VLOOKUP(E57,FSW,3,FALSE))</f>
        <v/>
      </c>
      <c r="F60" s="3445" t="str">
        <f t="shared" si="31"/>
        <v/>
      </c>
      <c r="G60" s="3445" t="str">
        <f t="shared" si="31"/>
        <v/>
      </c>
      <c r="H60" s="3445" t="str">
        <f t="shared" si="31"/>
        <v/>
      </c>
      <c r="I60" s="3352"/>
      <c r="J60" s="3352"/>
      <c r="K60" s="3352" t="s">
        <v>3383</v>
      </c>
      <c r="L60" s="3352" t="s">
        <v>3384</v>
      </c>
      <c r="M60" s="3353" t="s">
        <v>3385</v>
      </c>
    </row>
    <row r="61" spans="1:13" ht="14.25" hidden="1" outlineLevel="1">
      <c r="A61" s="3444" t="s">
        <v>3333</v>
      </c>
      <c r="B61" s="3445"/>
      <c r="C61" s="3445"/>
      <c r="D61" s="3445"/>
      <c r="E61" s="3445" t="str">
        <f t="shared" ref="E61:H61" si="32">IF(E57="","",VLOOKUP(E57,FSW,4,FALSE))</f>
        <v/>
      </c>
      <c r="F61" s="3445" t="str">
        <f t="shared" si="32"/>
        <v/>
      </c>
      <c r="G61" s="3445" t="str">
        <f t="shared" si="32"/>
        <v/>
      </c>
      <c r="H61" s="3445" t="str">
        <f t="shared" si="32"/>
        <v/>
      </c>
      <c r="I61" s="3352"/>
      <c r="J61" s="3352" t="s">
        <v>3386</v>
      </c>
      <c r="K61" s="3352">
        <v>4028.1030000000001</v>
      </c>
      <c r="L61" s="3352"/>
      <c r="M61" s="3353">
        <v>3756.78</v>
      </c>
    </row>
    <row r="62" spans="1:13" ht="15" hidden="1" outlineLevel="1" thickBot="1">
      <c r="A62" s="3448" t="s">
        <v>3351</v>
      </c>
      <c r="B62" s="3449">
        <f>ROUND(B59*B60*B61,0)</f>
        <v>0</v>
      </c>
      <c r="C62" s="3449">
        <f>BG33</f>
        <v>177290</v>
      </c>
      <c r="D62" s="3449">
        <f>BJ30</f>
        <v>30078</v>
      </c>
      <c r="E62" s="3449">
        <f t="shared" ref="E62:H62" si="33">IF(E57=0,0,ROUND(E59*E61*E60/10*$H$1*$G$1,0))</f>
        <v>0</v>
      </c>
      <c r="F62" s="3449">
        <f t="shared" si="33"/>
        <v>0</v>
      </c>
      <c r="G62" s="3449">
        <f t="shared" si="33"/>
        <v>0</v>
      </c>
      <c r="H62" s="3449">
        <f t="shared" si="33"/>
        <v>0</v>
      </c>
      <c r="I62" s="3352"/>
      <c r="J62" s="3352" t="s">
        <v>3387</v>
      </c>
      <c r="K62" s="3352">
        <f>B30/10000</f>
        <v>805.21360000000004</v>
      </c>
      <c r="L62" s="3352"/>
      <c r="M62" s="3353">
        <v>763.64859999999999</v>
      </c>
    </row>
    <row r="63" spans="1:13" ht="15" collapsed="1" thickBot="1">
      <c r="A63" s="3450" t="s">
        <v>3341</v>
      </c>
      <c r="B63" s="3460"/>
      <c r="C63" s="3460"/>
      <c r="D63" s="3460"/>
      <c r="E63" s="3460"/>
      <c r="F63" s="3460"/>
      <c r="G63" s="3460"/>
      <c r="H63" s="3460"/>
      <c r="I63" s="3352"/>
      <c r="J63" s="3352" t="s">
        <v>3388</v>
      </c>
      <c r="K63" s="3352">
        <f>B69/10000</f>
        <v>172.18940000000001</v>
      </c>
      <c r="L63" s="3352">
        <f>K56/10000+K63</f>
        <v>267.72340000000003</v>
      </c>
      <c r="M63" s="3353">
        <v>374.21120000000002</v>
      </c>
    </row>
    <row r="64" spans="1:13" ht="13.5" hidden="1" customHeight="1" outlineLevel="1">
      <c r="A64" s="3444" t="s">
        <v>3350</v>
      </c>
      <c r="B64" s="3445" t="str">
        <f t="shared" ref="B64:H64" si="34">IF(B63="","",VLOOKUP(B63,FSW,2,FALSE))</f>
        <v/>
      </c>
      <c r="C64" s="3445" t="str">
        <f t="shared" si="34"/>
        <v/>
      </c>
      <c r="D64" s="3445" t="str">
        <f t="shared" si="34"/>
        <v/>
      </c>
      <c r="E64" s="3445" t="str">
        <f t="shared" si="34"/>
        <v/>
      </c>
      <c r="F64" s="3445" t="str">
        <f t="shared" si="34"/>
        <v/>
      </c>
      <c r="G64" s="3445" t="str">
        <f t="shared" si="34"/>
        <v/>
      </c>
      <c r="H64" s="3445" t="str">
        <f t="shared" si="34"/>
        <v/>
      </c>
      <c r="I64" s="3352"/>
      <c r="J64" s="3352" t="s">
        <v>3389</v>
      </c>
      <c r="K64" s="3352">
        <v>630.78</v>
      </c>
      <c r="L64" s="3352"/>
      <c r="M64" s="3353">
        <v>628.75580000000002</v>
      </c>
    </row>
    <row r="65" spans="1:13" ht="14.25" hidden="1" outlineLevel="1">
      <c r="A65" s="3444" t="s">
        <v>3332</v>
      </c>
      <c r="B65" s="3445"/>
      <c r="C65" s="3445"/>
      <c r="D65" s="3445"/>
      <c r="E65" s="3445"/>
      <c r="F65" s="3445"/>
      <c r="G65" s="3445"/>
      <c r="H65" s="3445"/>
      <c r="I65" s="3352"/>
      <c r="J65" s="3352"/>
      <c r="K65" s="3458">
        <f>SUM(K61:K64)</f>
        <v>5636.2860000000001</v>
      </c>
      <c r="L65" s="3352">
        <f>K61+K62+K64+L63</f>
        <v>5731.82</v>
      </c>
      <c r="M65" s="3353">
        <f>SUM(M61:M64)</f>
        <v>5523.3955999999998</v>
      </c>
    </row>
    <row r="66" spans="1:13" ht="14.25" hidden="1" outlineLevel="1">
      <c r="A66" s="3444" t="s">
        <v>3334</v>
      </c>
      <c r="B66" s="3445" t="str">
        <f t="shared" ref="B66:H66" si="35">IF(B63="","",VLOOKUP(B63,FSW,3,FALSE))</f>
        <v/>
      </c>
      <c r="C66" s="3445" t="str">
        <f t="shared" si="35"/>
        <v/>
      </c>
      <c r="D66" s="3445" t="str">
        <f t="shared" si="35"/>
        <v/>
      </c>
      <c r="E66" s="3445" t="str">
        <f t="shared" si="35"/>
        <v/>
      </c>
      <c r="F66" s="3445" t="str">
        <f t="shared" si="35"/>
        <v/>
      </c>
      <c r="G66" s="3445" t="str">
        <f t="shared" si="35"/>
        <v/>
      </c>
      <c r="H66" s="3445" t="str">
        <f t="shared" si="35"/>
        <v/>
      </c>
      <c r="I66" s="3352"/>
      <c r="J66" s="3352"/>
      <c r="K66" s="3352"/>
      <c r="L66" s="3352"/>
      <c r="M66" s="3353"/>
    </row>
    <row r="67" spans="1:13" ht="14.25" hidden="1" outlineLevel="1">
      <c r="A67" s="3444" t="s">
        <v>3333</v>
      </c>
      <c r="B67" s="3445" t="str">
        <f t="shared" ref="B67:H67" si="36">IF(B63="","",VLOOKUP(B63,FSW,4,FALSE))</f>
        <v/>
      </c>
      <c r="C67" s="3445" t="str">
        <f t="shared" si="36"/>
        <v/>
      </c>
      <c r="D67" s="3445" t="str">
        <f t="shared" si="36"/>
        <v/>
      </c>
      <c r="E67" s="3445" t="str">
        <f t="shared" si="36"/>
        <v/>
      </c>
      <c r="F67" s="3445" t="str">
        <f t="shared" si="36"/>
        <v/>
      </c>
      <c r="G67" s="3445" t="str">
        <f t="shared" si="36"/>
        <v/>
      </c>
      <c r="H67" s="3445" t="str">
        <f t="shared" si="36"/>
        <v/>
      </c>
      <c r="I67" s="3352"/>
      <c r="J67" s="3352"/>
      <c r="K67" s="3352"/>
      <c r="L67" s="3352"/>
      <c r="M67" s="3353"/>
    </row>
    <row r="68" spans="1:13" ht="15" hidden="1" outlineLevel="1" thickBot="1">
      <c r="A68" s="3461" t="s">
        <v>3351</v>
      </c>
      <c r="B68" s="3449">
        <f t="shared" ref="B68:H68" si="37">IF(B63=0,0,ROUND(B65*B67*B66/10*$H$1*$G$1,0))</f>
        <v>0</v>
      </c>
      <c r="C68" s="3449">
        <f t="shared" si="37"/>
        <v>0</v>
      </c>
      <c r="D68" s="3449">
        <f t="shared" si="37"/>
        <v>0</v>
      </c>
      <c r="E68" s="3449">
        <f t="shared" si="37"/>
        <v>0</v>
      </c>
      <c r="F68" s="3449">
        <f t="shared" si="37"/>
        <v>0</v>
      </c>
      <c r="G68" s="3449">
        <f t="shared" si="37"/>
        <v>0</v>
      </c>
      <c r="H68" s="3449">
        <f t="shared" si="37"/>
        <v>0</v>
      </c>
      <c r="I68" s="3352"/>
      <c r="J68" s="3352"/>
      <c r="K68" s="3352"/>
      <c r="L68" s="3352"/>
      <c r="M68" s="3353"/>
    </row>
    <row r="69" spans="1:13" ht="15" thickBot="1">
      <c r="A69" s="3355" t="s">
        <v>3390</v>
      </c>
      <c r="B69" s="3462">
        <f>SUM(B38:H38,B44:H44,B50:H50,B56:H56,B62:H62,B68:H68)</f>
        <v>1721894</v>
      </c>
      <c r="C69" s="3462">
        <f>B30+B69</f>
        <v>9774030</v>
      </c>
      <c r="D69" s="3463" t="s">
        <v>3391</v>
      </c>
      <c r="E69" s="3464">
        <f>ROUND(C69/B8,2)</f>
        <v>1134.69</v>
      </c>
      <c r="F69" s="3465"/>
      <c r="G69" s="3466"/>
      <c r="H69" s="3467"/>
      <c r="I69" s="3352">
        <f>B30+B69</f>
        <v>9774030</v>
      </c>
      <c r="J69" s="3352"/>
      <c r="K69" s="3352"/>
      <c r="L69" s="3352"/>
      <c r="M69" s="3353"/>
    </row>
    <row r="70" spans="1:13" ht="10.5" customHeight="1">
      <c r="A70" s="3468"/>
      <c r="B70" s="3469"/>
      <c r="C70" s="3470"/>
      <c r="D70" s="3471"/>
      <c r="E70" s="3469"/>
      <c r="F70" s="3469"/>
      <c r="G70" s="3469"/>
      <c r="H70" s="3352"/>
      <c r="I70" s="3352"/>
      <c r="J70" s="3352"/>
      <c r="K70" s="3352"/>
      <c r="L70" s="3352"/>
      <c r="M70" s="3353"/>
    </row>
    <row r="71" spans="1:13" ht="10.5" customHeight="1">
      <c r="A71" s="3468"/>
      <c r="B71" s="3469"/>
      <c r="C71" s="3470"/>
      <c r="D71" s="3471"/>
      <c r="E71" s="3469"/>
      <c r="F71" s="3469"/>
      <c r="G71" s="3469"/>
      <c r="H71" s="3352"/>
      <c r="I71" s="3352"/>
      <c r="J71" s="3352"/>
      <c r="K71" s="3352"/>
      <c r="L71" s="3352"/>
      <c r="M71" s="3353"/>
    </row>
    <row r="72" spans="1:13" ht="10.5" customHeight="1">
      <c r="A72" s="4277" t="s">
        <v>3392</v>
      </c>
      <c r="B72" s="4277"/>
      <c r="C72" s="4277"/>
      <c r="D72" s="4277"/>
      <c r="E72" s="4277"/>
      <c r="F72" s="4277"/>
      <c r="G72" s="4277"/>
      <c r="H72" s="3352"/>
      <c r="I72" s="3352"/>
      <c r="J72" s="3352"/>
      <c r="K72" s="3352"/>
      <c r="L72" s="3352"/>
      <c r="M72" s="3353"/>
    </row>
    <row r="73" spans="1:13" ht="10.5" customHeight="1">
      <c r="A73" s="4277"/>
      <c r="B73" s="4277"/>
      <c r="C73" s="4277"/>
      <c r="D73" s="4277"/>
      <c r="E73" s="4277"/>
      <c r="F73" s="4277"/>
      <c r="G73" s="4277"/>
      <c r="H73" s="3352"/>
      <c r="I73" s="3352"/>
      <c r="J73" s="3352"/>
      <c r="K73" s="3352"/>
      <c r="L73" s="3352"/>
      <c r="M73" s="3353"/>
    </row>
    <row r="74" spans="1:13" ht="24" customHeight="1">
      <c r="A74" s="4278" t="s">
        <v>3393</v>
      </c>
      <c r="B74" s="4278"/>
      <c r="C74" s="4278"/>
      <c r="D74" s="4278"/>
      <c r="E74" s="4278"/>
      <c r="F74" s="4278"/>
      <c r="G74" s="4278"/>
      <c r="H74" s="3352"/>
      <c r="I74" s="3352"/>
      <c r="J74" s="3352"/>
      <c r="K74" s="3352"/>
      <c r="L74" s="3352"/>
      <c r="M74" s="3353"/>
    </row>
    <row r="75" spans="1:13" ht="24" customHeight="1">
      <c r="A75" s="4279"/>
      <c r="B75" s="4279"/>
      <c r="C75" s="4279"/>
      <c r="D75" s="4279"/>
      <c r="E75" s="4279"/>
      <c r="F75" s="4279"/>
      <c r="G75" s="4279"/>
      <c r="H75" s="3352"/>
      <c r="I75" s="3352"/>
      <c r="J75" s="3352"/>
      <c r="K75" s="3352"/>
      <c r="L75" s="3352"/>
      <c r="M75" s="3353"/>
    </row>
    <row r="76" spans="1:13" ht="28.5" customHeight="1">
      <c r="A76" s="3472" t="s">
        <v>3102</v>
      </c>
      <c r="B76" s="4300" t="str">
        <f>I1</f>
        <v>怀盛</v>
      </c>
      <c r="C76" s="4300"/>
      <c r="D76" s="4300"/>
      <c r="E76" s="4300"/>
      <c r="F76" s="4300"/>
      <c r="G76" s="4300"/>
      <c r="H76" s="3352"/>
      <c r="I76" s="3352"/>
      <c r="J76" s="3352"/>
      <c r="K76" s="3352"/>
      <c r="L76" s="3352"/>
      <c r="M76" s="3353"/>
    </row>
    <row r="77" spans="1:13" ht="28.5" customHeight="1" thickBot="1">
      <c r="A77" s="3473" t="s">
        <v>3232</v>
      </c>
      <c r="B77" s="4301">
        <f>B2</f>
        <v>0</v>
      </c>
      <c r="C77" s="4301"/>
      <c r="D77" s="3474" t="s">
        <v>3227</v>
      </c>
      <c r="E77" s="4301" t="str">
        <f>B1</f>
        <v>轨枕厂</v>
      </c>
      <c r="F77" s="4301"/>
      <c r="G77" s="4301"/>
      <c r="H77" s="3352"/>
      <c r="I77" s="3352"/>
      <c r="J77" s="3352"/>
      <c r="K77" s="3352"/>
      <c r="L77" s="3352"/>
      <c r="M77" s="3353"/>
    </row>
    <row r="78" spans="1:13" ht="18" customHeight="1" thickTop="1">
      <c r="A78" s="4302" t="s">
        <v>3394</v>
      </c>
      <c r="B78" s="4302"/>
      <c r="C78" s="4302"/>
      <c r="D78" s="4302"/>
      <c r="E78" s="4302"/>
      <c r="F78" s="4302"/>
      <c r="G78" s="4302"/>
      <c r="H78" s="3352"/>
      <c r="I78" s="3352"/>
      <c r="J78" s="3352"/>
      <c r="K78" s="3352"/>
      <c r="L78" s="3352"/>
      <c r="M78" s="3353"/>
    </row>
    <row r="79" spans="1:13" ht="27" customHeight="1">
      <c r="A79" s="4292" t="s">
        <v>3395</v>
      </c>
      <c r="B79" s="4292"/>
      <c r="C79" s="3475"/>
      <c r="D79" s="4292" t="s">
        <v>3396</v>
      </c>
      <c r="E79" s="4292"/>
      <c r="F79" s="4303" t="e">
        <f>IF(#REF!=0,0,IF(#REF!="1982年之前",267,200))</f>
        <v>#REF!</v>
      </c>
      <c r="G79" s="4303"/>
      <c r="H79" s="3352"/>
      <c r="I79" s="3352"/>
      <c r="J79" s="3352"/>
      <c r="K79" s="3352"/>
      <c r="L79" s="3352"/>
      <c r="M79" s="3353"/>
    </row>
    <row r="80" spans="1:13" ht="27" customHeight="1">
      <c r="A80" s="4291" t="s">
        <v>3397</v>
      </c>
      <c r="B80" s="4292"/>
      <c r="C80" s="3476"/>
      <c r="D80" s="4293" t="s">
        <v>3398</v>
      </c>
      <c r="E80" s="4293"/>
      <c r="F80" s="4294" t="e">
        <f>IF(#REF!=0,0,IF(F79=267,IF(#REF!&lt;200,200*6000,IF(#REF!&lt;267,#REF!*6000,267*6000+(#REF!-267)*6000*0.5)),IF(#REF!&lt;200,200*6000,200*6000+(#REF!-200)*6000*0.3)))-#REF!</f>
        <v>#REF!</v>
      </c>
      <c r="G80" s="4294"/>
      <c r="H80" s="3352"/>
      <c r="I80" s="3352"/>
      <c r="J80" s="3352"/>
      <c r="K80" s="3352"/>
      <c r="L80" s="3352"/>
      <c r="M80" s="3353"/>
    </row>
    <row r="81" spans="1:7" ht="27" customHeight="1" thickBot="1">
      <c r="A81" s="4295" t="s">
        <v>3399</v>
      </c>
      <c r="B81" s="4295"/>
      <c r="C81" s="4296" t="e">
        <f>#REF!+F80</f>
        <v>#REF!</v>
      </c>
      <c r="D81" s="4296"/>
      <c r="E81" s="4296"/>
      <c r="F81" s="4296"/>
      <c r="G81" s="4296"/>
    </row>
    <row r="82" spans="1:7" ht="18" customHeight="1" thickTop="1">
      <c r="A82" s="4297" t="s">
        <v>3400</v>
      </c>
      <c r="B82" s="4298"/>
      <c r="C82" s="4298"/>
      <c r="D82" s="4298"/>
      <c r="E82" s="4298"/>
      <c r="F82" s="4298"/>
      <c r="G82" s="4299"/>
    </row>
    <row r="83" spans="1:7" ht="16.5" customHeight="1">
      <c r="A83" s="3477" t="s">
        <v>3401</v>
      </c>
      <c r="B83" s="3478" t="s">
        <v>3402</v>
      </c>
      <c r="C83" s="3478" t="s">
        <v>3403</v>
      </c>
      <c r="D83" s="3479" t="s">
        <v>3401</v>
      </c>
      <c r="E83" s="4308" t="s">
        <v>3402</v>
      </c>
      <c r="F83" s="4309"/>
      <c r="G83" s="3480" t="s">
        <v>3403</v>
      </c>
    </row>
    <row r="84" spans="1:7" ht="15" customHeight="1">
      <c r="A84" s="3481"/>
      <c r="B84" s="3482"/>
      <c r="C84" s="3483"/>
      <c r="D84" s="3484"/>
      <c r="E84" s="4304"/>
      <c r="F84" s="4305"/>
      <c r="G84" s="3485"/>
    </row>
    <row r="85" spans="1:7" ht="15" customHeight="1">
      <c r="A85" s="3481"/>
      <c r="B85" s="3482"/>
      <c r="C85" s="3483"/>
      <c r="D85" s="3486"/>
      <c r="E85" s="4304"/>
      <c r="F85" s="4305"/>
      <c r="G85" s="3485"/>
    </row>
    <row r="86" spans="1:7" ht="15" customHeight="1">
      <c r="A86" s="3481"/>
      <c r="B86" s="3482"/>
      <c r="C86" s="3487"/>
      <c r="D86" s="3486"/>
      <c r="E86" s="4304"/>
      <c r="F86" s="4305"/>
      <c r="G86" s="3485"/>
    </row>
    <row r="87" spans="1:7" ht="15" customHeight="1">
      <c r="A87" s="3481"/>
      <c r="B87" s="3482"/>
      <c r="C87" s="3487"/>
      <c r="D87" s="3486"/>
      <c r="E87" s="4304"/>
      <c r="F87" s="4305"/>
      <c r="G87" s="3485"/>
    </row>
    <row r="88" spans="1:7" ht="15" customHeight="1">
      <c r="A88" s="3481"/>
      <c r="B88" s="3482"/>
      <c r="C88" s="3487"/>
      <c r="D88" s="3486"/>
      <c r="E88" s="4304"/>
      <c r="F88" s="4305"/>
      <c r="G88" s="3485"/>
    </row>
    <row r="89" spans="1:7" ht="15" customHeight="1">
      <c r="A89" s="3488"/>
      <c r="B89" s="3482"/>
      <c r="C89" s="3487"/>
      <c r="D89" s="3486"/>
      <c r="E89" s="4304"/>
      <c r="F89" s="4305"/>
      <c r="G89" s="3485"/>
    </row>
    <row r="90" spans="1:7" ht="15" customHeight="1">
      <c r="A90" s="3488"/>
      <c r="B90" s="3482"/>
      <c r="C90" s="3487"/>
      <c r="D90" s="3486"/>
      <c r="E90" s="4304"/>
      <c r="F90" s="4305"/>
      <c r="G90" s="3485"/>
    </row>
    <row r="91" spans="1:7" ht="15" customHeight="1">
      <c r="A91" s="3488"/>
      <c r="B91" s="3482"/>
      <c r="C91" s="3487"/>
      <c r="D91" s="3486"/>
      <c r="E91" s="4304"/>
      <c r="F91" s="4305"/>
      <c r="G91" s="3485"/>
    </row>
    <row r="92" spans="1:7" ht="15" customHeight="1">
      <c r="A92" s="3488"/>
      <c r="B92" s="3482"/>
      <c r="C92" s="3487"/>
      <c r="D92" s="3486"/>
      <c r="E92" s="4304"/>
      <c r="F92" s="4305"/>
      <c r="G92" s="3485"/>
    </row>
    <row r="93" spans="1:7" ht="15" customHeight="1" collapsed="1">
      <c r="A93" s="3488"/>
      <c r="B93" s="3482"/>
      <c r="C93" s="3487"/>
      <c r="D93" s="3486"/>
      <c r="E93" s="4304"/>
      <c r="F93" s="4305"/>
      <c r="G93" s="3485"/>
    </row>
    <row r="94" spans="1:7" ht="14.25" hidden="1" customHeight="1" outlineLevel="1">
      <c r="A94" s="3489"/>
      <c r="B94" s="3490"/>
      <c r="C94" s="3487"/>
      <c r="D94" s="3489"/>
      <c r="E94" s="4306"/>
      <c r="F94" s="4307"/>
      <c r="G94" s="3485"/>
    </row>
    <row r="95" spans="1:7" ht="14.25" hidden="1" customHeight="1" outlineLevel="1">
      <c r="A95" s="3489"/>
      <c r="B95" s="3490"/>
      <c r="C95" s="3487"/>
      <c r="D95" s="3489"/>
      <c r="E95" s="4306"/>
      <c r="F95" s="4307"/>
      <c r="G95" s="3485"/>
    </row>
    <row r="96" spans="1:7" ht="14.25" hidden="1" customHeight="1" outlineLevel="1">
      <c r="A96" s="3489"/>
      <c r="B96" s="3490"/>
      <c r="C96" s="3487"/>
      <c r="D96" s="3489"/>
      <c r="E96" s="4306"/>
      <c r="F96" s="4307"/>
      <c r="G96" s="3485"/>
    </row>
    <row r="97" spans="1:7" ht="14.25" hidden="1" customHeight="1" outlineLevel="1">
      <c r="A97" s="3489"/>
      <c r="B97" s="3490"/>
      <c r="C97" s="3487"/>
      <c r="D97" s="3489"/>
      <c r="E97" s="4306"/>
      <c r="F97" s="4307"/>
      <c r="G97" s="3485"/>
    </row>
    <row r="98" spans="1:7" ht="14.25" hidden="1" customHeight="1" outlineLevel="1">
      <c r="A98" s="3489"/>
      <c r="B98" s="3490"/>
      <c r="C98" s="3487"/>
      <c r="D98" s="3489"/>
      <c r="E98" s="4306"/>
      <c r="F98" s="4307"/>
      <c r="G98" s="3485"/>
    </row>
    <row r="99" spans="1:7" ht="14.25" hidden="1" customHeight="1" outlineLevel="1">
      <c r="A99" s="3489"/>
      <c r="B99" s="3490"/>
      <c r="C99" s="3487"/>
      <c r="D99" s="3489"/>
      <c r="E99" s="4306"/>
      <c r="F99" s="4307"/>
      <c r="G99" s="3485"/>
    </row>
    <row r="100" spans="1:7" ht="14.25" hidden="1" customHeight="1" outlineLevel="1">
      <c r="A100" s="3489"/>
      <c r="B100" s="3490"/>
      <c r="C100" s="3487"/>
      <c r="D100" s="3489"/>
      <c r="E100" s="4306"/>
      <c r="F100" s="4307"/>
      <c r="G100" s="3485"/>
    </row>
    <row r="101" spans="1:7" ht="14.25" hidden="1" customHeight="1" outlineLevel="1">
      <c r="A101" s="3489"/>
      <c r="B101" s="3490"/>
      <c r="C101" s="3487"/>
      <c r="D101" s="3489"/>
      <c r="E101" s="4306"/>
      <c r="F101" s="4307"/>
      <c r="G101" s="3485"/>
    </row>
    <row r="102" spans="1:7" ht="14.25" hidden="1" customHeight="1" outlineLevel="1">
      <c r="A102" s="3489"/>
      <c r="B102" s="3491"/>
      <c r="C102" s="3487"/>
      <c r="D102" s="3489"/>
      <c r="E102" s="4310"/>
      <c r="F102" s="4311"/>
      <c r="G102" s="3485"/>
    </row>
    <row r="103" spans="1:7" ht="16.5" customHeight="1">
      <c r="A103" s="4312" t="s">
        <v>3404</v>
      </c>
      <c r="B103" s="4312"/>
      <c r="C103" s="3492"/>
      <c r="D103" s="4312" t="s">
        <v>3405</v>
      </c>
      <c r="E103" s="4312"/>
      <c r="F103" s="4313">
        <f>ROUND(SUM(C84:C93,G84:G93),0)</f>
        <v>0</v>
      </c>
      <c r="G103" s="4313"/>
    </row>
    <row r="104" spans="1:7" ht="18" customHeight="1">
      <c r="A104" s="4314" t="s">
        <v>3406</v>
      </c>
      <c r="B104" s="4315"/>
      <c r="C104" s="4315"/>
      <c r="D104" s="4315"/>
      <c r="E104" s="4315"/>
      <c r="F104" s="4315"/>
      <c r="G104" s="4316"/>
    </row>
    <row r="105" spans="1:7" ht="16.5" customHeight="1">
      <c r="A105" s="3479" t="s">
        <v>3407</v>
      </c>
      <c r="B105" s="3493" t="s">
        <v>3408</v>
      </c>
      <c r="C105" s="3480" t="s">
        <v>3403</v>
      </c>
      <c r="D105" s="3479" t="s">
        <v>3407</v>
      </c>
      <c r="E105" s="3493" t="s">
        <v>3408</v>
      </c>
      <c r="F105" s="3493" t="s">
        <v>3409</v>
      </c>
      <c r="G105" s="3480" t="s">
        <v>3403</v>
      </c>
    </row>
    <row r="106" spans="1:7" ht="15" customHeight="1">
      <c r="A106" s="3494"/>
      <c r="B106" s="3495"/>
      <c r="C106" s="3496"/>
      <c r="D106" s="3497"/>
      <c r="E106" s="3498"/>
      <c r="F106" s="3495"/>
      <c r="G106" s="3496"/>
    </row>
    <row r="107" spans="1:7" ht="15" customHeight="1">
      <c r="A107" s="3494"/>
      <c r="B107" s="3495"/>
      <c r="C107" s="3496"/>
      <c r="D107" s="3497"/>
      <c r="E107" s="3498"/>
      <c r="F107" s="3495"/>
      <c r="G107" s="3496"/>
    </row>
    <row r="108" spans="1:7" ht="15" customHeight="1">
      <c r="A108" s="3494"/>
      <c r="B108" s="3495"/>
      <c r="C108" s="3496"/>
      <c r="D108" s="3497"/>
      <c r="E108" s="3498"/>
      <c r="F108" s="3495"/>
      <c r="G108" s="3496"/>
    </row>
    <row r="109" spans="1:7" ht="15" customHeight="1">
      <c r="A109" s="3494"/>
      <c r="B109" s="3495"/>
      <c r="C109" s="3496"/>
      <c r="D109" s="3497"/>
      <c r="E109" s="3498"/>
      <c r="F109" s="3495"/>
      <c r="G109" s="3496"/>
    </row>
    <row r="110" spans="1:7" ht="15" customHeight="1">
      <c r="A110" s="3494"/>
      <c r="B110" s="3495"/>
      <c r="C110" s="3496"/>
      <c r="D110" s="3497"/>
      <c r="E110" s="3498"/>
      <c r="F110" s="3499"/>
      <c r="G110" s="3496"/>
    </row>
    <row r="111" spans="1:7" ht="15" customHeight="1">
      <c r="A111" s="3494"/>
      <c r="B111" s="3495"/>
      <c r="C111" s="3496"/>
      <c r="D111" s="3497"/>
      <c r="E111" s="3498"/>
      <c r="F111" s="3495"/>
      <c r="G111" s="3496"/>
    </row>
    <row r="112" spans="1:7" ht="15" customHeight="1">
      <c r="A112" s="3494"/>
      <c r="B112" s="3495"/>
      <c r="C112" s="3496"/>
      <c r="D112" s="3497"/>
      <c r="E112" s="3498"/>
      <c r="F112" s="3495"/>
      <c r="G112" s="3496"/>
    </row>
    <row r="113" spans="1:7" ht="15" customHeight="1">
      <c r="A113" s="3494"/>
      <c r="B113" s="3495"/>
      <c r="C113" s="3496"/>
      <c r="D113" s="3497"/>
      <c r="E113" s="3498"/>
      <c r="F113" s="3495"/>
      <c r="G113" s="3496"/>
    </row>
    <row r="114" spans="1:7" ht="15" customHeight="1">
      <c r="A114" s="3494"/>
      <c r="B114" s="3495"/>
      <c r="C114" s="3496"/>
      <c r="D114" s="3497"/>
      <c r="E114" s="3498"/>
      <c r="F114" s="3495"/>
      <c r="G114" s="3496"/>
    </row>
    <row r="115" spans="1:7" ht="15" customHeight="1">
      <c r="A115" s="3494"/>
      <c r="B115" s="3495"/>
      <c r="C115" s="3496"/>
      <c r="D115" s="3497"/>
      <c r="E115" s="3498"/>
      <c r="F115" s="3499"/>
      <c r="G115" s="3496"/>
    </row>
    <row r="116" spans="1:7" ht="15" customHeight="1">
      <c r="A116" s="3494"/>
      <c r="B116" s="3495"/>
      <c r="C116" s="3496"/>
      <c r="D116" s="3500"/>
      <c r="E116" s="3498"/>
      <c r="F116" s="3499"/>
      <c r="G116" s="3496"/>
    </row>
    <row r="117" spans="1:7" ht="15" customHeight="1">
      <c r="A117" s="3494"/>
      <c r="B117" s="3495"/>
      <c r="C117" s="3496"/>
      <c r="D117" s="3500"/>
      <c r="E117" s="3498"/>
      <c r="F117" s="3499"/>
      <c r="G117" s="3496"/>
    </row>
    <row r="118" spans="1:7" ht="15" customHeight="1">
      <c r="A118" s="3494"/>
      <c r="B118" s="3495"/>
      <c r="C118" s="3496"/>
      <c r="D118" s="3500"/>
      <c r="E118" s="3498"/>
      <c r="F118" s="3499"/>
      <c r="G118" s="3496"/>
    </row>
    <row r="119" spans="1:7" ht="15" customHeight="1" collapsed="1">
      <c r="A119" s="3494"/>
      <c r="B119" s="3495"/>
      <c r="C119" s="3496"/>
      <c r="D119" s="3500"/>
      <c r="E119" s="3498"/>
      <c r="F119" s="3499"/>
      <c r="G119" s="3496"/>
    </row>
    <row r="120" spans="1:7" hidden="1" outlineLevel="1">
      <c r="A120" s="3494" t="str">
        <f>E51</f>
        <v>电缆4*4*70</v>
      </c>
      <c r="B120" s="3495" t="str">
        <f>E52</f>
        <v>米</v>
      </c>
      <c r="C120" s="3496">
        <f>E56</f>
        <v>0</v>
      </c>
      <c r="D120" s="3501" t="str">
        <f>F51</f>
        <v>电缆4*4*150</v>
      </c>
      <c r="E120" s="3502" t="str">
        <f>F52</f>
        <v>米</v>
      </c>
      <c r="F120" s="3503">
        <f>F53</f>
        <v>500</v>
      </c>
      <c r="G120" s="3504">
        <f>F56</f>
        <v>0</v>
      </c>
    </row>
    <row r="121" spans="1:7" hidden="1" outlineLevel="1">
      <c r="A121" s="3500" t="str">
        <f>G51</f>
        <v>电缆4*4*95</v>
      </c>
      <c r="B121" s="3498" t="str">
        <f>G52</f>
        <v>米</v>
      </c>
      <c r="C121" s="3496">
        <f>G56</f>
        <v>0</v>
      </c>
      <c r="D121" s="3501" t="str">
        <f>H51</f>
        <v>电缆4*4*96</v>
      </c>
      <c r="E121" s="3502" t="str">
        <f>H52</f>
        <v>米</v>
      </c>
      <c r="F121" s="3503">
        <f>H53</f>
        <v>200</v>
      </c>
      <c r="G121" s="3504">
        <f>H56</f>
        <v>0</v>
      </c>
    </row>
    <row r="122" spans="1:7" hidden="1" outlineLevel="1">
      <c r="A122" s="3494" t="str">
        <f>B57</f>
        <v>电缆4*4*97</v>
      </c>
      <c r="B122" s="3495" t="str">
        <f>B58</f>
        <v>米</v>
      </c>
      <c r="C122" s="3496">
        <f>B62</f>
        <v>0</v>
      </c>
      <c r="D122" s="3500" t="e">
        <f>#REF!</f>
        <v>#REF!</v>
      </c>
      <c r="E122" s="3498" t="e">
        <f>#REF!</f>
        <v>#REF!</v>
      </c>
      <c r="F122" s="3495" t="e">
        <f>#REF!</f>
        <v>#REF!</v>
      </c>
      <c r="G122" s="3496" t="e">
        <f>#REF!</f>
        <v>#REF!</v>
      </c>
    </row>
    <row r="123" spans="1:7" hidden="1" outlineLevel="1">
      <c r="A123" s="3494" t="str">
        <f>C57</f>
        <v>棚</v>
      </c>
      <c r="B123" s="3495">
        <f>C58</f>
        <v>0</v>
      </c>
      <c r="C123" s="3496">
        <f>C62</f>
        <v>177290</v>
      </c>
      <c r="D123" s="3497" t="str">
        <f>D57</f>
        <v>32号建筑物房中房</v>
      </c>
      <c r="E123" s="3498">
        <f>D58</f>
        <v>0</v>
      </c>
      <c r="F123" s="3495">
        <f>D59</f>
        <v>0</v>
      </c>
      <c r="G123" s="3496">
        <f>D62</f>
        <v>30078</v>
      </c>
    </row>
    <row r="124" spans="1:7" hidden="1" outlineLevel="1">
      <c r="A124" s="3497">
        <f>E57</f>
        <v>0</v>
      </c>
      <c r="B124" s="3498" t="str">
        <f>E58</f>
        <v/>
      </c>
      <c r="C124" s="3496">
        <f>E62</f>
        <v>0</v>
      </c>
      <c r="D124" s="3497">
        <f>F57</f>
        <v>0</v>
      </c>
      <c r="E124" s="3498" t="str">
        <f>F58</f>
        <v/>
      </c>
      <c r="F124" s="3495">
        <f>F59</f>
        <v>0</v>
      </c>
      <c r="G124" s="3496">
        <f>F62</f>
        <v>0</v>
      </c>
    </row>
    <row r="125" spans="1:7" hidden="1" outlineLevel="1">
      <c r="A125" s="3497">
        <f>G57</f>
        <v>0</v>
      </c>
      <c r="B125" s="3498" t="str">
        <f>G58</f>
        <v/>
      </c>
      <c r="C125" s="3496">
        <f>G62</f>
        <v>0</v>
      </c>
      <c r="D125" s="3497">
        <f>H57</f>
        <v>0</v>
      </c>
      <c r="E125" s="3498" t="str">
        <f>H58</f>
        <v/>
      </c>
      <c r="F125" s="3495">
        <f>H59</f>
        <v>0</v>
      </c>
      <c r="G125" s="3496">
        <f>H62</f>
        <v>0</v>
      </c>
    </row>
    <row r="126" spans="1:7" hidden="1" outlineLevel="1">
      <c r="A126" s="3494">
        <f>B63</f>
        <v>0</v>
      </c>
      <c r="B126" s="3495" t="str">
        <f>B64</f>
        <v/>
      </c>
      <c r="C126" s="3496">
        <f>B68</f>
        <v>0</v>
      </c>
      <c r="D126" s="3497" t="e">
        <f>#REF!</f>
        <v>#REF!</v>
      </c>
      <c r="E126" s="3498" t="e">
        <f>#REF!</f>
        <v>#REF!</v>
      </c>
      <c r="F126" s="3495" t="e">
        <f>#REF!</f>
        <v>#REF!</v>
      </c>
      <c r="G126" s="3496" t="e">
        <f>#REF!</f>
        <v>#REF!</v>
      </c>
    </row>
    <row r="127" spans="1:7" hidden="1" outlineLevel="1">
      <c r="A127" s="3494">
        <f>C63</f>
        <v>0</v>
      </c>
      <c r="B127" s="3495" t="str">
        <f>C64</f>
        <v/>
      </c>
      <c r="C127" s="3496">
        <f>C68</f>
        <v>0</v>
      </c>
      <c r="D127" s="3497">
        <f>D63</f>
        <v>0</v>
      </c>
      <c r="E127" s="3498" t="str">
        <f>D64</f>
        <v/>
      </c>
      <c r="F127" s="3495">
        <f>D65</f>
        <v>0</v>
      </c>
      <c r="G127" s="3496">
        <f>D68</f>
        <v>0</v>
      </c>
    </row>
    <row r="128" spans="1:7" hidden="1" outlineLevel="1">
      <c r="A128" s="3494">
        <f>E63</f>
        <v>0</v>
      </c>
      <c r="B128" s="3495" t="str">
        <f>E64</f>
        <v/>
      </c>
      <c r="C128" s="3496">
        <f>E68</f>
        <v>0</v>
      </c>
      <c r="D128" s="3497">
        <f>F63</f>
        <v>0</v>
      </c>
      <c r="E128" s="3498" t="str">
        <f>F64</f>
        <v/>
      </c>
      <c r="F128" s="3495">
        <f>F65</f>
        <v>0</v>
      </c>
      <c r="G128" s="3496">
        <f>F68</f>
        <v>0</v>
      </c>
    </row>
    <row r="129" spans="1:7" hidden="1" outlineLevel="1">
      <c r="A129" s="3505">
        <f>G63</f>
        <v>0</v>
      </c>
      <c r="B129" s="3506" t="str">
        <f>G64</f>
        <v/>
      </c>
      <c r="C129" s="3504">
        <f>G68</f>
        <v>0</v>
      </c>
      <c r="D129" s="3505">
        <f>H63</f>
        <v>0</v>
      </c>
      <c r="E129" s="3506" t="str">
        <f>H64</f>
        <v/>
      </c>
      <c r="F129" s="3506">
        <f>H65</f>
        <v>0</v>
      </c>
      <c r="G129" s="3504">
        <f>H68</f>
        <v>0</v>
      </c>
    </row>
    <row r="130" spans="1:7" ht="16.5" customHeight="1">
      <c r="A130" s="4312" t="s">
        <v>3410</v>
      </c>
      <c r="B130" s="4312"/>
      <c r="C130" s="4312"/>
      <c r="D130" s="4319">
        <f>ROUND(SUM(C106:C119,G106:G119),0)</f>
        <v>0</v>
      </c>
      <c r="E130" s="4319"/>
      <c r="F130" s="4319"/>
      <c r="G130" s="4319"/>
    </row>
    <row r="131" spans="1:7" ht="18" customHeight="1" thickBot="1">
      <c r="A131" s="4320" t="s">
        <v>3411</v>
      </c>
      <c r="B131" s="4320"/>
      <c r="C131" s="4320"/>
      <c r="D131" s="4321">
        <f>D130+F103</f>
        <v>0</v>
      </c>
      <c r="E131" s="4322"/>
      <c r="F131" s="4323"/>
      <c r="G131" s="3507" t="s">
        <v>3412</v>
      </c>
    </row>
    <row r="132" spans="1:7" ht="27" customHeight="1" thickTop="1">
      <c r="A132" s="3508" t="s">
        <v>3413</v>
      </c>
      <c r="B132" s="4324" t="e">
        <f>C81+F103+D130</f>
        <v>#REF!</v>
      </c>
      <c r="C132" s="4325"/>
      <c r="D132" s="3509" t="s">
        <v>3414</v>
      </c>
      <c r="E132" s="4326" t="e">
        <f>B132</f>
        <v>#REF!</v>
      </c>
      <c r="F132" s="4327"/>
      <c r="G132" s="4328"/>
    </row>
    <row r="135" spans="1:7">
      <c r="A135" s="4317" t="s">
        <v>3415</v>
      </c>
      <c r="B135" s="4317"/>
      <c r="C135" s="4317"/>
      <c r="D135" s="4317"/>
      <c r="E135" s="4317"/>
      <c r="F135" s="4317"/>
      <c r="G135" s="4317"/>
    </row>
    <row r="136" spans="1:7">
      <c r="A136" s="4317"/>
      <c r="B136" s="4317"/>
      <c r="C136" s="4317"/>
      <c r="D136" s="4317"/>
      <c r="E136" s="4317"/>
      <c r="F136" s="4317"/>
      <c r="G136" s="4317"/>
    </row>
    <row r="137" spans="1:7" ht="24" customHeight="1">
      <c r="A137" s="4278" t="s">
        <v>3416</v>
      </c>
      <c r="B137" s="4278"/>
      <c r="C137" s="4278"/>
      <c r="D137" s="4278"/>
      <c r="E137" s="4278"/>
      <c r="F137" s="4278"/>
      <c r="G137" s="4278"/>
    </row>
    <row r="138" spans="1:7" ht="24" customHeight="1">
      <c r="A138" s="4279"/>
      <c r="B138" s="4279"/>
      <c r="C138" s="4279"/>
      <c r="D138" s="4279"/>
      <c r="E138" s="4279"/>
      <c r="F138" s="4279"/>
      <c r="G138" s="4279"/>
    </row>
    <row r="139" spans="1:7" ht="28.5" customHeight="1">
      <c r="A139" s="3472" t="s">
        <v>3102</v>
      </c>
      <c r="B139" s="4300" t="str">
        <f>I1</f>
        <v>怀盛</v>
      </c>
      <c r="C139" s="4300"/>
      <c r="D139" s="4300"/>
      <c r="E139" s="4300"/>
      <c r="F139" s="4300"/>
      <c r="G139" s="4300"/>
    </row>
    <row r="140" spans="1:7" ht="28.5" customHeight="1" thickBot="1">
      <c r="A140" s="3510" t="s">
        <v>3232</v>
      </c>
      <c r="B140" s="4318">
        <f>B2</f>
        <v>0</v>
      </c>
      <c r="C140" s="4318"/>
      <c r="D140" s="3472" t="s">
        <v>3227</v>
      </c>
      <c r="E140" s="4318" t="str">
        <f>B1</f>
        <v>轨枕厂</v>
      </c>
      <c r="F140" s="4318"/>
      <c r="G140" s="4318"/>
    </row>
    <row r="141" spans="1:7" ht="18" customHeight="1" thickTop="1">
      <c r="A141" s="4302" t="s">
        <v>3417</v>
      </c>
      <c r="B141" s="4302"/>
      <c r="C141" s="4302"/>
      <c r="D141" s="4302"/>
      <c r="E141" s="4302"/>
      <c r="F141" s="4302"/>
      <c r="G141" s="4302"/>
    </row>
    <row r="142" spans="1:7" ht="27" customHeight="1">
      <c r="A142" s="4292" t="s">
        <v>3395</v>
      </c>
      <c r="B142" s="4292"/>
      <c r="C142" s="3511"/>
      <c r="D142" s="4338" t="s">
        <v>3396</v>
      </c>
      <c r="E142" s="4338"/>
      <c r="F142" s="4339" t="e">
        <f>IF(#REF!=0,0,IF(#REF!="1982年之前",267,200))</f>
        <v>#REF!</v>
      </c>
      <c r="G142" s="4339"/>
    </row>
    <row r="143" spans="1:7" ht="27" customHeight="1">
      <c r="A143" s="4291" t="s">
        <v>3418</v>
      </c>
      <c r="B143" s="4292"/>
      <c r="C143" s="3476"/>
      <c r="D143" s="4293" t="s">
        <v>3419</v>
      </c>
      <c r="E143" s="4293"/>
      <c r="F143" s="4294" t="e">
        <f>IF(#REF!=0,0,IF(F142=267,IF(#REF!&lt;200,200*20926,IF(#REF!&lt;267,#REF!*20926,267*20926+(#REF!-267)*20926*0.5)),IF(#REF!&lt;200,200*20926,200*20926+(#REF!-200)*20926*0.3)))-#REF!</f>
        <v>#REF!</v>
      </c>
      <c r="G143" s="4294"/>
    </row>
    <row r="144" spans="1:7" ht="27" customHeight="1" thickBot="1">
      <c r="A144" s="4329" t="s">
        <v>3420</v>
      </c>
      <c r="B144" s="4329"/>
      <c r="C144" s="4330" t="e">
        <f>#REF!+F143</f>
        <v>#REF!</v>
      </c>
      <c r="D144" s="4330"/>
      <c r="E144" s="4330"/>
      <c r="F144" s="4330"/>
      <c r="G144" s="4330"/>
    </row>
    <row r="145" spans="1:7" ht="19.5" customHeight="1" thickTop="1">
      <c r="A145" s="4331" t="s">
        <v>3421</v>
      </c>
      <c r="B145" s="4332"/>
      <c r="C145" s="4332"/>
      <c r="D145" s="4332"/>
      <c r="E145" s="4332"/>
      <c r="F145" s="4332"/>
      <c r="G145" s="4333"/>
    </row>
    <row r="146" spans="1:7" ht="16.5" customHeight="1">
      <c r="A146" s="3477" t="s">
        <v>3401</v>
      </c>
      <c r="B146" s="3478" t="s">
        <v>3402</v>
      </c>
      <c r="C146" s="3478" t="s">
        <v>3403</v>
      </c>
      <c r="D146" s="3479" t="s">
        <v>3401</v>
      </c>
      <c r="E146" s="4308" t="s">
        <v>3402</v>
      </c>
      <c r="F146" s="4309"/>
      <c r="G146" s="3480" t="s">
        <v>3403</v>
      </c>
    </row>
    <row r="147" spans="1:7" ht="15" customHeight="1">
      <c r="A147" s="3481" t="e">
        <f>#REF!</f>
        <v>#REF!</v>
      </c>
      <c r="B147" s="3512" t="e">
        <f>#REF!</f>
        <v>#REF!</v>
      </c>
      <c r="C147" s="3481" t="e">
        <f>#REF!</f>
        <v>#REF!</v>
      </c>
      <c r="D147" s="3484" t="str">
        <f>$C$3</f>
        <v>建筑物1</v>
      </c>
      <c r="E147" s="4334">
        <f>$C$8</f>
        <v>335.66</v>
      </c>
      <c r="F147" s="4335"/>
      <c r="G147" s="3484">
        <f>$C$30</f>
        <v>267508</v>
      </c>
    </row>
    <row r="148" spans="1:7" ht="15" customHeight="1">
      <c r="A148" s="3481" t="str">
        <f>$D$3</f>
        <v>建筑物2</v>
      </c>
      <c r="B148" s="3512">
        <f>$D$8</f>
        <v>72.36</v>
      </c>
      <c r="C148" s="3481">
        <f>$D$30</f>
        <v>56630</v>
      </c>
      <c r="D148" s="3486" t="str">
        <f>$E$3</f>
        <v>建筑物3</v>
      </c>
      <c r="E148" s="4336">
        <f>$E$8</f>
        <v>2688.82</v>
      </c>
      <c r="F148" s="4337"/>
      <c r="G148" s="3486">
        <f>$E$30</f>
        <v>3402523</v>
      </c>
    </row>
    <row r="149" spans="1:7" ht="15" customHeight="1">
      <c r="A149" s="3481" t="str">
        <f>$F$3</f>
        <v>建筑物4</v>
      </c>
      <c r="B149" s="3512">
        <f>$F$8</f>
        <v>39.07</v>
      </c>
      <c r="C149" s="3481">
        <f>$F$30</f>
        <v>46239</v>
      </c>
      <c r="D149" s="3486" t="str">
        <f>$G$3</f>
        <v>建筑物5</v>
      </c>
      <c r="E149" s="4336">
        <f>$G$8</f>
        <v>74.41</v>
      </c>
      <c r="F149" s="4337"/>
      <c r="G149" s="3486">
        <f>$G$30</f>
        <v>49316</v>
      </c>
    </row>
    <row r="150" spans="1:7" ht="15" customHeight="1">
      <c r="A150" s="3481" t="str">
        <f>$H$3</f>
        <v>建筑物6</v>
      </c>
      <c r="B150" s="3512">
        <f>$H$8</f>
        <v>43.63</v>
      </c>
      <c r="C150" s="3481">
        <f>$H$30</f>
        <v>20833</v>
      </c>
      <c r="D150" s="3486" t="str">
        <f>$I$3</f>
        <v>建筑物7</v>
      </c>
      <c r="E150" s="4336">
        <f>$I$8</f>
        <v>134.66999999999999</v>
      </c>
      <c r="F150" s="4337"/>
      <c r="G150" s="3486">
        <f>$I$30</f>
        <v>100624</v>
      </c>
    </row>
    <row r="151" spans="1:7" ht="15" customHeight="1">
      <c r="A151" s="3481" t="str">
        <f>$J$3</f>
        <v>建筑物8</v>
      </c>
      <c r="B151" s="3512">
        <f>$J$8</f>
        <v>25.34</v>
      </c>
      <c r="C151" s="3481">
        <f>$J$30</f>
        <v>8725</v>
      </c>
      <c r="D151" s="3486" t="str">
        <f>$K$3</f>
        <v>建筑物9</v>
      </c>
      <c r="E151" s="4336">
        <f>$K$8</f>
        <v>45.63</v>
      </c>
      <c r="F151" s="4337"/>
      <c r="G151" s="3486">
        <f>$K$30</f>
        <v>46776</v>
      </c>
    </row>
    <row r="152" spans="1:7" ht="15" customHeight="1">
      <c r="A152" s="3488" t="str">
        <f>$L$3</f>
        <v>建筑物10</v>
      </c>
      <c r="B152" s="3513">
        <f>$L$8</f>
        <v>30.3</v>
      </c>
      <c r="C152" s="3488">
        <f>$L$30</f>
        <v>21297</v>
      </c>
      <c r="D152" s="3486" t="e">
        <f>#REF!</f>
        <v>#REF!</v>
      </c>
      <c r="E152" s="4336" t="e">
        <f>#REF!</f>
        <v>#REF!</v>
      </c>
      <c r="F152" s="4337"/>
      <c r="G152" s="3486" t="e">
        <f>#REF!</f>
        <v>#REF!</v>
      </c>
    </row>
    <row r="153" spans="1:7" ht="15" customHeight="1">
      <c r="A153" s="3488" t="e">
        <f>#REF!</f>
        <v>#REF!</v>
      </c>
      <c r="B153" s="3513" t="e">
        <f>#REF!</f>
        <v>#REF!</v>
      </c>
      <c r="C153" s="3488" t="e">
        <f>#REF!</f>
        <v>#REF!</v>
      </c>
      <c r="D153" s="3486" t="e">
        <f>#REF!</f>
        <v>#REF!</v>
      </c>
      <c r="E153" s="4336" t="e">
        <f>#REF!</f>
        <v>#REF!</v>
      </c>
      <c r="F153" s="4337"/>
      <c r="G153" s="3486" t="e">
        <f>#REF!</f>
        <v>#REF!</v>
      </c>
    </row>
    <row r="154" spans="1:7" ht="15" customHeight="1">
      <c r="A154" s="3488" t="e">
        <f>#REF!</f>
        <v>#REF!</v>
      </c>
      <c r="B154" s="3513" t="e">
        <f>#REF!</f>
        <v>#REF!</v>
      </c>
      <c r="C154" s="3488" t="e">
        <f>#REF!</f>
        <v>#REF!</v>
      </c>
      <c r="D154" s="3486" t="e">
        <f>#REF!</f>
        <v>#REF!</v>
      </c>
      <c r="E154" s="4336" t="e">
        <f>#REF!</f>
        <v>#REF!</v>
      </c>
      <c r="F154" s="4337"/>
      <c r="G154" s="3486" t="e">
        <f>#REF!</f>
        <v>#REF!</v>
      </c>
    </row>
    <row r="155" spans="1:7" ht="15" customHeight="1">
      <c r="A155" s="3488" t="e">
        <f>#REF!</f>
        <v>#REF!</v>
      </c>
      <c r="B155" s="3513" t="e">
        <f>#REF!</f>
        <v>#REF!</v>
      </c>
      <c r="C155" s="3488" t="e">
        <f>#REF!</f>
        <v>#REF!</v>
      </c>
      <c r="D155" s="3486" t="e">
        <f>#REF!</f>
        <v>#REF!</v>
      </c>
      <c r="E155" s="4336" t="e">
        <f>#REF!</f>
        <v>#REF!</v>
      </c>
      <c r="F155" s="4337"/>
      <c r="G155" s="3486" t="e">
        <f>#REF!</f>
        <v>#REF!</v>
      </c>
    </row>
    <row r="156" spans="1:7" ht="15" customHeight="1" collapsed="1">
      <c r="A156" s="3488" t="e">
        <f>#REF!</f>
        <v>#REF!</v>
      </c>
      <c r="B156" s="3513" t="e">
        <f>#REF!</f>
        <v>#REF!</v>
      </c>
      <c r="C156" s="3488" t="e">
        <f>#REF!</f>
        <v>#REF!</v>
      </c>
      <c r="D156" s="3486" t="e">
        <f>#REF!</f>
        <v>#REF!</v>
      </c>
      <c r="E156" s="4336" t="e">
        <f>#REF!</f>
        <v>#REF!</v>
      </c>
      <c r="F156" s="4337"/>
      <c r="G156" s="3486" t="e">
        <f>#REF!</f>
        <v>#REF!</v>
      </c>
    </row>
    <row r="157" spans="1:7" ht="14.25" hidden="1" customHeight="1" outlineLevel="1">
      <c r="A157" s="3489"/>
      <c r="B157" s="3490"/>
      <c r="C157" s="3487"/>
      <c r="D157" s="3489"/>
      <c r="E157" s="4306"/>
      <c r="F157" s="4307"/>
      <c r="G157" s="3485"/>
    </row>
    <row r="158" spans="1:7" ht="14.25" hidden="1" customHeight="1" outlineLevel="1">
      <c r="A158" s="3489"/>
      <c r="B158" s="3490"/>
      <c r="C158" s="3487"/>
      <c r="D158" s="3489"/>
      <c r="E158" s="4306"/>
      <c r="F158" s="4307"/>
      <c r="G158" s="3485"/>
    </row>
    <row r="159" spans="1:7" ht="14.25" hidden="1" customHeight="1" outlineLevel="1">
      <c r="A159" s="3489"/>
      <c r="B159" s="3490"/>
      <c r="C159" s="3487"/>
      <c r="D159" s="3489"/>
      <c r="E159" s="4306"/>
      <c r="F159" s="4307"/>
      <c r="G159" s="3485"/>
    </row>
    <row r="160" spans="1:7" ht="14.25" hidden="1" customHeight="1" outlineLevel="1">
      <c r="A160" s="3489"/>
      <c r="B160" s="3490"/>
      <c r="C160" s="3487"/>
      <c r="D160" s="3489"/>
      <c r="E160" s="4306"/>
      <c r="F160" s="4307"/>
      <c r="G160" s="3485"/>
    </row>
    <row r="161" spans="1:7" ht="14.25" hidden="1" customHeight="1" outlineLevel="1">
      <c r="A161" s="3489"/>
      <c r="B161" s="3490"/>
      <c r="C161" s="3487"/>
      <c r="D161" s="3489"/>
      <c r="E161" s="4306"/>
      <c r="F161" s="4307"/>
      <c r="G161" s="3485"/>
    </row>
    <row r="162" spans="1:7" ht="14.25" hidden="1" customHeight="1" outlineLevel="1">
      <c r="A162" s="3489"/>
      <c r="B162" s="3490"/>
      <c r="C162" s="3487"/>
      <c r="D162" s="3489"/>
      <c r="E162" s="4306"/>
      <c r="F162" s="4307"/>
      <c r="G162" s="3485"/>
    </row>
    <row r="163" spans="1:7" ht="14.25" hidden="1" customHeight="1" outlineLevel="1">
      <c r="A163" s="3489"/>
      <c r="B163" s="3490"/>
      <c r="C163" s="3487"/>
      <c r="D163" s="3489"/>
      <c r="E163" s="4306"/>
      <c r="F163" s="4307"/>
      <c r="G163" s="3485"/>
    </row>
    <row r="164" spans="1:7" ht="14.25" hidden="1" customHeight="1" outlineLevel="1">
      <c r="A164" s="3489"/>
      <c r="B164" s="3490"/>
      <c r="C164" s="3487"/>
      <c r="D164" s="3489"/>
      <c r="E164" s="4306"/>
      <c r="F164" s="4307"/>
      <c r="G164" s="3485"/>
    </row>
    <row r="165" spans="1:7" ht="14.25" hidden="1" customHeight="1" outlineLevel="1">
      <c r="A165" s="3489"/>
      <c r="B165" s="3490"/>
      <c r="C165" s="3487"/>
      <c r="D165" s="3489"/>
      <c r="E165" s="4306"/>
      <c r="F165" s="4307"/>
      <c r="G165" s="3485"/>
    </row>
    <row r="166" spans="1:7" ht="14.25" hidden="1" customHeight="1" outlineLevel="1">
      <c r="A166" s="3489"/>
      <c r="B166" s="3491"/>
      <c r="C166" s="3487"/>
      <c r="D166" s="3489"/>
      <c r="E166" s="4310"/>
      <c r="F166" s="4311"/>
      <c r="G166" s="3485"/>
    </row>
    <row r="167" spans="1:7" ht="16.5" customHeight="1">
      <c r="A167" s="4312" t="s">
        <v>3404</v>
      </c>
      <c r="B167" s="4312"/>
      <c r="C167" s="3492"/>
      <c r="D167" s="4312" t="s">
        <v>3405</v>
      </c>
      <c r="E167" s="4312"/>
      <c r="F167" s="4340" t="e">
        <f>ROUND(SUM(C147:C156,G147:G156),0)</f>
        <v>#REF!</v>
      </c>
      <c r="G167" s="4340"/>
    </row>
    <row r="168" spans="1:7" ht="18" customHeight="1">
      <c r="A168" s="4314" t="s">
        <v>3406</v>
      </c>
      <c r="B168" s="4315"/>
      <c r="C168" s="4315"/>
      <c r="D168" s="4315"/>
      <c r="E168" s="4315"/>
      <c r="F168" s="4315"/>
      <c r="G168" s="4316"/>
    </row>
    <row r="169" spans="1:7" ht="16.5" customHeight="1">
      <c r="A169" s="3514" t="s">
        <v>3407</v>
      </c>
      <c r="B169" s="3515" t="s">
        <v>3408</v>
      </c>
      <c r="C169" s="3516" t="s">
        <v>3403</v>
      </c>
      <c r="D169" s="3514" t="s">
        <v>3407</v>
      </c>
      <c r="E169" s="3515" t="s">
        <v>3408</v>
      </c>
      <c r="F169" s="3515" t="s">
        <v>3409</v>
      </c>
      <c r="G169" s="3516" t="s">
        <v>3403</v>
      </c>
    </row>
    <row r="170" spans="1:7" ht="15" customHeight="1">
      <c r="A170" s="3517" t="str">
        <f>$B$33</f>
        <v>普通灯</v>
      </c>
      <c r="B170" s="3518" t="str">
        <f>$B$34</f>
        <v>份</v>
      </c>
      <c r="C170" s="3519">
        <f>$B$38</f>
        <v>18144</v>
      </c>
      <c r="D170" s="3520" t="e">
        <f>#REF!</f>
        <v>#REF!</v>
      </c>
      <c r="E170" s="3521" t="e">
        <f>#REF!</f>
        <v>#REF!</v>
      </c>
      <c r="F170" s="3521" t="e">
        <f>#REF!</f>
        <v>#REF!</v>
      </c>
      <c r="G170" s="3522" t="e">
        <f>#REF!</f>
        <v>#REF!</v>
      </c>
    </row>
    <row r="171" spans="1:7" ht="15" customHeight="1">
      <c r="A171" s="3494" t="str">
        <f>$C$33</f>
        <v>陶瓷池</v>
      </c>
      <c r="B171" s="3495" t="str">
        <f>$C$34</f>
        <v>个</v>
      </c>
      <c r="C171" s="3496">
        <f>$C$38</f>
        <v>2696</v>
      </c>
      <c r="D171" s="3523" t="str">
        <f>$D$33</f>
        <v>水泥池</v>
      </c>
      <c r="E171" s="3498" t="str">
        <f>$D$34</f>
        <v>个</v>
      </c>
      <c r="F171" s="3498">
        <f>$D$35</f>
        <v>2</v>
      </c>
      <c r="G171" s="3524">
        <f>$D$38</f>
        <v>642</v>
      </c>
    </row>
    <row r="172" spans="1:7" ht="15" customHeight="1">
      <c r="A172" s="3494" t="str">
        <f>$E$33</f>
        <v>配电箱</v>
      </c>
      <c r="B172" s="3495" t="str">
        <f>$E$34</f>
        <v>个</v>
      </c>
      <c r="C172" s="3496">
        <f>$E$38</f>
        <v>11715</v>
      </c>
      <c r="D172" s="3523" t="str">
        <f>$F$33</f>
        <v>化粪池</v>
      </c>
      <c r="E172" s="3498" t="str">
        <f>$F$34</f>
        <v>座</v>
      </c>
      <c r="F172" s="3498">
        <f>$F$35</f>
        <v>2</v>
      </c>
      <c r="G172" s="3524">
        <f>$F$38</f>
        <v>4350</v>
      </c>
    </row>
    <row r="173" spans="1:7" ht="15" customHeight="1">
      <c r="A173" s="3494" t="str">
        <f>$G$33</f>
        <v>雨搭</v>
      </c>
      <c r="B173" s="3495" t="str">
        <f>$G$34</f>
        <v>平方米</v>
      </c>
      <c r="C173" s="3496">
        <f>$G$38</f>
        <v>3730</v>
      </c>
      <c r="D173" s="3523" t="str">
        <f>$H$33</f>
        <v>铁门</v>
      </c>
      <c r="E173" s="3498" t="str">
        <f>$H$34</f>
        <v>平方米</v>
      </c>
      <c r="F173" s="3498">
        <f>$H$35</f>
        <v>99.2</v>
      </c>
      <c r="G173" s="3524">
        <f>$H$38</f>
        <v>26937</v>
      </c>
    </row>
    <row r="174" spans="1:7" ht="15" customHeight="1">
      <c r="A174" s="3494" t="str">
        <f>$B$39</f>
        <v>防盗门（单）</v>
      </c>
      <c r="B174" s="3495" t="str">
        <f>$B$40</f>
        <v>个</v>
      </c>
      <c r="C174" s="3496">
        <f>$B$44</f>
        <v>16736</v>
      </c>
      <c r="D174" s="3523" t="e">
        <f>#REF!</f>
        <v>#REF!</v>
      </c>
      <c r="E174" s="3498" t="e">
        <f>#REF!</f>
        <v>#REF!</v>
      </c>
      <c r="F174" s="3498" t="e">
        <f>#REF!</f>
        <v>#REF!</v>
      </c>
      <c r="G174" s="3524" t="e">
        <f>#REF!</f>
        <v>#REF!</v>
      </c>
    </row>
    <row r="175" spans="1:7" ht="15" customHeight="1">
      <c r="A175" s="3494" t="str">
        <f>$C$39</f>
        <v>防盗门（双）</v>
      </c>
      <c r="B175" s="3495" t="str">
        <f>$C$40</f>
        <v>座</v>
      </c>
      <c r="C175" s="3496">
        <f>$C$44</f>
        <v>5021</v>
      </c>
      <c r="D175" s="3523" t="str">
        <f>$D$39</f>
        <v>卷帘门（自动）</v>
      </c>
      <c r="E175" s="3498" t="str">
        <f>$D$40</f>
        <v>平方米</v>
      </c>
      <c r="F175" s="3498">
        <f>$D$41</f>
        <v>13.46</v>
      </c>
      <c r="G175" s="3524">
        <f>$D$44</f>
        <v>3942</v>
      </c>
    </row>
    <row r="176" spans="1:7" ht="15" customHeight="1">
      <c r="A176" s="3494" t="str">
        <f>$E$39</f>
        <v>窗帘杆-普通</v>
      </c>
      <c r="B176" s="3495" t="str">
        <f>$E$40</f>
        <v>米</v>
      </c>
      <c r="C176" s="3496">
        <f>$E$44</f>
        <v>156</v>
      </c>
      <c r="D176" s="3523" t="str">
        <f>$F$39</f>
        <v>蹲式大便器</v>
      </c>
      <c r="E176" s="3498" t="str">
        <f>$F$40</f>
        <v>个</v>
      </c>
      <c r="F176" s="3498">
        <f>$F$41</f>
        <v>13</v>
      </c>
      <c r="G176" s="3524">
        <f>$F$44</f>
        <v>8504</v>
      </c>
    </row>
    <row r="177" spans="1:7" ht="15" customHeight="1">
      <c r="A177" s="3494" t="str">
        <f>$G$39</f>
        <v>小便器</v>
      </c>
      <c r="B177" s="3495" t="str">
        <f>$G$40</f>
        <v>个</v>
      </c>
      <c r="C177" s="3496">
        <f>$G$44</f>
        <v>4118</v>
      </c>
      <c r="D177" s="3523" t="str">
        <f>$H$39</f>
        <v>铁梯</v>
      </c>
      <c r="E177" s="3498" t="str">
        <f>$H$40</f>
        <v>延米</v>
      </c>
      <c r="F177" s="3498">
        <f>$H$41</f>
        <v>9</v>
      </c>
      <c r="G177" s="3524">
        <f>$H$44</f>
        <v>3012</v>
      </c>
    </row>
    <row r="178" spans="1:7" ht="15" customHeight="1">
      <c r="A178" s="3494" t="str">
        <f>$B$45</f>
        <v>铁护窗</v>
      </c>
      <c r="B178" s="3495">
        <f>$B$46</f>
        <v>0</v>
      </c>
      <c r="C178" s="3496">
        <f>$B$50</f>
        <v>4215</v>
      </c>
      <c r="D178" s="3523" t="e">
        <f>#REF!</f>
        <v>#REF!</v>
      </c>
      <c r="E178" s="3498" t="e">
        <f>#REF!</f>
        <v>#REF!</v>
      </c>
      <c r="F178" s="3498" t="e">
        <f>#REF!</f>
        <v>#REF!</v>
      </c>
      <c r="G178" s="3524" t="e">
        <f>#REF!</f>
        <v>#REF!</v>
      </c>
    </row>
    <row r="179" spans="1:7" ht="15" customHeight="1">
      <c r="A179" s="3494" t="str">
        <f>$C$45</f>
        <v>不锈钢栏杆</v>
      </c>
      <c r="B179" s="3495" t="str">
        <f>$C$46</f>
        <v>个</v>
      </c>
      <c r="C179" s="3496">
        <f>$C$50</f>
        <v>8314</v>
      </c>
      <c r="D179" s="3523" t="str">
        <f>$D$45</f>
        <v>铁栏杆</v>
      </c>
      <c r="E179" s="3498" t="str">
        <f>$D$46</f>
        <v>m2</v>
      </c>
      <c r="F179" s="3498">
        <f>$D$47</f>
        <v>56.35</v>
      </c>
      <c r="G179" s="3524">
        <f>$D$50</f>
        <v>5658</v>
      </c>
    </row>
    <row r="180" spans="1:7" ht="15" customHeight="1">
      <c r="A180" s="3494">
        <f>$E$45</f>
        <v>0</v>
      </c>
      <c r="B180" s="3495" t="str">
        <f>$E$46</f>
        <v/>
      </c>
      <c r="C180" s="3496">
        <f>$E$50</f>
        <v>0</v>
      </c>
      <c r="D180" s="3523" t="str">
        <f>$F$45</f>
        <v>锦砖贴面</v>
      </c>
      <c r="E180" s="3498" t="str">
        <f>$F$46</f>
        <v>平方米</v>
      </c>
      <c r="F180" s="3498">
        <f>$F$47</f>
        <v>1720.04</v>
      </c>
      <c r="G180" s="3524">
        <f>$F$50</f>
        <v>89166</v>
      </c>
    </row>
    <row r="181" spans="1:7" ht="15" customHeight="1">
      <c r="A181" s="3494" t="str">
        <f>$G$45</f>
        <v>院墙</v>
      </c>
      <c r="B181" s="3495" t="str">
        <f>$G$46</f>
        <v>平方米</v>
      </c>
      <c r="C181" s="3496">
        <f>$G$50</f>
        <v>104198</v>
      </c>
      <c r="D181" s="3523" t="str">
        <f>$H$45</f>
        <v>院地</v>
      </c>
      <c r="E181" s="3498" t="str">
        <f>$H$46</f>
        <v>平方米</v>
      </c>
      <c r="F181" s="3498">
        <f>$H$47</f>
        <v>22740</v>
      </c>
      <c r="G181" s="3524">
        <f>$H$50</f>
        <v>1178836</v>
      </c>
    </row>
    <row r="182" spans="1:7" ht="15" customHeight="1">
      <c r="A182" s="3494" t="str">
        <f>$B$51</f>
        <v>整砖24隔断</v>
      </c>
      <c r="B182" s="3495" t="str">
        <f>$B$52</f>
        <v>平方米</v>
      </c>
      <c r="C182" s="3496">
        <f>$B$56</f>
        <v>13330</v>
      </c>
      <c r="D182" s="3523" t="e">
        <f>#REF!</f>
        <v>#REF!</v>
      </c>
      <c r="E182" s="3498" t="e">
        <f>#REF!</f>
        <v>#REF!</v>
      </c>
      <c r="F182" s="3498" t="e">
        <f>#REF!</f>
        <v>#REF!</v>
      </c>
      <c r="G182" s="3524" t="e">
        <f>#REF!</f>
        <v>#REF!</v>
      </c>
    </row>
    <row r="183" spans="1:7" ht="15" customHeight="1" collapsed="1">
      <c r="A183" s="3525" t="str">
        <f>$C$51</f>
        <v>水漏斗</v>
      </c>
      <c r="B183" s="3526" t="str">
        <f>$C$52</f>
        <v>个</v>
      </c>
      <c r="C183" s="3527">
        <f>$C$56</f>
        <v>1106</v>
      </c>
      <c r="D183" s="3528" t="str">
        <f>$D$51</f>
        <v>电缆3*3*16</v>
      </c>
      <c r="E183" s="3529" t="str">
        <f>$D$52</f>
        <v>米</v>
      </c>
      <c r="F183" s="3529">
        <f>$D$53</f>
        <v>1500</v>
      </c>
      <c r="G183" s="3530">
        <f>$D$56</f>
        <v>0</v>
      </c>
    </row>
    <row r="184" spans="1:7" hidden="1" outlineLevel="1">
      <c r="A184" s="3531"/>
      <c r="B184" s="3532"/>
      <c r="C184" s="3533"/>
      <c r="D184" s="3534"/>
      <c r="E184" s="3535"/>
      <c r="F184" s="3536"/>
      <c r="G184" s="3537"/>
    </row>
    <row r="185" spans="1:7" hidden="1" outlineLevel="1">
      <c r="A185" s="3500"/>
      <c r="B185" s="3498"/>
      <c r="C185" s="3496"/>
      <c r="D185" s="3501"/>
      <c r="E185" s="3502"/>
      <c r="F185" s="3503"/>
      <c r="G185" s="3504"/>
    </row>
    <row r="186" spans="1:7" hidden="1" outlineLevel="1">
      <c r="A186" s="3494"/>
      <c r="B186" s="3495"/>
      <c r="C186" s="3496"/>
      <c r="D186" s="3500"/>
      <c r="E186" s="3498"/>
      <c r="F186" s="3495"/>
      <c r="G186" s="3496"/>
    </row>
    <row r="187" spans="1:7" hidden="1" outlineLevel="1">
      <c r="A187" s="3494"/>
      <c r="B187" s="3495"/>
      <c r="C187" s="3496"/>
      <c r="D187" s="3497"/>
      <c r="E187" s="3498"/>
      <c r="F187" s="3495"/>
      <c r="G187" s="3496"/>
    </row>
    <row r="188" spans="1:7" hidden="1" outlineLevel="1">
      <c r="A188" s="3497"/>
      <c r="B188" s="3498"/>
      <c r="C188" s="3496"/>
      <c r="D188" s="3497"/>
      <c r="E188" s="3498"/>
      <c r="F188" s="3495"/>
      <c r="G188" s="3496"/>
    </row>
    <row r="189" spans="1:7" hidden="1" outlineLevel="1">
      <c r="A189" s="3497"/>
      <c r="B189" s="3498"/>
      <c r="C189" s="3496"/>
      <c r="D189" s="3497"/>
      <c r="E189" s="3498"/>
      <c r="F189" s="3495"/>
      <c r="G189" s="3496"/>
    </row>
    <row r="190" spans="1:7" hidden="1" outlineLevel="1">
      <c r="A190" s="3494"/>
      <c r="B190" s="3495"/>
      <c r="C190" s="3496"/>
      <c r="D190" s="3497"/>
      <c r="E190" s="3498"/>
      <c r="F190" s="3495"/>
      <c r="G190" s="3496"/>
    </row>
    <row r="191" spans="1:7" hidden="1" outlineLevel="1">
      <c r="A191" s="3494"/>
      <c r="B191" s="3495"/>
      <c r="C191" s="3496"/>
      <c r="D191" s="3497"/>
      <c r="E191" s="3498"/>
      <c r="F191" s="3495"/>
      <c r="G191" s="3496"/>
    </row>
    <row r="192" spans="1:7" hidden="1" outlineLevel="1">
      <c r="A192" s="3494"/>
      <c r="B192" s="3495"/>
      <c r="C192" s="3496"/>
      <c r="D192" s="3497"/>
      <c r="E192" s="3498"/>
      <c r="F192" s="3495"/>
      <c r="G192" s="3496"/>
    </row>
    <row r="193" spans="1:7" hidden="1" outlineLevel="1">
      <c r="A193" s="3505"/>
      <c r="B193" s="3506"/>
      <c r="C193" s="3504"/>
      <c r="D193" s="3505"/>
      <c r="E193" s="3506"/>
      <c r="F193" s="3506"/>
      <c r="G193" s="3504"/>
    </row>
    <row r="194" spans="1:7" ht="16.5" customHeight="1">
      <c r="A194" s="4312" t="s">
        <v>3410</v>
      </c>
      <c r="B194" s="4312"/>
      <c r="C194" s="4312"/>
      <c r="D194" s="4313" t="e">
        <f>ROUND(SUM(C170:C183,G170:G183),0)</f>
        <v>#REF!</v>
      </c>
      <c r="E194" s="4313"/>
      <c r="F194" s="4313"/>
      <c r="G194" s="4313"/>
    </row>
    <row r="195" spans="1:7" ht="18" customHeight="1" thickBot="1">
      <c r="A195" s="4341" t="s">
        <v>3411</v>
      </c>
      <c r="B195" s="4341"/>
      <c r="C195" s="4341"/>
      <c r="D195" s="4342" t="e">
        <f>D194+F167</f>
        <v>#REF!</v>
      </c>
      <c r="E195" s="4341"/>
      <c r="F195" s="4341"/>
      <c r="G195" s="4341"/>
    </row>
    <row r="196" spans="1:7" ht="27" customHeight="1" thickTop="1">
      <c r="A196" s="3538" t="s">
        <v>3413</v>
      </c>
      <c r="B196" s="4343" t="e">
        <f>D195+C144</f>
        <v>#REF!</v>
      </c>
      <c r="C196" s="4344"/>
      <c r="D196" s="3539" t="s">
        <v>3414</v>
      </c>
      <c r="E196" s="4345" t="e">
        <f>B196</f>
        <v>#REF!</v>
      </c>
      <c r="F196" s="4345"/>
      <c r="G196" s="4345"/>
    </row>
    <row r="198" spans="1:7">
      <c r="A198" s="4346" t="s">
        <v>3422</v>
      </c>
      <c r="B198" s="4346"/>
      <c r="C198" s="4346"/>
      <c r="D198" s="4346"/>
      <c r="E198" s="4346"/>
      <c r="F198" s="4346"/>
      <c r="G198" s="4346"/>
    </row>
    <row r="199" spans="1:7">
      <c r="A199" s="4346"/>
      <c r="B199" s="4346"/>
      <c r="C199" s="4346"/>
      <c r="D199" s="4346"/>
      <c r="E199" s="4346"/>
      <c r="F199" s="4346"/>
      <c r="G199" s="4346"/>
    </row>
    <row r="200" spans="1:7" ht="24" customHeight="1">
      <c r="A200" s="4278" t="s">
        <v>3423</v>
      </c>
      <c r="B200" s="4278"/>
      <c r="C200" s="4278"/>
      <c r="D200" s="4278"/>
      <c r="E200" s="4278"/>
      <c r="F200" s="4278"/>
      <c r="G200" s="4278"/>
    </row>
    <row r="201" spans="1:7" ht="24" customHeight="1">
      <c r="A201" s="4279"/>
      <c r="B201" s="4279"/>
      <c r="C201" s="4279"/>
      <c r="D201" s="4279"/>
      <c r="E201" s="4279"/>
      <c r="F201" s="4279"/>
      <c r="G201" s="4279"/>
    </row>
    <row r="202" spans="1:7" ht="28.5" customHeight="1">
      <c r="A202" s="3472" t="s">
        <v>3102</v>
      </c>
      <c r="B202" s="4300" t="str">
        <f>I1</f>
        <v>怀盛</v>
      </c>
      <c r="C202" s="4300"/>
      <c r="D202" s="4300"/>
      <c r="E202" s="4300"/>
      <c r="F202" s="4300"/>
      <c r="G202" s="4300"/>
    </row>
    <row r="203" spans="1:7" ht="28.5" customHeight="1">
      <c r="A203" s="3510" t="s">
        <v>3232</v>
      </c>
      <c r="B203" s="4318">
        <f>B2</f>
        <v>0</v>
      </c>
      <c r="C203" s="4318"/>
      <c r="D203" s="3472" t="s">
        <v>3227</v>
      </c>
      <c r="E203" s="4318" t="str">
        <f>B1</f>
        <v>轨枕厂</v>
      </c>
      <c r="F203" s="4318"/>
      <c r="G203" s="4318"/>
    </row>
    <row r="204" spans="1:7" ht="18" customHeight="1">
      <c r="A204" s="4314" t="s">
        <v>3424</v>
      </c>
      <c r="B204" s="4315"/>
      <c r="C204" s="4315"/>
      <c r="D204" s="4315"/>
      <c r="E204" s="4315"/>
      <c r="F204" s="4315"/>
      <c r="G204" s="4316"/>
    </row>
    <row r="205" spans="1:7" ht="16.5" customHeight="1">
      <c r="A205" s="3477" t="s">
        <v>3401</v>
      </c>
      <c r="B205" s="3478" t="s">
        <v>2915</v>
      </c>
      <c r="C205" s="3478" t="s">
        <v>3403</v>
      </c>
      <c r="D205" s="3479" t="s">
        <v>3401</v>
      </c>
      <c r="E205" s="4308" t="s">
        <v>2915</v>
      </c>
      <c r="F205" s="4309"/>
      <c r="G205" s="3480" t="s">
        <v>3403</v>
      </c>
    </row>
    <row r="206" spans="1:7" ht="15" customHeight="1">
      <c r="A206" s="3481" t="e">
        <f>#REF!</f>
        <v>#REF!</v>
      </c>
      <c r="B206" s="3540" t="e">
        <f>#REF!</f>
        <v>#REF!</v>
      </c>
      <c r="C206" s="3481" t="e">
        <f>#REF!</f>
        <v>#REF!</v>
      </c>
      <c r="D206" s="3484" t="str">
        <f>$C$3</f>
        <v>建筑物1</v>
      </c>
      <c r="E206" s="4349">
        <f>$C$8</f>
        <v>335.66</v>
      </c>
      <c r="F206" s="4350"/>
      <c r="G206" s="3484">
        <f>$C$30</f>
        <v>267508</v>
      </c>
    </row>
    <row r="207" spans="1:7" ht="15" customHeight="1">
      <c r="A207" s="3481" t="str">
        <f>$D$3</f>
        <v>建筑物2</v>
      </c>
      <c r="B207" s="3540">
        <f>$D$8</f>
        <v>72.36</v>
      </c>
      <c r="C207" s="3481">
        <f>$D$30</f>
        <v>56630</v>
      </c>
      <c r="D207" s="3486" t="str">
        <f>$E$3</f>
        <v>建筑物3</v>
      </c>
      <c r="E207" s="4347">
        <f>$E$8</f>
        <v>2688.82</v>
      </c>
      <c r="F207" s="4348"/>
      <c r="G207" s="3486">
        <f>$E$30</f>
        <v>3402523</v>
      </c>
    </row>
    <row r="208" spans="1:7" ht="15" customHeight="1">
      <c r="A208" s="3481" t="str">
        <f>$F$3</f>
        <v>建筑物4</v>
      </c>
      <c r="B208" s="3540">
        <f>$F$8</f>
        <v>39.07</v>
      </c>
      <c r="C208" s="3481">
        <f>$F$30</f>
        <v>46239</v>
      </c>
      <c r="D208" s="3486" t="str">
        <f>$G$3</f>
        <v>建筑物5</v>
      </c>
      <c r="E208" s="4347">
        <f>$G$8</f>
        <v>74.41</v>
      </c>
      <c r="F208" s="4348"/>
      <c r="G208" s="3486">
        <f>$G$30</f>
        <v>49316</v>
      </c>
    </row>
    <row r="209" spans="1:7" ht="15" customHeight="1">
      <c r="A209" s="3481" t="str">
        <f>$H$3</f>
        <v>建筑物6</v>
      </c>
      <c r="B209" s="3540">
        <f>$H$8</f>
        <v>43.63</v>
      </c>
      <c r="C209" s="3481">
        <f>$H$30</f>
        <v>20833</v>
      </c>
      <c r="D209" s="3486" t="str">
        <f>$I$3</f>
        <v>建筑物7</v>
      </c>
      <c r="E209" s="4347">
        <f>$I$8</f>
        <v>134.66999999999999</v>
      </c>
      <c r="F209" s="4348"/>
      <c r="G209" s="3486">
        <f>$I$30</f>
        <v>100624</v>
      </c>
    </row>
    <row r="210" spans="1:7" ht="15" customHeight="1">
      <c r="A210" s="3481" t="str">
        <f>$J$3</f>
        <v>建筑物8</v>
      </c>
      <c r="B210" s="3540">
        <f>$J$8</f>
        <v>25.34</v>
      </c>
      <c r="C210" s="3481">
        <f>$J$30</f>
        <v>8725</v>
      </c>
      <c r="D210" s="3486" t="str">
        <f>$K$3</f>
        <v>建筑物9</v>
      </c>
      <c r="E210" s="4347">
        <f>$K$8</f>
        <v>45.63</v>
      </c>
      <c r="F210" s="4348"/>
      <c r="G210" s="3486">
        <f>$K$30</f>
        <v>46776</v>
      </c>
    </row>
    <row r="211" spans="1:7" ht="15" customHeight="1">
      <c r="A211" s="3488" t="str">
        <f>$L$3</f>
        <v>建筑物10</v>
      </c>
      <c r="B211" s="3541">
        <f>$L$8</f>
        <v>30.3</v>
      </c>
      <c r="C211" s="3488">
        <f>$L$30</f>
        <v>21297</v>
      </c>
      <c r="D211" s="3486" t="e">
        <f>#REF!</f>
        <v>#REF!</v>
      </c>
      <c r="E211" s="4347" t="e">
        <f>#REF!</f>
        <v>#REF!</v>
      </c>
      <c r="F211" s="4348"/>
      <c r="G211" s="3486" t="e">
        <f>#REF!</f>
        <v>#REF!</v>
      </c>
    </row>
    <row r="212" spans="1:7" ht="15" customHeight="1">
      <c r="A212" s="3488" t="e">
        <f>#REF!</f>
        <v>#REF!</v>
      </c>
      <c r="B212" s="3541" t="e">
        <f>#REF!</f>
        <v>#REF!</v>
      </c>
      <c r="C212" s="3488" t="e">
        <f>#REF!</f>
        <v>#REF!</v>
      </c>
      <c r="D212" s="3486" t="e">
        <f>#REF!</f>
        <v>#REF!</v>
      </c>
      <c r="E212" s="4347" t="e">
        <f>#REF!</f>
        <v>#REF!</v>
      </c>
      <c r="F212" s="4348"/>
      <c r="G212" s="3486" t="e">
        <f>#REF!</f>
        <v>#REF!</v>
      </c>
    </row>
    <row r="213" spans="1:7" ht="15" customHeight="1">
      <c r="A213" s="3488" t="e">
        <f>#REF!</f>
        <v>#REF!</v>
      </c>
      <c r="B213" s="3541" t="e">
        <f>#REF!</f>
        <v>#REF!</v>
      </c>
      <c r="C213" s="3488" t="e">
        <f>#REF!</f>
        <v>#REF!</v>
      </c>
      <c r="D213" s="3486" t="e">
        <f>#REF!</f>
        <v>#REF!</v>
      </c>
      <c r="E213" s="4347" t="e">
        <f>#REF!</f>
        <v>#REF!</v>
      </c>
      <c r="F213" s="4348"/>
      <c r="G213" s="3486" t="e">
        <f>#REF!</f>
        <v>#REF!</v>
      </c>
    </row>
    <row r="214" spans="1:7" ht="15" customHeight="1">
      <c r="A214" s="3488" t="e">
        <f>#REF!</f>
        <v>#REF!</v>
      </c>
      <c r="B214" s="3541" t="e">
        <f>#REF!</f>
        <v>#REF!</v>
      </c>
      <c r="C214" s="3488" t="e">
        <f>#REF!</f>
        <v>#REF!</v>
      </c>
      <c r="D214" s="3486" t="e">
        <f>#REF!</f>
        <v>#REF!</v>
      </c>
      <c r="E214" s="4347" t="e">
        <f>#REF!</f>
        <v>#REF!</v>
      </c>
      <c r="F214" s="4348"/>
      <c r="G214" s="3486" t="e">
        <f>#REF!</f>
        <v>#REF!</v>
      </c>
    </row>
    <row r="215" spans="1:7" ht="15" customHeight="1" collapsed="1">
      <c r="A215" s="3488" t="e">
        <f>#REF!</f>
        <v>#REF!</v>
      </c>
      <c r="B215" s="3541" t="e">
        <f>#REF!</f>
        <v>#REF!</v>
      </c>
      <c r="C215" s="3488" t="e">
        <f>#REF!</f>
        <v>#REF!</v>
      </c>
      <c r="D215" s="3486" t="e">
        <f>#REF!</f>
        <v>#REF!</v>
      </c>
      <c r="E215" s="4347" t="e">
        <f>#REF!</f>
        <v>#REF!</v>
      </c>
      <c r="F215" s="4348"/>
      <c r="G215" s="3486" t="e">
        <f>#REF!</f>
        <v>#REF!</v>
      </c>
    </row>
    <row r="216" spans="1:7" ht="14.25" hidden="1" customHeight="1" outlineLevel="1">
      <c r="A216" s="3489"/>
      <c r="B216" s="3490"/>
      <c r="C216" s="3487"/>
      <c r="D216" s="3489"/>
      <c r="E216" s="4306"/>
      <c r="F216" s="4307"/>
      <c r="G216" s="3485"/>
    </row>
    <row r="217" spans="1:7" ht="14.25" hidden="1" customHeight="1" outlineLevel="1">
      <c r="A217" s="3489"/>
      <c r="B217" s="3490"/>
      <c r="C217" s="3487"/>
      <c r="D217" s="3489"/>
      <c r="E217" s="4306"/>
      <c r="F217" s="4307"/>
      <c r="G217" s="3485"/>
    </row>
    <row r="218" spans="1:7" ht="14.25" hidden="1" customHeight="1" outlineLevel="1">
      <c r="A218" s="3489"/>
      <c r="B218" s="3490"/>
      <c r="C218" s="3487"/>
      <c r="D218" s="3489"/>
      <c r="E218" s="4306"/>
      <c r="F218" s="4307"/>
      <c r="G218" s="3485"/>
    </row>
    <row r="219" spans="1:7" ht="14.25" hidden="1" customHeight="1" outlineLevel="1">
      <c r="A219" s="3489"/>
      <c r="B219" s="3490"/>
      <c r="C219" s="3487"/>
      <c r="D219" s="3489"/>
      <c r="E219" s="4306"/>
      <c r="F219" s="4307"/>
      <c r="G219" s="3485"/>
    </row>
    <row r="220" spans="1:7" ht="14.25" hidden="1" customHeight="1" outlineLevel="1">
      <c r="A220" s="3489"/>
      <c r="B220" s="3490"/>
      <c r="C220" s="3487"/>
      <c r="D220" s="3489"/>
      <c r="E220" s="4306"/>
      <c r="F220" s="4307"/>
      <c r="G220" s="3485"/>
    </row>
    <row r="221" spans="1:7" ht="14.25" hidden="1" customHeight="1" outlineLevel="1">
      <c r="A221" s="3489"/>
      <c r="B221" s="3490"/>
      <c r="C221" s="3487"/>
      <c r="D221" s="3489"/>
      <c r="E221" s="4306"/>
      <c r="F221" s="4307"/>
      <c r="G221" s="3485"/>
    </row>
    <row r="222" spans="1:7" ht="14.25" hidden="1" customHeight="1" outlineLevel="1">
      <c r="A222" s="3489"/>
      <c r="B222" s="3490"/>
      <c r="C222" s="3487"/>
      <c r="D222" s="3489"/>
      <c r="E222" s="4306"/>
      <c r="F222" s="4307"/>
      <c r="G222" s="3485"/>
    </row>
    <row r="223" spans="1:7" ht="14.25" hidden="1" customHeight="1" outlineLevel="1">
      <c r="A223" s="3489"/>
      <c r="B223" s="3490"/>
      <c r="C223" s="3487"/>
      <c r="D223" s="3489"/>
      <c r="E223" s="4306"/>
      <c r="F223" s="4307"/>
      <c r="G223" s="3485"/>
    </row>
    <row r="224" spans="1:7" ht="14.25" hidden="1" customHeight="1" outlineLevel="1">
      <c r="A224" s="3489"/>
      <c r="B224" s="3490"/>
      <c r="C224" s="3487"/>
      <c r="D224" s="3489"/>
      <c r="E224" s="4306"/>
      <c r="F224" s="4307"/>
      <c r="G224" s="3485"/>
    </row>
    <row r="225" spans="1:7" ht="14.25" hidden="1" customHeight="1" outlineLevel="1">
      <c r="A225" s="3489"/>
      <c r="B225" s="3491"/>
      <c r="C225" s="3487"/>
      <c r="D225" s="3489"/>
      <c r="E225" s="4310"/>
      <c r="F225" s="4311"/>
      <c r="G225" s="3485"/>
    </row>
    <row r="226" spans="1:7" ht="16.5" customHeight="1">
      <c r="A226" s="3542" t="s">
        <v>3425</v>
      </c>
      <c r="B226" s="3543" t="e">
        <f>ROUND(SUM(B206:B215,E206:F215),2)</f>
        <v>#REF!</v>
      </c>
      <c r="C226" s="3544" t="e">
        <f>ROUND(SUM(C206:C215,G206:G215),0)</f>
        <v>#REF!</v>
      </c>
      <c r="D226" s="3542"/>
      <c r="E226" s="4351"/>
      <c r="F226" s="4352"/>
      <c r="G226" s="3545"/>
    </row>
    <row r="227" spans="1:7" ht="18" customHeight="1">
      <c r="A227" s="4314" t="s">
        <v>3406</v>
      </c>
      <c r="B227" s="4315"/>
      <c r="C227" s="4315"/>
      <c r="D227" s="4315"/>
      <c r="E227" s="4315"/>
      <c r="F227" s="4315"/>
      <c r="G227" s="4316"/>
    </row>
    <row r="228" spans="1:7" ht="16.5" customHeight="1">
      <c r="A228" s="3479" t="s">
        <v>3407</v>
      </c>
      <c r="B228" s="3493" t="s">
        <v>3408</v>
      </c>
      <c r="C228" s="3480" t="s">
        <v>3403</v>
      </c>
      <c r="D228" s="3479" t="s">
        <v>3407</v>
      </c>
      <c r="E228" s="3493" t="s">
        <v>3408</v>
      </c>
      <c r="F228" s="3493" t="s">
        <v>3409</v>
      </c>
      <c r="G228" s="3480" t="s">
        <v>3403</v>
      </c>
    </row>
    <row r="229" spans="1:7" ht="15" customHeight="1">
      <c r="A229" s="3517" t="str">
        <f>$B$33</f>
        <v>普通灯</v>
      </c>
      <c r="B229" s="3518" t="str">
        <f>$B$34</f>
        <v>份</v>
      </c>
      <c r="C229" s="3519">
        <f>$B$38</f>
        <v>18144</v>
      </c>
      <c r="D229" s="3520" t="e">
        <f>#REF!</f>
        <v>#REF!</v>
      </c>
      <c r="E229" s="3521" t="e">
        <f>#REF!</f>
        <v>#REF!</v>
      </c>
      <c r="F229" s="3521" t="e">
        <f>#REF!</f>
        <v>#REF!</v>
      </c>
      <c r="G229" s="3522" t="e">
        <f>#REF!</f>
        <v>#REF!</v>
      </c>
    </row>
    <row r="230" spans="1:7" ht="15" customHeight="1">
      <c r="A230" s="3494" t="str">
        <f>$C$33</f>
        <v>陶瓷池</v>
      </c>
      <c r="B230" s="3495" t="str">
        <f>$C$34</f>
        <v>个</v>
      </c>
      <c r="C230" s="3496">
        <f>$C$38</f>
        <v>2696</v>
      </c>
      <c r="D230" s="3523" t="str">
        <f>$D$33</f>
        <v>水泥池</v>
      </c>
      <c r="E230" s="3498" t="str">
        <f>$D$34</f>
        <v>个</v>
      </c>
      <c r="F230" s="3498">
        <f>$D$35</f>
        <v>2</v>
      </c>
      <c r="G230" s="3524">
        <f>$D$38</f>
        <v>642</v>
      </c>
    </row>
    <row r="231" spans="1:7" ht="15" customHeight="1">
      <c r="A231" s="3494" t="str">
        <f>$E$33</f>
        <v>配电箱</v>
      </c>
      <c r="B231" s="3495" t="str">
        <f>$E$34</f>
        <v>个</v>
      </c>
      <c r="C231" s="3496">
        <f>$E$38</f>
        <v>11715</v>
      </c>
      <c r="D231" s="3523" t="str">
        <f>$F$33</f>
        <v>化粪池</v>
      </c>
      <c r="E231" s="3498" t="str">
        <f>$F$34</f>
        <v>座</v>
      </c>
      <c r="F231" s="3498">
        <f>$F$35</f>
        <v>2</v>
      </c>
      <c r="G231" s="3524">
        <f>$F$38</f>
        <v>4350</v>
      </c>
    </row>
    <row r="232" spans="1:7" ht="15" customHeight="1">
      <c r="A232" s="3494" t="str">
        <f>$G$33</f>
        <v>雨搭</v>
      </c>
      <c r="B232" s="3495" t="str">
        <f>$G$34</f>
        <v>平方米</v>
      </c>
      <c r="C232" s="3496">
        <f>$G$38</f>
        <v>3730</v>
      </c>
      <c r="D232" s="3523" t="str">
        <f>$H$33</f>
        <v>铁门</v>
      </c>
      <c r="E232" s="3498" t="str">
        <f>$H$34</f>
        <v>平方米</v>
      </c>
      <c r="F232" s="3498">
        <f>$H$35</f>
        <v>99.2</v>
      </c>
      <c r="G232" s="3524">
        <f>$H$38</f>
        <v>26937</v>
      </c>
    </row>
    <row r="233" spans="1:7" ht="15" customHeight="1">
      <c r="A233" s="3494" t="str">
        <f>$B$39</f>
        <v>防盗门（单）</v>
      </c>
      <c r="B233" s="3495" t="str">
        <f>$B$40</f>
        <v>个</v>
      </c>
      <c r="C233" s="3496">
        <f>$B$44</f>
        <v>16736</v>
      </c>
      <c r="D233" s="3523" t="e">
        <f>#REF!</f>
        <v>#REF!</v>
      </c>
      <c r="E233" s="3498" t="e">
        <f>#REF!</f>
        <v>#REF!</v>
      </c>
      <c r="F233" s="3498" t="e">
        <f>#REF!</f>
        <v>#REF!</v>
      </c>
      <c r="G233" s="3524" t="e">
        <f>#REF!</f>
        <v>#REF!</v>
      </c>
    </row>
    <row r="234" spans="1:7" ht="15" customHeight="1">
      <c r="A234" s="3494" t="str">
        <f>$C$39</f>
        <v>防盗门（双）</v>
      </c>
      <c r="B234" s="3495" t="str">
        <f>$C$40</f>
        <v>座</v>
      </c>
      <c r="C234" s="3496">
        <f>$C$44</f>
        <v>5021</v>
      </c>
      <c r="D234" s="3523" t="str">
        <f>$D$39</f>
        <v>卷帘门（自动）</v>
      </c>
      <c r="E234" s="3498" t="str">
        <f>$D$40</f>
        <v>平方米</v>
      </c>
      <c r="F234" s="3498">
        <f>$D$41</f>
        <v>13.46</v>
      </c>
      <c r="G234" s="3524">
        <f>$D$44</f>
        <v>3942</v>
      </c>
    </row>
    <row r="235" spans="1:7" ht="15" customHeight="1">
      <c r="A235" s="3494" t="str">
        <f>$E$39</f>
        <v>窗帘杆-普通</v>
      </c>
      <c r="B235" s="3495" t="str">
        <f>$E$40</f>
        <v>米</v>
      </c>
      <c r="C235" s="3496">
        <f>$E$44</f>
        <v>156</v>
      </c>
      <c r="D235" s="3523" t="str">
        <f>$F$39</f>
        <v>蹲式大便器</v>
      </c>
      <c r="E235" s="3498" t="str">
        <f>$F$40</f>
        <v>个</v>
      </c>
      <c r="F235" s="3498">
        <f>$F$41</f>
        <v>13</v>
      </c>
      <c r="G235" s="3524">
        <f>$F$44</f>
        <v>8504</v>
      </c>
    </row>
    <row r="236" spans="1:7" ht="15" customHeight="1">
      <c r="A236" s="3494" t="str">
        <f>$G$39</f>
        <v>小便器</v>
      </c>
      <c r="B236" s="3495" t="str">
        <f>$G$40</f>
        <v>个</v>
      </c>
      <c r="C236" s="3496">
        <f>$G$44</f>
        <v>4118</v>
      </c>
      <c r="D236" s="3523" t="str">
        <f>$H$39</f>
        <v>铁梯</v>
      </c>
      <c r="E236" s="3498" t="str">
        <f>$H$40</f>
        <v>延米</v>
      </c>
      <c r="F236" s="3498">
        <f>$H$41</f>
        <v>9</v>
      </c>
      <c r="G236" s="3524">
        <f>$H$44</f>
        <v>3012</v>
      </c>
    </row>
    <row r="237" spans="1:7" ht="15" customHeight="1">
      <c r="A237" s="3494" t="str">
        <f>$B$45</f>
        <v>铁护窗</v>
      </c>
      <c r="B237" s="3495">
        <f>$B$46</f>
        <v>0</v>
      </c>
      <c r="C237" s="3496">
        <f>$B$50</f>
        <v>4215</v>
      </c>
      <c r="D237" s="3523" t="e">
        <f>#REF!</f>
        <v>#REF!</v>
      </c>
      <c r="E237" s="3498" t="e">
        <f>#REF!</f>
        <v>#REF!</v>
      </c>
      <c r="F237" s="3498" t="e">
        <f>#REF!</f>
        <v>#REF!</v>
      </c>
      <c r="G237" s="3524" t="e">
        <f>#REF!</f>
        <v>#REF!</v>
      </c>
    </row>
    <row r="238" spans="1:7" ht="15" customHeight="1">
      <c r="A238" s="3494" t="str">
        <f>$C$45</f>
        <v>不锈钢栏杆</v>
      </c>
      <c r="B238" s="3495" t="str">
        <f>$C$46</f>
        <v>个</v>
      </c>
      <c r="C238" s="3496">
        <f>$C$50</f>
        <v>8314</v>
      </c>
      <c r="D238" s="3523" t="str">
        <f>$D$45</f>
        <v>铁栏杆</v>
      </c>
      <c r="E238" s="3498" t="str">
        <f>$D$46</f>
        <v>m2</v>
      </c>
      <c r="F238" s="3498">
        <f>$D$47</f>
        <v>56.35</v>
      </c>
      <c r="G238" s="3524">
        <f>$D$50</f>
        <v>5658</v>
      </c>
    </row>
    <row r="239" spans="1:7" ht="15" customHeight="1">
      <c r="A239" s="3494">
        <f>$E$45</f>
        <v>0</v>
      </c>
      <c r="B239" s="3495" t="str">
        <f>$E$46</f>
        <v/>
      </c>
      <c r="C239" s="3496">
        <f>$E$50</f>
        <v>0</v>
      </c>
      <c r="D239" s="3523" t="str">
        <f>$F$45</f>
        <v>锦砖贴面</v>
      </c>
      <c r="E239" s="3498" t="str">
        <f>$F$46</f>
        <v>平方米</v>
      </c>
      <c r="F239" s="3498">
        <f>$F$47</f>
        <v>1720.04</v>
      </c>
      <c r="G239" s="3524">
        <f>$F$50</f>
        <v>89166</v>
      </c>
    </row>
    <row r="240" spans="1:7" ht="15" customHeight="1">
      <c r="A240" s="3494" t="str">
        <f>$G$45</f>
        <v>院墙</v>
      </c>
      <c r="B240" s="3495" t="str">
        <f>$G$46</f>
        <v>平方米</v>
      </c>
      <c r="C240" s="3496">
        <f>$G$50</f>
        <v>104198</v>
      </c>
      <c r="D240" s="3523" t="str">
        <f>$H$45</f>
        <v>院地</v>
      </c>
      <c r="E240" s="3498" t="str">
        <f>$H$46</f>
        <v>平方米</v>
      </c>
      <c r="F240" s="3498">
        <f>$H$47</f>
        <v>22740</v>
      </c>
      <c r="G240" s="3524">
        <f>$H$50</f>
        <v>1178836</v>
      </c>
    </row>
    <row r="241" spans="1:7" ht="15" customHeight="1">
      <c r="A241" s="3494" t="str">
        <f>$B$51</f>
        <v>整砖24隔断</v>
      </c>
      <c r="B241" s="3495" t="str">
        <f>$B$52</f>
        <v>平方米</v>
      </c>
      <c r="C241" s="3496">
        <f>$B$56</f>
        <v>13330</v>
      </c>
      <c r="D241" s="3523" t="e">
        <f>#REF!</f>
        <v>#REF!</v>
      </c>
      <c r="E241" s="3498" t="e">
        <f>#REF!</f>
        <v>#REF!</v>
      </c>
      <c r="F241" s="3498" t="e">
        <f>#REF!</f>
        <v>#REF!</v>
      </c>
      <c r="G241" s="3524" t="e">
        <f>#REF!</f>
        <v>#REF!</v>
      </c>
    </row>
    <row r="242" spans="1:7" ht="15" customHeight="1" collapsed="1">
      <c r="A242" s="3525" t="str">
        <f>$C$51</f>
        <v>水漏斗</v>
      </c>
      <c r="B242" s="3526" t="str">
        <f>$C$52</f>
        <v>个</v>
      </c>
      <c r="C242" s="3527">
        <f>$C$56</f>
        <v>1106</v>
      </c>
      <c r="D242" s="3528" t="str">
        <f>$D$51</f>
        <v>电缆3*3*16</v>
      </c>
      <c r="E242" s="3529" t="str">
        <f>$D$52</f>
        <v>米</v>
      </c>
      <c r="F242" s="3529">
        <f>$D$53</f>
        <v>1500</v>
      </c>
      <c r="G242" s="3530">
        <f>$D$56</f>
        <v>0</v>
      </c>
    </row>
    <row r="243" spans="1:7" hidden="1" outlineLevel="1">
      <c r="A243" s="3494"/>
      <c r="B243" s="3495"/>
      <c r="C243" s="3496"/>
      <c r="D243" s="3501"/>
      <c r="E243" s="3502"/>
      <c r="F243" s="3503"/>
      <c r="G243" s="3504"/>
    </row>
    <row r="244" spans="1:7" hidden="1" outlineLevel="1">
      <c r="A244" s="3500"/>
      <c r="B244" s="3498"/>
      <c r="C244" s="3496"/>
      <c r="D244" s="3501"/>
      <c r="E244" s="3502"/>
      <c r="F244" s="3503"/>
      <c r="G244" s="3504"/>
    </row>
    <row r="245" spans="1:7" hidden="1" outlineLevel="1">
      <c r="A245" s="3494"/>
      <c r="B245" s="3495"/>
      <c r="C245" s="3496"/>
      <c r="D245" s="3500"/>
      <c r="E245" s="3498"/>
      <c r="F245" s="3495"/>
      <c r="G245" s="3496"/>
    </row>
    <row r="246" spans="1:7" hidden="1" outlineLevel="1">
      <c r="A246" s="3494"/>
      <c r="B246" s="3495"/>
      <c r="C246" s="3496"/>
      <c r="D246" s="3497"/>
      <c r="E246" s="3498"/>
      <c r="F246" s="3495"/>
      <c r="G246" s="3496"/>
    </row>
    <row r="247" spans="1:7" hidden="1" outlineLevel="1">
      <c r="A247" s="3497"/>
      <c r="B247" s="3498"/>
      <c r="C247" s="3496"/>
      <c r="D247" s="3497"/>
      <c r="E247" s="3498"/>
      <c r="F247" s="3495"/>
      <c r="G247" s="3496"/>
    </row>
    <row r="248" spans="1:7" hidden="1" outlineLevel="1">
      <c r="A248" s="3497"/>
      <c r="B248" s="3498"/>
      <c r="C248" s="3496"/>
      <c r="D248" s="3497"/>
      <c r="E248" s="3498"/>
      <c r="F248" s="3495"/>
      <c r="G248" s="3496"/>
    </row>
    <row r="249" spans="1:7" hidden="1" outlineLevel="1">
      <c r="A249" s="3494"/>
      <c r="B249" s="3495"/>
      <c r="C249" s="3496"/>
      <c r="D249" s="3497"/>
      <c r="E249" s="3498"/>
      <c r="F249" s="3495"/>
      <c r="G249" s="3496"/>
    </row>
    <row r="250" spans="1:7" hidden="1" outlineLevel="1">
      <c r="A250" s="3494"/>
      <c r="B250" s="3495"/>
      <c r="C250" s="3496"/>
      <c r="D250" s="3497"/>
      <c r="E250" s="3498"/>
      <c r="F250" s="3495"/>
      <c r="G250" s="3496"/>
    </row>
    <row r="251" spans="1:7" hidden="1" outlineLevel="1">
      <c r="A251" s="3494"/>
      <c r="B251" s="3495"/>
      <c r="C251" s="3496"/>
      <c r="D251" s="3497"/>
      <c r="E251" s="3498"/>
      <c r="F251" s="3495"/>
      <c r="G251" s="3496"/>
    </row>
    <row r="252" spans="1:7" hidden="1" outlineLevel="1">
      <c r="A252" s="3494"/>
      <c r="B252" s="3495"/>
      <c r="C252" s="3496"/>
      <c r="D252" s="3494"/>
      <c r="E252" s="3495"/>
      <c r="F252" s="3495"/>
      <c r="G252" s="3496"/>
    </row>
    <row r="253" spans="1:7" ht="16.5" customHeight="1">
      <c r="A253" s="3542" t="s">
        <v>3426</v>
      </c>
      <c r="B253" s="3546" t="e">
        <f>SUM(C229:C242,G229:G242)</f>
        <v>#REF!</v>
      </c>
      <c r="C253" s="3547"/>
      <c r="D253" s="3548"/>
      <c r="E253" s="3549"/>
      <c r="F253" s="3549"/>
      <c r="G253" s="3550"/>
    </row>
    <row r="254" spans="1:7" ht="18" customHeight="1">
      <c r="A254" s="3510" t="s">
        <v>3427</v>
      </c>
      <c r="B254" s="4353" t="e">
        <f>C226+B253</f>
        <v>#REF!</v>
      </c>
      <c r="C254" s="4353"/>
      <c r="D254" s="4353"/>
      <c r="E254" s="4353"/>
      <c r="F254" s="4353"/>
      <c r="G254" s="3551" t="s">
        <v>3412</v>
      </c>
    </row>
    <row r="255" spans="1:7">
      <c r="A255" s="4354" t="s">
        <v>3428</v>
      </c>
      <c r="B255" s="4354"/>
      <c r="C255" s="4354"/>
      <c r="D255" s="4354"/>
      <c r="E255" s="4354"/>
      <c r="F255" s="4354"/>
      <c r="G255" s="4354"/>
    </row>
    <row r="258" spans="1:31" ht="18.75" customHeight="1">
      <c r="A258" s="3352"/>
      <c r="B258" s="3352"/>
      <c r="C258" s="3352"/>
      <c r="D258" s="3352"/>
      <c r="E258" s="3352"/>
      <c r="F258" s="3352"/>
      <c r="G258" s="3352"/>
      <c r="H258" s="3352"/>
      <c r="I258" s="3352"/>
      <c r="J258" s="3352"/>
      <c r="K258" s="3352"/>
      <c r="L258" s="3352"/>
      <c r="M258" s="3353"/>
      <c r="N258" s="3353"/>
      <c r="O258" s="3353"/>
      <c r="P258" s="3353"/>
      <c r="Q258" s="3353"/>
      <c r="R258" s="3353"/>
      <c r="S258" s="3353"/>
      <c r="T258" s="3353"/>
      <c r="U258" s="3353"/>
      <c r="V258" s="3353"/>
      <c r="W258" s="3353"/>
      <c r="X258" s="3353"/>
      <c r="Y258" s="3353"/>
      <c r="Z258" s="3353"/>
      <c r="AA258" s="3353"/>
      <c r="AB258" s="3353"/>
      <c r="AC258" s="3353"/>
      <c r="AD258" s="3354"/>
      <c r="AE258" s="3354"/>
    </row>
    <row r="259" spans="1:31" ht="18.75" customHeight="1">
      <c r="A259" s="3352"/>
      <c r="B259" s="3352"/>
      <c r="C259" s="3352"/>
      <c r="D259" s="3352"/>
      <c r="E259" s="3352"/>
      <c r="F259" s="3352"/>
      <c r="G259" s="3352"/>
      <c r="H259" s="3352"/>
      <c r="I259" s="3352"/>
      <c r="J259" s="3352"/>
      <c r="K259" s="3352"/>
      <c r="L259" s="3352"/>
      <c r="M259" s="3353"/>
      <c r="N259" s="3353"/>
      <c r="O259" s="3353"/>
      <c r="P259" s="3353"/>
      <c r="Q259" s="3353"/>
      <c r="R259" s="3353"/>
      <c r="S259" s="3353"/>
      <c r="T259" s="3353"/>
      <c r="U259" s="3353"/>
      <c r="V259" s="3353"/>
      <c r="W259" s="3353"/>
      <c r="X259" s="3353"/>
      <c r="Y259" s="3353"/>
      <c r="Z259" s="3353"/>
      <c r="AA259" s="3353"/>
      <c r="AB259" s="3353"/>
      <c r="AC259" s="3353"/>
      <c r="AD259" s="3354"/>
      <c r="AE259" s="3354"/>
    </row>
    <row r="260" spans="1:31" ht="18.75" customHeight="1">
      <c r="A260" s="3352"/>
      <c r="B260" s="3352"/>
      <c r="C260" s="3352"/>
      <c r="D260" s="3352"/>
      <c r="E260" s="3352"/>
      <c r="F260" s="3352"/>
      <c r="G260" s="3352"/>
      <c r="H260" s="3352"/>
      <c r="I260" s="3352"/>
      <c r="J260" s="3352"/>
      <c r="K260" s="3352"/>
      <c r="L260" s="3352"/>
      <c r="M260" s="3353"/>
      <c r="N260" s="3353"/>
      <c r="O260" s="3353"/>
      <c r="P260" s="3353"/>
      <c r="Q260" s="3353"/>
      <c r="R260" s="3353"/>
      <c r="S260" s="3353"/>
      <c r="T260" s="3353"/>
      <c r="U260" s="3353"/>
      <c r="V260" s="3353"/>
      <c r="W260" s="3353"/>
      <c r="X260" s="3353"/>
      <c r="Y260" s="3353"/>
      <c r="Z260" s="3353"/>
      <c r="AA260" s="3353"/>
      <c r="AB260" s="3353"/>
      <c r="AC260" s="3353"/>
      <c r="AD260" s="3354"/>
      <c r="AE260" s="3354"/>
    </row>
    <row r="401" spans="1:1" hidden="1">
      <c r="A401" s="3352" t="s">
        <v>3330</v>
      </c>
    </row>
    <row r="402" spans="1:1" hidden="1">
      <c r="A402" s="3352" t="s">
        <v>3429</v>
      </c>
    </row>
    <row r="403" spans="1:1" hidden="1">
      <c r="A403" s="3352" t="s">
        <v>3430</v>
      </c>
    </row>
    <row r="404" spans="1:1" hidden="1">
      <c r="A404" s="3352" t="s">
        <v>3431</v>
      </c>
    </row>
    <row r="405" spans="1:1" hidden="1">
      <c r="A405" s="3352" t="s">
        <v>3328</v>
      </c>
    </row>
    <row r="406" spans="1:1" hidden="1">
      <c r="A406" s="3352" t="s">
        <v>3331</v>
      </c>
    </row>
    <row r="407" spans="1:1" hidden="1">
      <c r="A407" s="3352" t="s">
        <v>3432</v>
      </c>
    </row>
    <row r="408" spans="1:1" hidden="1">
      <c r="A408" s="3352" t="s">
        <v>3433</v>
      </c>
    </row>
    <row r="409" spans="1:1" hidden="1">
      <c r="A409" s="3352" t="s">
        <v>3434</v>
      </c>
    </row>
    <row r="410" spans="1:1" hidden="1">
      <c r="A410" s="3352" t="s">
        <v>3329</v>
      </c>
    </row>
    <row r="411" spans="1:1">
      <c r="A411" s="3352"/>
    </row>
  </sheetData>
  <mergeCells count="134">
    <mergeCell ref="E224:F224"/>
    <mergeCell ref="E225:F225"/>
    <mergeCell ref="E226:F226"/>
    <mergeCell ref="A227:G227"/>
    <mergeCell ref="B254:F254"/>
    <mergeCell ref="A255:G255"/>
    <mergeCell ref="E218:F218"/>
    <mergeCell ref="E219:F219"/>
    <mergeCell ref="E220:F220"/>
    <mergeCell ref="E221:F221"/>
    <mergeCell ref="E222:F222"/>
    <mergeCell ref="E223:F223"/>
    <mergeCell ref="E212:F212"/>
    <mergeCell ref="E213:F213"/>
    <mergeCell ref="E214:F214"/>
    <mergeCell ref="E215:F215"/>
    <mergeCell ref="E216:F216"/>
    <mergeCell ref="E217:F217"/>
    <mergeCell ref="E206:F206"/>
    <mergeCell ref="E207:F207"/>
    <mergeCell ref="E208:F208"/>
    <mergeCell ref="E209:F209"/>
    <mergeCell ref="E210:F210"/>
    <mergeCell ref="E211:F211"/>
    <mergeCell ref="A201:G201"/>
    <mergeCell ref="B202:G202"/>
    <mergeCell ref="B203:C203"/>
    <mergeCell ref="E203:G203"/>
    <mergeCell ref="A204:G204"/>
    <mergeCell ref="E205:F205"/>
    <mergeCell ref="A195:C195"/>
    <mergeCell ref="D195:G195"/>
    <mergeCell ref="B196:C196"/>
    <mergeCell ref="E196:G196"/>
    <mergeCell ref="A198:G199"/>
    <mergeCell ref="A200:G200"/>
    <mergeCell ref="A167:B167"/>
    <mergeCell ref="D167:E167"/>
    <mergeCell ref="F167:G167"/>
    <mergeCell ref="A168:G168"/>
    <mergeCell ref="A194:C194"/>
    <mergeCell ref="D194:G194"/>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A144:B144"/>
    <mergeCell ref="C144:G144"/>
    <mergeCell ref="A145:G145"/>
    <mergeCell ref="E146:F146"/>
    <mergeCell ref="E147:F147"/>
    <mergeCell ref="E148:F148"/>
    <mergeCell ref="A141:G141"/>
    <mergeCell ref="A142:B142"/>
    <mergeCell ref="D142:E142"/>
    <mergeCell ref="F142:G142"/>
    <mergeCell ref="A143:B143"/>
    <mergeCell ref="D143:E143"/>
    <mergeCell ref="F143:G143"/>
    <mergeCell ref="A135:G136"/>
    <mergeCell ref="A137:G137"/>
    <mergeCell ref="A138:G138"/>
    <mergeCell ref="B139:G139"/>
    <mergeCell ref="B140:C140"/>
    <mergeCell ref="E140:G140"/>
    <mergeCell ref="A130:C130"/>
    <mergeCell ref="D130:G130"/>
    <mergeCell ref="A131:C131"/>
    <mergeCell ref="D131:F131"/>
    <mergeCell ref="B132:C132"/>
    <mergeCell ref="E132:G132"/>
    <mergeCell ref="E101:F101"/>
    <mergeCell ref="E102:F102"/>
    <mergeCell ref="A103:B103"/>
    <mergeCell ref="D103:E103"/>
    <mergeCell ref="F103:G103"/>
    <mergeCell ref="A104:G104"/>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A80:B80"/>
    <mergeCell ref="D80:E80"/>
    <mergeCell ref="F80:G80"/>
    <mergeCell ref="A81:B81"/>
    <mergeCell ref="C81:G81"/>
    <mergeCell ref="A82:G82"/>
    <mergeCell ref="B76:G76"/>
    <mergeCell ref="B77:C77"/>
    <mergeCell ref="E77:G77"/>
    <mergeCell ref="A78:G78"/>
    <mergeCell ref="A79:B79"/>
    <mergeCell ref="D79:E79"/>
    <mergeCell ref="F79:G79"/>
    <mergeCell ref="AS2:AU2"/>
    <mergeCell ref="AV2:AW2"/>
    <mergeCell ref="A25:A27"/>
    <mergeCell ref="A72:G73"/>
    <mergeCell ref="A74:G74"/>
    <mergeCell ref="A75:G75"/>
    <mergeCell ref="B1:C1"/>
    <mergeCell ref="H1:H2"/>
    <mergeCell ref="I1:L2"/>
    <mergeCell ref="B2:C2"/>
    <mergeCell ref="D2:E2"/>
    <mergeCell ref="F2:G2"/>
  </mergeCells>
  <phoneticPr fontId="228" type="noConversion"/>
  <dataValidations count="3">
    <dataValidation type="list" allowBlank="1" showInputMessage="1" showErrorMessage="1" sqref="C25:BG25 IY25:LC25 SU25:UY25 ACQ25:AEU25 AMM25:AOQ25 AWI25:AYM25 BGE25:BII25 BQA25:BSE25 BZW25:CCA25 CJS25:CLW25 CTO25:CVS25 DDK25:DFO25 DNG25:DPK25 DXC25:DZG25 EGY25:EJC25 EQU25:ESY25 FAQ25:FCU25 FKM25:FMQ25 FUI25:FWM25 GEE25:GGI25 GOA25:GQE25 GXW25:HAA25 HHS25:HJW25 HRO25:HTS25 IBK25:IDO25 ILG25:INK25 IVC25:IXG25 JEY25:JHC25 JOU25:JQY25 JYQ25:KAU25 KIM25:KKQ25 KSI25:KUM25 LCE25:LEI25 LMA25:LOE25 LVW25:LYA25 MFS25:MHW25 MPO25:MRS25 MZK25:NBO25 NJG25:NLK25 NTC25:NVG25 OCY25:OFC25 OMU25:OOY25 OWQ25:OYU25 PGM25:PIQ25 PQI25:PSM25 QAE25:QCI25 QKA25:QME25 QTW25:QWA25 RDS25:RFW25 RNO25:RPS25 RXK25:RZO25 SHG25:SJK25 SRC25:STG25 TAY25:TDC25 TKU25:TMY25 TUQ25:TWU25 UEM25:UGQ25 UOI25:UQM25 UYE25:VAI25 VIA25:VKE25 VRW25:VUA25 WBS25:WDW25 WLO25:WNS25 WVK25:WXO25 C65561:BG65561 IY65561:LC65561 SU65561:UY65561 ACQ65561:AEU65561 AMM65561:AOQ65561 AWI65561:AYM65561 BGE65561:BII65561 BQA65561:BSE65561 BZW65561:CCA65561 CJS65561:CLW65561 CTO65561:CVS65561 DDK65561:DFO65561 DNG65561:DPK65561 DXC65561:DZG65561 EGY65561:EJC65561 EQU65561:ESY65561 FAQ65561:FCU65561 FKM65561:FMQ65561 FUI65561:FWM65561 GEE65561:GGI65561 GOA65561:GQE65561 GXW65561:HAA65561 HHS65561:HJW65561 HRO65561:HTS65561 IBK65561:IDO65561 ILG65561:INK65561 IVC65561:IXG65561 JEY65561:JHC65561 JOU65561:JQY65561 JYQ65561:KAU65561 KIM65561:KKQ65561 KSI65561:KUM65561 LCE65561:LEI65561 LMA65561:LOE65561 LVW65561:LYA65561 MFS65561:MHW65561 MPO65561:MRS65561 MZK65561:NBO65561 NJG65561:NLK65561 NTC65561:NVG65561 OCY65561:OFC65561 OMU65561:OOY65561 OWQ65561:OYU65561 PGM65561:PIQ65561 PQI65561:PSM65561 QAE65561:QCI65561 QKA65561:QME65561 QTW65561:QWA65561 RDS65561:RFW65561 RNO65561:RPS65561 RXK65561:RZO65561 SHG65561:SJK65561 SRC65561:STG65561 TAY65561:TDC65561 TKU65561:TMY65561 TUQ65561:TWU65561 UEM65561:UGQ65561 UOI65561:UQM65561 UYE65561:VAI65561 VIA65561:VKE65561 VRW65561:VUA65561 WBS65561:WDW65561 WLO65561:WNS65561 WVK65561:WXO65561 C131097:BG131097 IY131097:LC131097 SU131097:UY131097 ACQ131097:AEU131097 AMM131097:AOQ131097 AWI131097:AYM131097 BGE131097:BII131097 BQA131097:BSE131097 BZW131097:CCA131097 CJS131097:CLW131097 CTO131097:CVS131097 DDK131097:DFO131097 DNG131097:DPK131097 DXC131097:DZG131097 EGY131097:EJC131097 EQU131097:ESY131097 FAQ131097:FCU131097 FKM131097:FMQ131097 FUI131097:FWM131097 GEE131097:GGI131097 GOA131097:GQE131097 GXW131097:HAA131097 HHS131097:HJW131097 HRO131097:HTS131097 IBK131097:IDO131097 ILG131097:INK131097 IVC131097:IXG131097 JEY131097:JHC131097 JOU131097:JQY131097 JYQ131097:KAU131097 KIM131097:KKQ131097 KSI131097:KUM131097 LCE131097:LEI131097 LMA131097:LOE131097 LVW131097:LYA131097 MFS131097:MHW131097 MPO131097:MRS131097 MZK131097:NBO131097 NJG131097:NLK131097 NTC131097:NVG131097 OCY131097:OFC131097 OMU131097:OOY131097 OWQ131097:OYU131097 PGM131097:PIQ131097 PQI131097:PSM131097 QAE131097:QCI131097 QKA131097:QME131097 QTW131097:QWA131097 RDS131097:RFW131097 RNO131097:RPS131097 RXK131097:RZO131097 SHG131097:SJK131097 SRC131097:STG131097 TAY131097:TDC131097 TKU131097:TMY131097 TUQ131097:TWU131097 UEM131097:UGQ131097 UOI131097:UQM131097 UYE131097:VAI131097 VIA131097:VKE131097 VRW131097:VUA131097 WBS131097:WDW131097 WLO131097:WNS131097 WVK131097:WXO131097 C196633:BG196633 IY196633:LC196633 SU196633:UY196633 ACQ196633:AEU196633 AMM196633:AOQ196633 AWI196633:AYM196633 BGE196633:BII196633 BQA196633:BSE196633 BZW196633:CCA196633 CJS196633:CLW196633 CTO196633:CVS196633 DDK196633:DFO196633 DNG196633:DPK196633 DXC196633:DZG196633 EGY196633:EJC196633 EQU196633:ESY196633 FAQ196633:FCU196633 FKM196633:FMQ196633 FUI196633:FWM196633 GEE196633:GGI196633 GOA196633:GQE196633 GXW196633:HAA196633 HHS196633:HJW196633 HRO196633:HTS196633 IBK196633:IDO196633 ILG196633:INK196633 IVC196633:IXG196633 JEY196633:JHC196633 JOU196633:JQY196633 JYQ196633:KAU196633 KIM196633:KKQ196633 KSI196633:KUM196633 LCE196633:LEI196633 LMA196633:LOE196633 LVW196633:LYA196633 MFS196633:MHW196633 MPO196633:MRS196633 MZK196633:NBO196633 NJG196633:NLK196633 NTC196633:NVG196633 OCY196633:OFC196633 OMU196633:OOY196633 OWQ196633:OYU196633 PGM196633:PIQ196633 PQI196633:PSM196633 QAE196633:QCI196633 QKA196633:QME196633 QTW196633:QWA196633 RDS196633:RFW196633 RNO196633:RPS196633 RXK196633:RZO196633 SHG196633:SJK196633 SRC196633:STG196633 TAY196633:TDC196633 TKU196633:TMY196633 TUQ196633:TWU196633 UEM196633:UGQ196633 UOI196633:UQM196633 UYE196633:VAI196633 VIA196633:VKE196633 VRW196633:VUA196633 WBS196633:WDW196633 WLO196633:WNS196633 WVK196633:WXO196633 C262169:BG262169 IY262169:LC262169 SU262169:UY262169 ACQ262169:AEU262169 AMM262169:AOQ262169 AWI262169:AYM262169 BGE262169:BII262169 BQA262169:BSE262169 BZW262169:CCA262169 CJS262169:CLW262169 CTO262169:CVS262169 DDK262169:DFO262169 DNG262169:DPK262169 DXC262169:DZG262169 EGY262169:EJC262169 EQU262169:ESY262169 FAQ262169:FCU262169 FKM262169:FMQ262169 FUI262169:FWM262169 GEE262169:GGI262169 GOA262169:GQE262169 GXW262169:HAA262169 HHS262169:HJW262169 HRO262169:HTS262169 IBK262169:IDO262169 ILG262169:INK262169 IVC262169:IXG262169 JEY262169:JHC262169 JOU262169:JQY262169 JYQ262169:KAU262169 KIM262169:KKQ262169 KSI262169:KUM262169 LCE262169:LEI262169 LMA262169:LOE262169 LVW262169:LYA262169 MFS262169:MHW262169 MPO262169:MRS262169 MZK262169:NBO262169 NJG262169:NLK262169 NTC262169:NVG262169 OCY262169:OFC262169 OMU262169:OOY262169 OWQ262169:OYU262169 PGM262169:PIQ262169 PQI262169:PSM262169 QAE262169:QCI262169 QKA262169:QME262169 QTW262169:QWA262169 RDS262169:RFW262169 RNO262169:RPS262169 RXK262169:RZO262169 SHG262169:SJK262169 SRC262169:STG262169 TAY262169:TDC262169 TKU262169:TMY262169 TUQ262169:TWU262169 UEM262169:UGQ262169 UOI262169:UQM262169 UYE262169:VAI262169 VIA262169:VKE262169 VRW262169:VUA262169 WBS262169:WDW262169 WLO262169:WNS262169 WVK262169:WXO262169 C327705:BG327705 IY327705:LC327705 SU327705:UY327705 ACQ327705:AEU327705 AMM327705:AOQ327705 AWI327705:AYM327705 BGE327705:BII327705 BQA327705:BSE327705 BZW327705:CCA327705 CJS327705:CLW327705 CTO327705:CVS327705 DDK327705:DFO327705 DNG327705:DPK327705 DXC327705:DZG327705 EGY327705:EJC327705 EQU327705:ESY327705 FAQ327705:FCU327705 FKM327705:FMQ327705 FUI327705:FWM327705 GEE327705:GGI327705 GOA327705:GQE327705 GXW327705:HAA327705 HHS327705:HJW327705 HRO327705:HTS327705 IBK327705:IDO327705 ILG327705:INK327705 IVC327705:IXG327705 JEY327705:JHC327705 JOU327705:JQY327705 JYQ327705:KAU327705 KIM327705:KKQ327705 KSI327705:KUM327705 LCE327705:LEI327705 LMA327705:LOE327705 LVW327705:LYA327705 MFS327705:MHW327705 MPO327705:MRS327705 MZK327705:NBO327705 NJG327705:NLK327705 NTC327705:NVG327705 OCY327705:OFC327705 OMU327705:OOY327705 OWQ327705:OYU327705 PGM327705:PIQ327705 PQI327705:PSM327705 QAE327705:QCI327705 QKA327705:QME327705 QTW327705:QWA327705 RDS327705:RFW327705 RNO327705:RPS327705 RXK327705:RZO327705 SHG327705:SJK327705 SRC327705:STG327705 TAY327705:TDC327705 TKU327705:TMY327705 TUQ327705:TWU327705 UEM327705:UGQ327705 UOI327705:UQM327705 UYE327705:VAI327705 VIA327705:VKE327705 VRW327705:VUA327705 WBS327705:WDW327705 WLO327705:WNS327705 WVK327705:WXO327705 C393241:BG393241 IY393241:LC393241 SU393241:UY393241 ACQ393241:AEU393241 AMM393241:AOQ393241 AWI393241:AYM393241 BGE393241:BII393241 BQA393241:BSE393241 BZW393241:CCA393241 CJS393241:CLW393241 CTO393241:CVS393241 DDK393241:DFO393241 DNG393241:DPK393241 DXC393241:DZG393241 EGY393241:EJC393241 EQU393241:ESY393241 FAQ393241:FCU393241 FKM393241:FMQ393241 FUI393241:FWM393241 GEE393241:GGI393241 GOA393241:GQE393241 GXW393241:HAA393241 HHS393241:HJW393241 HRO393241:HTS393241 IBK393241:IDO393241 ILG393241:INK393241 IVC393241:IXG393241 JEY393241:JHC393241 JOU393241:JQY393241 JYQ393241:KAU393241 KIM393241:KKQ393241 KSI393241:KUM393241 LCE393241:LEI393241 LMA393241:LOE393241 LVW393241:LYA393241 MFS393241:MHW393241 MPO393241:MRS393241 MZK393241:NBO393241 NJG393241:NLK393241 NTC393241:NVG393241 OCY393241:OFC393241 OMU393241:OOY393241 OWQ393241:OYU393241 PGM393241:PIQ393241 PQI393241:PSM393241 QAE393241:QCI393241 QKA393241:QME393241 QTW393241:QWA393241 RDS393241:RFW393241 RNO393241:RPS393241 RXK393241:RZO393241 SHG393241:SJK393241 SRC393241:STG393241 TAY393241:TDC393241 TKU393241:TMY393241 TUQ393241:TWU393241 UEM393241:UGQ393241 UOI393241:UQM393241 UYE393241:VAI393241 VIA393241:VKE393241 VRW393241:VUA393241 WBS393241:WDW393241 WLO393241:WNS393241 WVK393241:WXO393241 C458777:BG458777 IY458777:LC458777 SU458777:UY458777 ACQ458777:AEU458777 AMM458777:AOQ458777 AWI458777:AYM458777 BGE458777:BII458777 BQA458777:BSE458777 BZW458777:CCA458777 CJS458777:CLW458777 CTO458777:CVS458777 DDK458777:DFO458777 DNG458777:DPK458777 DXC458777:DZG458777 EGY458777:EJC458777 EQU458777:ESY458777 FAQ458777:FCU458777 FKM458777:FMQ458777 FUI458777:FWM458777 GEE458777:GGI458777 GOA458777:GQE458777 GXW458777:HAA458777 HHS458777:HJW458777 HRO458777:HTS458777 IBK458777:IDO458777 ILG458777:INK458777 IVC458777:IXG458777 JEY458777:JHC458777 JOU458777:JQY458777 JYQ458777:KAU458777 KIM458777:KKQ458777 KSI458777:KUM458777 LCE458777:LEI458777 LMA458777:LOE458777 LVW458777:LYA458777 MFS458777:MHW458777 MPO458777:MRS458777 MZK458777:NBO458777 NJG458777:NLK458777 NTC458777:NVG458777 OCY458777:OFC458777 OMU458777:OOY458777 OWQ458777:OYU458777 PGM458777:PIQ458777 PQI458777:PSM458777 QAE458777:QCI458777 QKA458777:QME458777 QTW458777:QWA458777 RDS458777:RFW458777 RNO458777:RPS458777 RXK458777:RZO458777 SHG458777:SJK458777 SRC458777:STG458777 TAY458777:TDC458777 TKU458777:TMY458777 TUQ458777:TWU458777 UEM458777:UGQ458777 UOI458777:UQM458777 UYE458777:VAI458777 VIA458777:VKE458777 VRW458777:VUA458777 WBS458777:WDW458777 WLO458777:WNS458777 WVK458777:WXO458777 C524313:BG524313 IY524313:LC524313 SU524313:UY524313 ACQ524313:AEU524313 AMM524313:AOQ524313 AWI524313:AYM524313 BGE524313:BII524313 BQA524313:BSE524313 BZW524313:CCA524313 CJS524313:CLW524313 CTO524313:CVS524313 DDK524313:DFO524313 DNG524313:DPK524313 DXC524313:DZG524313 EGY524313:EJC524313 EQU524313:ESY524313 FAQ524313:FCU524313 FKM524313:FMQ524313 FUI524313:FWM524313 GEE524313:GGI524313 GOA524313:GQE524313 GXW524313:HAA524313 HHS524313:HJW524313 HRO524313:HTS524313 IBK524313:IDO524313 ILG524313:INK524313 IVC524313:IXG524313 JEY524313:JHC524313 JOU524313:JQY524313 JYQ524313:KAU524313 KIM524313:KKQ524313 KSI524313:KUM524313 LCE524313:LEI524313 LMA524313:LOE524313 LVW524313:LYA524313 MFS524313:MHW524313 MPO524313:MRS524313 MZK524313:NBO524313 NJG524313:NLK524313 NTC524313:NVG524313 OCY524313:OFC524313 OMU524313:OOY524313 OWQ524313:OYU524313 PGM524313:PIQ524313 PQI524313:PSM524313 QAE524313:QCI524313 QKA524313:QME524313 QTW524313:QWA524313 RDS524313:RFW524313 RNO524313:RPS524313 RXK524313:RZO524313 SHG524313:SJK524313 SRC524313:STG524313 TAY524313:TDC524313 TKU524313:TMY524313 TUQ524313:TWU524313 UEM524313:UGQ524313 UOI524313:UQM524313 UYE524313:VAI524313 VIA524313:VKE524313 VRW524313:VUA524313 WBS524313:WDW524313 WLO524313:WNS524313 WVK524313:WXO524313 C589849:BG589849 IY589849:LC589849 SU589849:UY589849 ACQ589849:AEU589849 AMM589849:AOQ589849 AWI589849:AYM589849 BGE589849:BII589849 BQA589849:BSE589849 BZW589849:CCA589849 CJS589849:CLW589849 CTO589849:CVS589849 DDK589849:DFO589849 DNG589849:DPK589849 DXC589849:DZG589849 EGY589849:EJC589849 EQU589849:ESY589849 FAQ589849:FCU589849 FKM589849:FMQ589849 FUI589849:FWM589849 GEE589849:GGI589849 GOA589849:GQE589849 GXW589849:HAA589849 HHS589849:HJW589849 HRO589849:HTS589849 IBK589849:IDO589849 ILG589849:INK589849 IVC589849:IXG589849 JEY589849:JHC589849 JOU589849:JQY589849 JYQ589849:KAU589849 KIM589849:KKQ589849 KSI589849:KUM589849 LCE589849:LEI589849 LMA589849:LOE589849 LVW589849:LYA589849 MFS589849:MHW589849 MPO589849:MRS589849 MZK589849:NBO589849 NJG589849:NLK589849 NTC589849:NVG589849 OCY589849:OFC589849 OMU589849:OOY589849 OWQ589849:OYU589849 PGM589849:PIQ589849 PQI589849:PSM589849 QAE589849:QCI589849 QKA589849:QME589849 QTW589849:QWA589849 RDS589849:RFW589849 RNO589849:RPS589849 RXK589849:RZO589849 SHG589849:SJK589849 SRC589849:STG589849 TAY589849:TDC589849 TKU589849:TMY589849 TUQ589849:TWU589849 UEM589849:UGQ589849 UOI589849:UQM589849 UYE589849:VAI589849 VIA589849:VKE589849 VRW589849:VUA589849 WBS589849:WDW589849 WLO589849:WNS589849 WVK589849:WXO589849 C655385:BG655385 IY655385:LC655385 SU655385:UY655385 ACQ655385:AEU655385 AMM655385:AOQ655385 AWI655385:AYM655385 BGE655385:BII655385 BQA655385:BSE655385 BZW655385:CCA655385 CJS655385:CLW655385 CTO655385:CVS655385 DDK655385:DFO655385 DNG655385:DPK655385 DXC655385:DZG655385 EGY655385:EJC655385 EQU655385:ESY655385 FAQ655385:FCU655385 FKM655385:FMQ655385 FUI655385:FWM655385 GEE655385:GGI655385 GOA655385:GQE655385 GXW655385:HAA655385 HHS655385:HJW655385 HRO655385:HTS655385 IBK655385:IDO655385 ILG655385:INK655385 IVC655385:IXG655385 JEY655385:JHC655385 JOU655385:JQY655385 JYQ655385:KAU655385 KIM655385:KKQ655385 KSI655385:KUM655385 LCE655385:LEI655385 LMA655385:LOE655385 LVW655385:LYA655385 MFS655385:MHW655385 MPO655385:MRS655385 MZK655385:NBO655385 NJG655385:NLK655385 NTC655385:NVG655385 OCY655385:OFC655385 OMU655385:OOY655385 OWQ655385:OYU655385 PGM655385:PIQ655385 PQI655385:PSM655385 QAE655385:QCI655385 QKA655385:QME655385 QTW655385:QWA655385 RDS655385:RFW655385 RNO655385:RPS655385 RXK655385:RZO655385 SHG655385:SJK655385 SRC655385:STG655385 TAY655385:TDC655385 TKU655385:TMY655385 TUQ655385:TWU655385 UEM655385:UGQ655385 UOI655385:UQM655385 UYE655385:VAI655385 VIA655385:VKE655385 VRW655385:VUA655385 WBS655385:WDW655385 WLO655385:WNS655385 WVK655385:WXO655385 C720921:BG720921 IY720921:LC720921 SU720921:UY720921 ACQ720921:AEU720921 AMM720921:AOQ720921 AWI720921:AYM720921 BGE720921:BII720921 BQA720921:BSE720921 BZW720921:CCA720921 CJS720921:CLW720921 CTO720921:CVS720921 DDK720921:DFO720921 DNG720921:DPK720921 DXC720921:DZG720921 EGY720921:EJC720921 EQU720921:ESY720921 FAQ720921:FCU720921 FKM720921:FMQ720921 FUI720921:FWM720921 GEE720921:GGI720921 GOA720921:GQE720921 GXW720921:HAA720921 HHS720921:HJW720921 HRO720921:HTS720921 IBK720921:IDO720921 ILG720921:INK720921 IVC720921:IXG720921 JEY720921:JHC720921 JOU720921:JQY720921 JYQ720921:KAU720921 KIM720921:KKQ720921 KSI720921:KUM720921 LCE720921:LEI720921 LMA720921:LOE720921 LVW720921:LYA720921 MFS720921:MHW720921 MPO720921:MRS720921 MZK720921:NBO720921 NJG720921:NLK720921 NTC720921:NVG720921 OCY720921:OFC720921 OMU720921:OOY720921 OWQ720921:OYU720921 PGM720921:PIQ720921 PQI720921:PSM720921 QAE720921:QCI720921 QKA720921:QME720921 QTW720921:QWA720921 RDS720921:RFW720921 RNO720921:RPS720921 RXK720921:RZO720921 SHG720921:SJK720921 SRC720921:STG720921 TAY720921:TDC720921 TKU720921:TMY720921 TUQ720921:TWU720921 UEM720921:UGQ720921 UOI720921:UQM720921 UYE720921:VAI720921 VIA720921:VKE720921 VRW720921:VUA720921 WBS720921:WDW720921 WLO720921:WNS720921 WVK720921:WXO720921 C786457:BG786457 IY786457:LC786457 SU786457:UY786457 ACQ786457:AEU786457 AMM786457:AOQ786457 AWI786457:AYM786457 BGE786457:BII786457 BQA786457:BSE786457 BZW786457:CCA786457 CJS786457:CLW786457 CTO786457:CVS786457 DDK786457:DFO786457 DNG786457:DPK786457 DXC786457:DZG786457 EGY786457:EJC786457 EQU786457:ESY786457 FAQ786457:FCU786457 FKM786457:FMQ786457 FUI786457:FWM786457 GEE786457:GGI786457 GOA786457:GQE786457 GXW786457:HAA786457 HHS786457:HJW786457 HRO786457:HTS786457 IBK786457:IDO786457 ILG786457:INK786457 IVC786457:IXG786457 JEY786457:JHC786457 JOU786457:JQY786457 JYQ786457:KAU786457 KIM786457:KKQ786457 KSI786457:KUM786457 LCE786457:LEI786457 LMA786457:LOE786457 LVW786457:LYA786457 MFS786457:MHW786457 MPO786457:MRS786457 MZK786457:NBO786457 NJG786457:NLK786457 NTC786457:NVG786457 OCY786457:OFC786457 OMU786457:OOY786457 OWQ786457:OYU786457 PGM786457:PIQ786457 PQI786457:PSM786457 QAE786457:QCI786457 QKA786457:QME786457 QTW786457:QWA786457 RDS786457:RFW786457 RNO786457:RPS786457 RXK786457:RZO786457 SHG786457:SJK786457 SRC786457:STG786457 TAY786457:TDC786457 TKU786457:TMY786457 TUQ786457:TWU786457 UEM786457:UGQ786457 UOI786457:UQM786457 UYE786457:VAI786457 VIA786457:VKE786457 VRW786457:VUA786457 WBS786457:WDW786457 WLO786457:WNS786457 WVK786457:WXO786457 C851993:BG851993 IY851993:LC851993 SU851993:UY851993 ACQ851993:AEU851993 AMM851993:AOQ851993 AWI851993:AYM851993 BGE851993:BII851993 BQA851993:BSE851993 BZW851993:CCA851993 CJS851993:CLW851993 CTO851993:CVS851993 DDK851993:DFO851993 DNG851993:DPK851993 DXC851993:DZG851993 EGY851993:EJC851993 EQU851993:ESY851993 FAQ851993:FCU851993 FKM851993:FMQ851993 FUI851993:FWM851993 GEE851993:GGI851993 GOA851993:GQE851993 GXW851993:HAA851993 HHS851993:HJW851993 HRO851993:HTS851993 IBK851993:IDO851993 ILG851993:INK851993 IVC851993:IXG851993 JEY851993:JHC851993 JOU851993:JQY851993 JYQ851993:KAU851993 KIM851993:KKQ851993 KSI851993:KUM851993 LCE851993:LEI851993 LMA851993:LOE851993 LVW851993:LYA851993 MFS851993:MHW851993 MPO851993:MRS851993 MZK851993:NBO851993 NJG851993:NLK851993 NTC851993:NVG851993 OCY851993:OFC851993 OMU851993:OOY851993 OWQ851993:OYU851993 PGM851993:PIQ851993 PQI851993:PSM851993 QAE851993:QCI851993 QKA851993:QME851993 QTW851993:QWA851993 RDS851993:RFW851993 RNO851993:RPS851993 RXK851993:RZO851993 SHG851993:SJK851993 SRC851993:STG851993 TAY851993:TDC851993 TKU851993:TMY851993 TUQ851993:TWU851993 UEM851993:UGQ851993 UOI851993:UQM851993 UYE851993:VAI851993 VIA851993:VKE851993 VRW851993:VUA851993 WBS851993:WDW851993 WLO851993:WNS851993 WVK851993:WXO851993 C917529:BG917529 IY917529:LC917529 SU917529:UY917529 ACQ917529:AEU917529 AMM917529:AOQ917529 AWI917529:AYM917529 BGE917529:BII917529 BQA917529:BSE917529 BZW917529:CCA917529 CJS917529:CLW917529 CTO917529:CVS917529 DDK917529:DFO917529 DNG917529:DPK917529 DXC917529:DZG917529 EGY917529:EJC917529 EQU917529:ESY917529 FAQ917529:FCU917529 FKM917529:FMQ917529 FUI917529:FWM917529 GEE917529:GGI917529 GOA917529:GQE917529 GXW917529:HAA917529 HHS917529:HJW917529 HRO917529:HTS917529 IBK917529:IDO917529 ILG917529:INK917529 IVC917529:IXG917529 JEY917529:JHC917529 JOU917529:JQY917529 JYQ917529:KAU917529 KIM917529:KKQ917529 KSI917529:KUM917529 LCE917529:LEI917529 LMA917529:LOE917529 LVW917529:LYA917529 MFS917529:MHW917529 MPO917529:MRS917529 MZK917529:NBO917529 NJG917529:NLK917529 NTC917529:NVG917529 OCY917529:OFC917529 OMU917529:OOY917529 OWQ917529:OYU917529 PGM917529:PIQ917529 PQI917529:PSM917529 QAE917529:QCI917529 QKA917529:QME917529 QTW917529:QWA917529 RDS917529:RFW917529 RNO917529:RPS917529 RXK917529:RZO917529 SHG917529:SJK917529 SRC917529:STG917529 TAY917529:TDC917529 TKU917529:TMY917529 TUQ917529:TWU917529 UEM917529:UGQ917529 UOI917529:UQM917529 UYE917529:VAI917529 VIA917529:VKE917529 VRW917529:VUA917529 WBS917529:WDW917529 WLO917529:WNS917529 WVK917529:WXO917529 C983065:BG983065 IY983065:LC983065 SU983065:UY983065 ACQ983065:AEU983065 AMM983065:AOQ983065 AWI983065:AYM983065 BGE983065:BII983065 BQA983065:BSE983065 BZW983065:CCA983065 CJS983065:CLW983065 CTO983065:CVS983065 DDK983065:DFO983065 DNG983065:DPK983065 DXC983065:DZG983065 EGY983065:EJC983065 EQU983065:ESY983065 FAQ983065:FCU983065 FKM983065:FMQ983065 FUI983065:FWM983065 GEE983065:GGI983065 GOA983065:GQE983065 GXW983065:HAA983065 HHS983065:HJW983065 HRO983065:HTS983065 IBK983065:IDO983065 ILG983065:INK983065 IVC983065:IXG983065 JEY983065:JHC983065 JOU983065:JQY983065 JYQ983065:KAU983065 KIM983065:KKQ983065 KSI983065:KUM983065 LCE983065:LEI983065 LMA983065:LOE983065 LVW983065:LYA983065 MFS983065:MHW983065 MPO983065:MRS983065 MZK983065:NBO983065 NJG983065:NLK983065 NTC983065:NVG983065 OCY983065:OFC983065 OMU983065:OOY983065 OWQ983065:OYU983065 PGM983065:PIQ983065 PQI983065:PSM983065 QAE983065:QCI983065 QKA983065:QME983065 QTW983065:QWA983065 RDS983065:RFW983065 RNO983065:RPS983065 RXK983065:RZO983065 SHG983065:SJK983065 SRC983065:STG983065 TAY983065:TDC983065 TKU983065:TMY983065 TUQ983065:TWU983065 UEM983065:UGQ983065 UOI983065:UQM983065 UYE983065:VAI983065 VIA983065:VKE983065 VRW983065:VUA983065 WBS983065:WDW983065 WLO983065:WNS983065 WVK983065:WXO983065" xr:uid="{00000000-0002-0000-2B00-000000000000}">
      <formula1>$A$401:$A$410</formula1>
    </dataValidation>
    <dataValidation type="list" allowBlank="1" showInputMessage="1" showErrorMessage="1" sqref="C12:BI12 IY12:LE12 SU12:VA12 ACQ12:AEW12 AMM12:AOS12 AWI12:AYO12 BGE12:BIK12 BQA12:BSG12 BZW12:CCC12 CJS12:CLY12 CTO12:CVU12 DDK12:DFQ12 DNG12:DPM12 DXC12:DZI12 EGY12:EJE12 EQU12:ETA12 FAQ12:FCW12 FKM12:FMS12 FUI12:FWO12 GEE12:GGK12 GOA12:GQG12 GXW12:HAC12 HHS12:HJY12 HRO12:HTU12 IBK12:IDQ12 ILG12:INM12 IVC12:IXI12 JEY12:JHE12 JOU12:JRA12 JYQ12:KAW12 KIM12:KKS12 KSI12:KUO12 LCE12:LEK12 LMA12:LOG12 LVW12:LYC12 MFS12:MHY12 MPO12:MRU12 MZK12:NBQ12 NJG12:NLM12 NTC12:NVI12 OCY12:OFE12 OMU12:OPA12 OWQ12:OYW12 PGM12:PIS12 PQI12:PSO12 QAE12:QCK12 QKA12:QMG12 QTW12:QWC12 RDS12:RFY12 RNO12:RPU12 RXK12:RZQ12 SHG12:SJM12 SRC12:STI12 TAY12:TDE12 TKU12:TNA12 TUQ12:TWW12 UEM12:UGS12 UOI12:UQO12 UYE12:VAK12 VIA12:VKG12 VRW12:VUC12 WBS12:WDY12 WLO12:WNU12 WVK12:WXQ12 C65548:BI65548 IY65548:LE65548 SU65548:VA65548 ACQ65548:AEW65548 AMM65548:AOS65548 AWI65548:AYO65548 BGE65548:BIK65548 BQA65548:BSG65548 BZW65548:CCC65548 CJS65548:CLY65548 CTO65548:CVU65548 DDK65548:DFQ65548 DNG65548:DPM65548 DXC65548:DZI65548 EGY65548:EJE65548 EQU65548:ETA65548 FAQ65548:FCW65548 FKM65548:FMS65548 FUI65548:FWO65548 GEE65548:GGK65548 GOA65548:GQG65548 GXW65548:HAC65548 HHS65548:HJY65548 HRO65548:HTU65548 IBK65548:IDQ65548 ILG65548:INM65548 IVC65548:IXI65548 JEY65548:JHE65548 JOU65548:JRA65548 JYQ65548:KAW65548 KIM65548:KKS65548 KSI65548:KUO65548 LCE65548:LEK65548 LMA65548:LOG65548 LVW65548:LYC65548 MFS65548:MHY65548 MPO65548:MRU65548 MZK65548:NBQ65548 NJG65548:NLM65548 NTC65548:NVI65548 OCY65548:OFE65548 OMU65548:OPA65548 OWQ65548:OYW65548 PGM65548:PIS65548 PQI65548:PSO65548 QAE65548:QCK65548 QKA65548:QMG65548 QTW65548:QWC65548 RDS65548:RFY65548 RNO65548:RPU65548 RXK65548:RZQ65548 SHG65548:SJM65548 SRC65548:STI65548 TAY65548:TDE65548 TKU65548:TNA65548 TUQ65548:TWW65548 UEM65548:UGS65548 UOI65548:UQO65548 UYE65548:VAK65548 VIA65548:VKG65548 VRW65548:VUC65548 WBS65548:WDY65548 WLO65548:WNU65548 WVK65548:WXQ65548 C131084:BI131084 IY131084:LE131084 SU131084:VA131084 ACQ131084:AEW131084 AMM131084:AOS131084 AWI131084:AYO131084 BGE131084:BIK131084 BQA131084:BSG131084 BZW131084:CCC131084 CJS131084:CLY131084 CTO131084:CVU131084 DDK131084:DFQ131084 DNG131084:DPM131084 DXC131084:DZI131084 EGY131084:EJE131084 EQU131084:ETA131084 FAQ131084:FCW131084 FKM131084:FMS131084 FUI131084:FWO131084 GEE131084:GGK131084 GOA131084:GQG131084 GXW131084:HAC131084 HHS131084:HJY131084 HRO131084:HTU131084 IBK131084:IDQ131084 ILG131084:INM131084 IVC131084:IXI131084 JEY131084:JHE131084 JOU131084:JRA131084 JYQ131084:KAW131084 KIM131084:KKS131084 KSI131084:KUO131084 LCE131084:LEK131084 LMA131084:LOG131084 LVW131084:LYC131084 MFS131084:MHY131084 MPO131084:MRU131084 MZK131084:NBQ131084 NJG131084:NLM131084 NTC131084:NVI131084 OCY131084:OFE131084 OMU131084:OPA131084 OWQ131084:OYW131084 PGM131084:PIS131084 PQI131084:PSO131084 QAE131084:QCK131084 QKA131084:QMG131084 QTW131084:QWC131084 RDS131084:RFY131084 RNO131084:RPU131084 RXK131084:RZQ131084 SHG131084:SJM131084 SRC131084:STI131084 TAY131084:TDE131084 TKU131084:TNA131084 TUQ131084:TWW131084 UEM131084:UGS131084 UOI131084:UQO131084 UYE131084:VAK131084 VIA131084:VKG131084 VRW131084:VUC131084 WBS131084:WDY131084 WLO131084:WNU131084 WVK131084:WXQ131084 C196620:BI196620 IY196620:LE196620 SU196620:VA196620 ACQ196620:AEW196620 AMM196620:AOS196620 AWI196620:AYO196620 BGE196620:BIK196620 BQA196620:BSG196620 BZW196620:CCC196620 CJS196620:CLY196620 CTO196620:CVU196620 DDK196620:DFQ196620 DNG196620:DPM196620 DXC196620:DZI196620 EGY196620:EJE196620 EQU196620:ETA196620 FAQ196620:FCW196620 FKM196620:FMS196620 FUI196620:FWO196620 GEE196620:GGK196620 GOA196620:GQG196620 GXW196620:HAC196620 HHS196620:HJY196620 HRO196620:HTU196620 IBK196620:IDQ196620 ILG196620:INM196620 IVC196620:IXI196620 JEY196620:JHE196620 JOU196620:JRA196620 JYQ196620:KAW196620 KIM196620:KKS196620 KSI196620:KUO196620 LCE196620:LEK196620 LMA196620:LOG196620 LVW196620:LYC196620 MFS196620:MHY196620 MPO196620:MRU196620 MZK196620:NBQ196620 NJG196620:NLM196620 NTC196620:NVI196620 OCY196620:OFE196620 OMU196620:OPA196620 OWQ196620:OYW196620 PGM196620:PIS196620 PQI196620:PSO196620 QAE196620:QCK196620 QKA196620:QMG196620 QTW196620:QWC196620 RDS196620:RFY196620 RNO196620:RPU196620 RXK196620:RZQ196620 SHG196620:SJM196620 SRC196620:STI196620 TAY196620:TDE196620 TKU196620:TNA196620 TUQ196620:TWW196620 UEM196620:UGS196620 UOI196620:UQO196620 UYE196620:VAK196620 VIA196620:VKG196620 VRW196620:VUC196620 WBS196620:WDY196620 WLO196620:WNU196620 WVK196620:WXQ196620 C262156:BI262156 IY262156:LE262156 SU262156:VA262156 ACQ262156:AEW262156 AMM262156:AOS262156 AWI262156:AYO262156 BGE262156:BIK262156 BQA262156:BSG262156 BZW262156:CCC262156 CJS262156:CLY262156 CTO262156:CVU262156 DDK262156:DFQ262156 DNG262156:DPM262156 DXC262156:DZI262156 EGY262156:EJE262156 EQU262156:ETA262156 FAQ262156:FCW262156 FKM262156:FMS262156 FUI262156:FWO262156 GEE262156:GGK262156 GOA262156:GQG262156 GXW262156:HAC262156 HHS262156:HJY262156 HRO262156:HTU262156 IBK262156:IDQ262156 ILG262156:INM262156 IVC262156:IXI262156 JEY262156:JHE262156 JOU262156:JRA262156 JYQ262156:KAW262156 KIM262156:KKS262156 KSI262156:KUO262156 LCE262156:LEK262156 LMA262156:LOG262156 LVW262156:LYC262156 MFS262156:MHY262156 MPO262156:MRU262156 MZK262156:NBQ262156 NJG262156:NLM262156 NTC262156:NVI262156 OCY262156:OFE262156 OMU262156:OPA262156 OWQ262156:OYW262156 PGM262156:PIS262156 PQI262156:PSO262156 QAE262156:QCK262156 QKA262156:QMG262156 QTW262156:QWC262156 RDS262156:RFY262156 RNO262156:RPU262156 RXK262156:RZQ262156 SHG262156:SJM262156 SRC262156:STI262156 TAY262156:TDE262156 TKU262156:TNA262156 TUQ262156:TWW262156 UEM262156:UGS262156 UOI262156:UQO262156 UYE262156:VAK262156 VIA262156:VKG262156 VRW262156:VUC262156 WBS262156:WDY262156 WLO262156:WNU262156 WVK262156:WXQ262156 C327692:BI327692 IY327692:LE327692 SU327692:VA327692 ACQ327692:AEW327692 AMM327692:AOS327692 AWI327692:AYO327692 BGE327692:BIK327692 BQA327692:BSG327692 BZW327692:CCC327692 CJS327692:CLY327692 CTO327692:CVU327692 DDK327692:DFQ327692 DNG327692:DPM327692 DXC327692:DZI327692 EGY327692:EJE327692 EQU327692:ETA327692 FAQ327692:FCW327692 FKM327692:FMS327692 FUI327692:FWO327692 GEE327692:GGK327692 GOA327692:GQG327692 GXW327692:HAC327692 HHS327692:HJY327692 HRO327692:HTU327692 IBK327692:IDQ327692 ILG327692:INM327692 IVC327692:IXI327692 JEY327692:JHE327692 JOU327692:JRA327692 JYQ327692:KAW327692 KIM327692:KKS327692 KSI327692:KUO327692 LCE327692:LEK327692 LMA327692:LOG327692 LVW327692:LYC327692 MFS327692:MHY327692 MPO327692:MRU327692 MZK327692:NBQ327692 NJG327692:NLM327692 NTC327692:NVI327692 OCY327692:OFE327692 OMU327692:OPA327692 OWQ327692:OYW327692 PGM327692:PIS327692 PQI327692:PSO327692 QAE327692:QCK327692 QKA327692:QMG327692 QTW327692:QWC327692 RDS327692:RFY327692 RNO327692:RPU327692 RXK327692:RZQ327692 SHG327692:SJM327692 SRC327692:STI327692 TAY327692:TDE327692 TKU327692:TNA327692 TUQ327692:TWW327692 UEM327692:UGS327692 UOI327692:UQO327692 UYE327692:VAK327692 VIA327692:VKG327692 VRW327692:VUC327692 WBS327692:WDY327692 WLO327692:WNU327692 WVK327692:WXQ327692 C393228:BI393228 IY393228:LE393228 SU393228:VA393228 ACQ393228:AEW393228 AMM393228:AOS393228 AWI393228:AYO393228 BGE393228:BIK393228 BQA393228:BSG393228 BZW393228:CCC393228 CJS393228:CLY393228 CTO393228:CVU393228 DDK393228:DFQ393228 DNG393228:DPM393228 DXC393228:DZI393228 EGY393228:EJE393228 EQU393228:ETA393228 FAQ393228:FCW393228 FKM393228:FMS393228 FUI393228:FWO393228 GEE393228:GGK393228 GOA393228:GQG393228 GXW393228:HAC393228 HHS393228:HJY393228 HRO393228:HTU393228 IBK393228:IDQ393228 ILG393228:INM393228 IVC393228:IXI393228 JEY393228:JHE393228 JOU393228:JRA393228 JYQ393228:KAW393228 KIM393228:KKS393228 KSI393228:KUO393228 LCE393228:LEK393228 LMA393228:LOG393228 LVW393228:LYC393228 MFS393228:MHY393228 MPO393228:MRU393228 MZK393228:NBQ393228 NJG393228:NLM393228 NTC393228:NVI393228 OCY393228:OFE393228 OMU393228:OPA393228 OWQ393228:OYW393228 PGM393228:PIS393228 PQI393228:PSO393228 QAE393228:QCK393228 QKA393228:QMG393228 QTW393228:QWC393228 RDS393228:RFY393228 RNO393228:RPU393228 RXK393228:RZQ393228 SHG393228:SJM393228 SRC393228:STI393228 TAY393228:TDE393228 TKU393228:TNA393228 TUQ393228:TWW393228 UEM393228:UGS393228 UOI393228:UQO393228 UYE393228:VAK393228 VIA393228:VKG393228 VRW393228:VUC393228 WBS393228:WDY393228 WLO393228:WNU393228 WVK393228:WXQ393228 C458764:BI458764 IY458764:LE458764 SU458764:VA458764 ACQ458764:AEW458764 AMM458764:AOS458764 AWI458764:AYO458764 BGE458764:BIK458764 BQA458764:BSG458764 BZW458764:CCC458764 CJS458764:CLY458764 CTO458764:CVU458764 DDK458764:DFQ458764 DNG458764:DPM458764 DXC458764:DZI458764 EGY458764:EJE458764 EQU458764:ETA458764 FAQ458764:FCW458764 FKM458764:FMS458764 FUI458764:FWO458764 GEE458764:GGK458764 GOA458764:GQG458764 GXW458764:HAC458764 HHS458764:HJY458764 HRO458764:HTU458764 IBK458764:IDQ458764 ILG458764:INM458764 IVC458764:IXI458764 JEY458764:JHE458764 JOU458764:JRA458764 JYQ458764:KAW458764 KIM458764:KKS458764 KSI458764:KUO458764 LCE458764:LEK458764 LMA458764:LOG458764 LVW458764:LYC458764 MFS458764:MHY458764 MPO458764:MRU458764 MZK458764:NBQ458764 NJG458764:NLM458764 NTC458764:NVI458764 OCY458764:OFE458764 OMU458764:OPA458764 OWQ458764:OYW458764 PGM458764:PIS458764 PQI458764:PSO458764 QAE458764:QCK458764 QKA458764:QMG458764 QTW458764:QWC458764 RDS458764:RFY458764 RNO458764:RPU458764 RXK458764:RZQ458764 SHG458764:SJM458764 SRC458764:STI458764 TAY458764:TDE458764 TKU458764:TNA458764 TUQ458764:TWW458764 UEM458764:UGS458764 UOI458764:UQO458764 UYE458764:VAK458764 VIA458764:VKG458764 VRW458764:VUC458764 WBS458764:WDY458764 WLO458764:WNU458764 WVK458764:WXQ458764 C524300:BI524300 IY524300:LE524300 SU524300:VA524300 ACQ524300:AEW524300 AMM524300:AOS524300 AWI524300:AYO524300 BGE524300:BIK524300 BQA524300:BSG524300 BZW524300:CCC524300 CJS524300:CLY524300 CTO524300:CVU524300 DDK524300:DFQ524300 DNG524300:DPM524300 DXC524300:DZI524300 EGY524300:EJE524300 EQU524300:ETA524300 FAQ524300:FCW524300 FKM524300:FMS524300 FUI524300:FWO524300 GEE524300:GGK524300 GOA524300:GQG524300 GXW524300:HAC524300 HHS524300:HJY524300 HRO524300:HTU524300 IBK524300:IDQ524300 ILG524300:INM524300 IVC524300:IXI524300 JEY524300:JHE524300 JOU524300:JRA524300 JYQ524300:KAW524300 KIM524300:KKS524300 KSI524300:KUO524300 LCE524300:LEK524300 LMA524300:LOG524300 LVW524300:LYC524300 MFS524300:MHY524300 MPO524300:MRU524300 MZK524300:NBQ524300 NJG524300:NLM524300 NTC524300:NVI524300 OCY524300:OFE524300 OMU524300:OPA524300 OWQ524300:OYW524300 PGM524300:PIS524300 PQI524300:PSO524300 QAE524300:QCK524300 QKA524300:QMG524300 QTW524300:QWC524300 RDS524300:RFY524300 RNO524300:RPU524300 RXK524300:RZQ524300 SHG524300:SJM524300 SRC524300:STI524300 TAY524300:TDE524300 TKU524300:TNA524300 TUQ524300:TWW524300 UEM524300:UGS524300 UOI524300:UQO524300 UYE524300:VAK524300 VIA524300:VKG524300 VRW524300:VUC524300 WBS524300:WDY524300 WLO524300:WNU524300 WVK524300:WXQ524300 C589836:BI589836 IY589836:LE589836 SU589836:VA589836 ACQ589836:AEW589836 AMM589836:AOS589836 AWI589836:AYO589836 BGE589836:BIK589836 BQA589836:BSG589836 BZW589836:CCC589836 CJS589836:CLY589836 CTO589836:CVU589836 DDK589836:DFQ589836 DNG589836:DPM589836 DXC589836:DZI589836 EGY589836:EJE589836 EQU589836:ETA589836 FAQ589836:FCW589836 FKM589836:FMS589836 FUI589836:FWO589836 GEE589836:GGK589836 GOA589836:GQG589836 GXW589836:HAC589836 HHS589836:HJY589836 HRO589836:HTU589836 IBK589836:IDQ589836 ILG589836:INM589836 IVC589836:IXI589836 JEY589836:JHE589836 JOU589836:JRA589836 JYQ589836:KAW589836 KIM589836:KKS589836 KSI589836:KUO589836 LCE589836:LEK589836 LMA589836:LOG589836 LVW589836:LYC589836 MFS589836:MHY589836 MPO589836:MRU589836 MZK589836:NBQ589836 NJG589836:NLM589836 NTC589836:NVI589836 OCY589836:OFE589836 OMU589836:OPA589836 OWQ589836:OYW589836 PGM589836:PIS589836 PQI589836:PSO589836 QAE589836:QCK589836 QKA589836:QMG589836 QTW589836:QWC589836 RDS589836:RFY589836 RNO589836:RPU589836 RXK589836:RZQ589836 SHG589836:SJM589836 SRC589836:STI589836 TAY589836:TDE589836 TKU589836:TNA589836 TUQ589836:TWW589836 UEM589836:UGS589836 UOI589836:UQO589836 UYE589836:VAK589836 VIA589836:VKG589836 VRW589836:VUC589836 WBS589836:WDY589836 WLO589836:WNU589836 WVK589836:WXQ589836 C655372:BI655372 IY655372:LE655372 SU655372:VA655372 ACQ655372:AEW655372 AMM655372:AOS655372 AWI655372:AYO655372 BGE655372:BIK655372 BQA655372:BSG655372 BZW655372:CCC655372 CJS655372:CLY655372 CTO655372:CVU655372 DDK655372:DFQ655372 DNG655372:DPM655372 DXC655372:DZI655372 EGY655372:EJE655372 EQU655372:ETA655372 FAQ655372:FCW655372 FKM655372:FMS655372 FUI655372:FWO655372 GEE655372:GGK655372 GOA655372:GQG655372 GXW655372:HAC655372 HHS655372:HJY655372 HRO655372:HTU655372 IBK655372:IDQ655372 ILG655372:INM655372 IVC655372:IXI655372 JEY655372:JHE655372 JOU655372:JRA655372 JYQ655372:KAW655372 KIM655372:KKS655372 KSI655372:KUO655372 LCE655372:LEK655372 LMA655372:LOG655372 LVW655372:LYC655372 MFS655372:MHY655372 MPO655372:MRU655372 MZK655372:NBQ655372 NJG655372:NLM655372 NTC655372:NVI655372 OCY655372:OFE655372 OMU655372:OPA655372 OWQ655372:OYW655372 PGM655372:PIS655372 PQI655372:PSO655372 QAE655372:QCK655372 QKA655372:QMG655372 QTW655372:QWC655372 RDS655372:RFY655372 RNO655372:RPU655372 RXK655372:RZQ655372 SHG655372:SJM655372 SRC655372:STI655372 TAY655372:TDE655372 TKU655372:TNA655372 TUQ655372:TWW655372 UEM655372:UGS655372 UOI655372:UQO655372 UYE655372:VAK655372 VIA655372:VKG655372 VRW655372:VUC655372 WBS655372:WDY655372 WLO655372:WNU655372 WVK655372:WXQ655372 C720908:BI720908 IY720908:LE720908 SU720908:VA720908 ACQ720908:AEW720908 AMM720908:AOS720908 AWI720908:AYO720908 BGE720908:BIK720908 BQA720908:BSG720908 BZW720908:CCC720908 CJS720908:CLY720908 CTO720908:CVU720908 DDK720908:DFQ720908 DNG720908:DPM720908 DXC720908:DZI720908 EGY720908:EJE720908 EQU720908:ETA720908 FAQ720908:FCW720908 FKM720908:FMS720908 FUI720908:FWO720908 GEE720908:GGK720908 GOA720908:GQG720908 GXW720908:HAC720908 HHS720908:HJY720908 HRO720908:HTU720908 IBK720908:IDQ720908 ILG720908:INM720908 IVC720908:IXI720908 JEY720908:JHE720908 JOU720908:JRA720908 JYQ720908:KAW720908 KIM720908:KKS720908 KSI720908:KUO720908 LCE720908:LEK720908 LMA720908:LOG720908 LVW720908:LYC720908 MFS720908:MHY720908 MPO720908:MRU720908 MZK720908:NBQ720908 NJG720908:NLM720908 NTC720908:NVI720908 OCY720908:OFE720908 OMU720908:OPA720908 OWQ720908:OYW720908 PGM720908:PIS720908 PQI720908:PSO720908 QAE720908:QCK720908 QKA720908:QMG720908 QTW720908:QWC720908 RDS720908:RFY720908 RNO720908:RPU720908 RXK720908:RZQ720908 SHG720908:SJM720908 SRC720908:STI720908 TAY720908:TDE720908 TKU720908:TNA720908 TUQ720908:TWW720908 UEM720908:UGS720908 UOI720908:UQO720908 UYE720908:VAK720908 VIA720908:VKG720908 VRW720908:VUC720908 WBS720908:WDY720908 WLO720908:WNU720908 WVK720908:WXQ720908 C786444:BI786444 IY786444:LE786444 SU786444:VA786444 ACQ786444:AEW786444 AMM786444:AOS786444 AWI786444:AYO786444 BGE786444:BIK786444 BQA786444:BSG786444 BZW786444:CCC786444 CJS786444:CLY786444 CTO786444:CVU786444 DDK786444:DFQ786444 DNG786444:DPM786444 DXC786444:DZI786444 EGY786444:EJE786444 EQU786444:ETA786444 FAQ786444:FCW786444 FKM786444:FMS786444 FUI786444:FWO786444 GEE786444:GGK786444 GOA786444:GQG786444 GXW786444:HAC786444 HHS786444:HJY786444 HRO786444:HTU786444 IBK786444:IDQ786444 ILG786444:INM786444 IVC786444:IXI786444 JEY786444:JHE786444 JOU786444:JRA786444 JYQ786444:KAW786444 KIM786444:KKS786444 KSI786444:KUO786444 LCE786444:LEK786444 LMA786444:LOG786444 LVW786444:LYC786444 MFS786444:MHY786444 MPO786444:MRU786444 MZK786444:NBQ786444 NJG786444:NLM786444 NTC786444:NVI786444 OCY786444:OFE786444 OMU786444:OPA786444 OWQ786444:OYW786444 PGM786444:PIS786444 PQI786444:PSO786444 QAE786444:QCK786444 QKA786444:QMG786444 QTW786444:QWC786444 RDS786444:RFY786444 RNO786444:RPU786444 RXK786444:RZQ786444 SHG786444:SJM786444 SRC786444:STI786444 TAY786444:TDE786444 TKU786444:TNA786444 TUQ786444:TWW786444 UEM786444:UGS786444 UOI786444:UQO786444 UYE786444:VAK786444 VIA786444:VKG786444 VRW786444:VUC786444 WBS786444:WDY786444 WLO786444:WNU786444 WVK786444:WXQ786444 C851980:BI851980 IY851980:LE851980 SU851980:VA851980 ACQ851980:AEW851980 AMM851980:AOS851980 AWI851980:AYO851980 BGE851980:BIK851980 BQA851980:BSG851980 BZW851980:CCC851980 CJS851980:CLY851980 CTO851980:CVU851980 DDK851980:DFQ851980 DNG851980:DPM851980 DXC851980:DZI851980 EGY851980:EJE851980 EQU851980:ETA851980 FAQ851980:FCW851980 FKM851980:FMS851980 FUI851980:FWO851980 GEE851980:GGK851980 GOA851980:GQG851980 GXW851980:HAC851980 HHS851980:HJY851980 HRO851980:HTU851980 IBK851980:IDQ851980 ILG851980:INM851980 IVC851980:IXI851980 JEY851980:JHE851980 JOU851980:JRA851980 JYQ851980:KAW851980 KIM851980:KKS851980 KSI851980:KUO851980 LCE851980:LEK851980 LMA851980:LOG851980 LVW851980:LYC851980 MFS851980:MHY851980 MPO851980:MRU851980 MZK851980:NBQ851980 NJG851980:NLM851980 NTC851980:NVI851980 OCY851980:OFE851980 OMU851980:OPA851980 OWQ851980:OYW851980 PGM851980:PIS851980 PQI851980:PSO851980 QAE851980:QCK851980 QKA851980:QMG851980 QTW851980:QWC851980 RDS851980:RFY851980 RNO851980:RPU851980 RXK851980:RZQ851980 SHG851980:SJM851980 SRC851980:STI851980 TAY851980:TDE851980 TKU851980:TNA851980 TUQ851980:TWW851980 UEM851980:UGS851980 UOI851980:UQO851980 UYE851980:VAK851980 VIA851980:VKG851980 VRW851980:VUC851980 WBS851980:WDY851980 WLO851980:WNU851980 WVK851980:WXQ851980 C917516:BI917516 IY917516:LE917516 SU917516:VA917516 ACQ917516:AEW917516 AMM917516:AOS917516 AWI917516:AYO917516 BGE917516:BIK917516 BQA917516:BSG917516 BZW917516:CCC917516 CJS917516:CLY917516 CTO917516:CVU917516 DDK917516:DFQ917516 DNG917516:DPM917516 DXC917516:DZI917516 EGY917516:EJE917516 EQU917516:ETA917516 FAQ917516:FCW917516 FKM917516:FMS917516 FUI917516:FWO917516 GEE917516:GGK917516 GOA917516:GQG917516 GXW917516:HAC917516 HHS917516:HJY917516 HRO917516:HTU917516 IBK917516:IDQ917516 ILG917516:INM917516 IVC917516:IXI917516 JEY917516:JHE917516 JOU917516:JRA917516 JYQ917516:KAW917516 KIM917516:KKS917516 KSI917516:KUO917516 LCE917516:LEK917516 LMA917516:LOG917516 LVW917516:LYC917516 MFS917516:MHY917516 MPO917516:MRU917516 MZK917516:NBQ917516 NJG917516:NLM917516 NTC917516:NVI917516 OCY917516:OFE917516 OMU917516:OPA917516 OWQ917516:OYW917516 PGM917516:PIS917516 PQI917516:PSO917516 QAE917516:QCK917516 QKA917516:QMG917516 QTW917516:QWC917516 RDS917516:RFY917516 RNO917516:RPU917516 RXK917516:RZQ917516 SHG917516:SJM917516 SRC917516:STI917516 TAY917516:TDE917516 TKU917516:TNA917516 TUQ917516:TWW917516 UEM917516:UGS917516 UOI917516:UQO917516 UYE917516:VAK917516 VIA917516:VKG917516 VRW917516:VUC917516 WBS917516:WDY917516 WLO917516:WNU917516 WVK917516:WXQ917516 C983052:BI983052 IY983052:LE983052 SU983052:VA983052 ACQ983052:AEW983052 AMM983052:AOS983052 AWI983052:AYO983052 BGE983052:BIK983052 BQA983052:BSG983052 BZW983052:CCC983052 CJS983052:CLY983052 CTO983052:CVU983052 DDK983052:DFQ983052 DNG983052:DPM983052 DXC983052:DZI983052 EGY983052:EJE983052 EQU983052:ETA983052 FAQ983052:FCW983052 FKM983052:FMS983052 FUI983052:FWO983052 GEE983052:GGK983052 GOA983052:GQG983052 GXW983052:HAC983052 HHS983052:HJY983052 HRO983052:HTU983052 IBK983052:IDQ983052 ILG983052:INM983052 IVC983052:IXI983052 JEY983052:JHE983052 JOU983052:JRA983052 JYQ983052:KAW983052 KIM983052:KKS983052 KSI983052:KUO983052 LCE983052:LEK983052 LMA983052:LOG983052 LVW983052:LYC983052 MFS983052:MHY983052 MPO983052:MRU983052 MZK983052:NBQ983052 NJG983052:NLM983052 NTC983052:NVI983052 OCY983052:OFE983052 OMU983052:OPA983052 OWQ983052:OYW983052 PGM983052:PIS983052 PQI983052:PSO983052 QAE983052:QCK983052 QKA983052:QMG983052 QTW983052:QWC983052 RDS983052:RFY983052 RNO983052:RPU983052 RXK983052:RZQ983052 SHG983052:SJM983052 SRC983052:STI983052 TAY983052:TDE983052 TKU983052:TNA983052 TUQ983052:TWW983052 UEM983052:UGS983052 UOI983052:UQO983052 UYE983052:VAK983052 VIA983052:VKG983052 VRW983052:VUC983052 WBS983052:WDY983052 WLO983052:WNU983052 WVK983052:WXQ983052" xr:uid="{00000000-0002-0000-2B00-000001000000}">
      <formula1>"瓦房,灰瓦房(其他房),灰房,砼屋面"</formula1>
    </dataValidation>
    <dataValidation type="custom" allowBlank="1" showInputMessage="1" showErrorMessage="1" sqref="D79:E79 IZ79:JA79 SV79:SW79 ACR79:ACS79 AMN79:AMO79 AWJ79:AWK79 BGF79:BGG79 BQB79:BQC79 BZX79:BZY79 CJT79:CJU79 CTP79:CTQ79 DDL79:DDM79 DNH79:DNI79 DXD79:DXE79 EGZ79:EHA79 EQV79:EQW79 FAR79:FAS79 FKN79:FKO79 FUJ79:FUK79 GEF79:GEG79 GOB79:GOC79 GXX79:GXY79 HHT79:HHU79 HRP79:HRQ79 IBL79:IBM79 ILH79:ILI79 IVD79:IVE79 JEZ79:JFA79 JOV79:JOW79 JYR79:JYS79 KIN79:KIO79 KSJ79:KSK79 LCF79:LCG79 LMB79:LMC79 LVX79:LVY79 MFT79:MFU79 MPP79:MPQ79 MZL79:MZM79 NJH79:NJI79 NTD79:NTE79 OCZ79:ODA79 OMV79:OMW79 OWR79:OWS79 PGN79:PGO79 PQJ79:PQK79 QAF79:QAG79 QKB79:QKC79 QTX79:QTY79 RDT79:RDU79 RNP79:RNQ79 RXL79:RXM79 SHH79:SHI79 SRD79:SRE79 TAZ79:TBA79 TKV79:TKW79 TUR79:TUS79 UEN79:UEO79 UOJ79:UOK79 UYF79:UYG79 VIB79:VIC79 VRX79:VRY79 WBT79:WBU79 WLP79:WLQ79 WVL79:WVM79 D65615:E65615 IZ65615:JA65615 SV65615:SW65615 ACR65615:ACS65615 AMN65615:AMO65615 AWJ65615:AWK65615 BGF65615:BGG65615 BQB65615:BQC65615 BZX65615:BZY65615 CJT65615:CJU65615 CTP65615:CTQ65615 DDL65615:DDM65615 DNH65615:DNI65615 DXD65615:DXE65615 EGZ65615:EHA65615 EQV65615:EQW65615 FAR65615:FAS65615 FKN65615:FKO65615 FUJ65615:FUK65615 GEF65615:GEG65615 GOB65615:GOC65615 GXX65615:GXY65615 HHT65615:HHU65615 HRP65615:HRQ65615 IBL65615:IBM65615 ILH65615:ILI65615 IVD65615:IVE65615 JEZ65615:JFA65615 JOV65615:JOW65615 JYR65615:JYS65615 KIN65615:KIO65615 KSJ65615:KSK65615 LCF65615:LCG65615 LMB65615:LMC65615 LVX65615:LVY65615 MFT65615:MFU65615 MPP65615:MPQ65615 MZL65615:MZM65615 NJH65615:NJI65615 NTD65615:NTE65615 OCZ65615:ODA65615 OMV65615:OMW65615 OWR65615:OWS65615 PGN65615:PGO65615 PQJ65615:PQK65615 QAF65615:QAG65615 QKB65615:QKC65615 QTX65615:QTY65615 RDT65615:RDU65615 RNP65615:RNQ65615 RXL65615:RXM65615 SHH65615:SHI65615 SRD65615:SRE65615 TAZ65615:TBA65615 TKV65615:TKW65615 TUR65615:TUS65615 UEN65615:UEO65615 UOJ65615:UOK65615 UYF65615:UYG65615 VIB65615:VIC65615 VRX65615:VRY65615 WBT65615:WBU65615 WLP65615:WLQ65615 WVL65615:WVM65615 D131151:E131151 IZ131151:JA131151 SV131151:SW131151 ACR131151:ACS131151 AMN131151:AMO131151 AWJ131151:AWK131151 BGF131151:BGG131151 BQB131151:BQC131151 BZX131151:BZY131151 CJT131151:CJU131151 CTP131151:CTQ131151 DDL131151:DDM131151 DNH131151:DNI131151 DXD131151:DXE131151 EGZ131151:EHA131151 EQV131151:EQW131151 FAR131151:FAS131151 FKN131151:FKO131151 FUJ131151:FUK131151 GEF131151:GEG131151 GOB131151:GOC131151 GXX131151:GXY131151 HHT131151:HHU131151 HRP131151:HRQ131151 IBL131151:IBM131151 ILH131151:ILI131151 IVD131151:IVE131151 JEZ131151:JFA131151 JOV131151:JOW131151 JYR131151:JYS131151 KIN131151:KIO131151 KSJ131151:KSK131151 LCF131151:LCG131151 LMB131151:LMC131151 LVX131151:LVY131151 MFT131151:MFU131151 MPP131151:MPQ131151 MZL131151:MZM131151 NJH131151:NJI131151 NTD131151:NTE131151 OCZ131151:ODA131151 OMV131151:OMW131151 OWR131151:OWS131151 PGN131151:PGO131151 PQJ131151:PQK131151 QAF131151:QAG131151 QKB131151:QKC131151 QTX131151:QTY131151 RDT131151:RDU131151 RNP131151:RNQ131151 RXL131151:RXM131151 SHH131151:SHI131151 SRD131151:SRE131151 TAZ131151:TBA131151 TKV131151:TKW131151 TUR131151:TUS131151 UEN131151:UEO131151 UOJ131151:UOK131151 UYF131151:UYG131151 VIB131151:VIC131151 VRX131151:VRY131151 WBT131151:WBU131151 WLP131151:WLQ131151 WVL131151:WVM131151 D196687:E196687 IZ196687:JA196687 SV196687:SW196687 ACR196687:ACS196687 AMN196687:AMO196687 AWJ196687:AWK196687 BGF196687:BGG196687 BQB196687:BQC196687 BZX196687:BZY196687 CJT196687:CJU196687 CTP196687:CTQ196687 DDL196687:DDM196687 DNH196687:DNI196687 DXD196687:DXE196687 EGZ196687:EHA196687 EQV196687:EQW196687 FAR196687:FAS196687 FKN196687:FKO196687 FUJ196687:FUK196687 GEF196687:GEG196687 GOB196687:GOC196687 GXX196687:GXY196687 HHT196687:HHU196687 HRP196687:HRQ196687 IBL196687:IBM196687 ILH196687:ILI196687 IVD196687:IVE196687 JEZ196687:JFA196687 JOV196687:JOW196687 JYR196687:JYS196687 KIN196687:KIO196687 KSJ196687:KSK196687 LCF196687:LCG196687 LMB196687:LMC196687 LVX196687:LVY196687 MFT196687:MFU196687 MPP196687:MPQ196687 MZL196687:MZM196687 NJH196687:NJI196687 NTD196687:NTE196687 OCZ196687:ODA196687 OMV196687:OMW196687 OWR196687:OWS196687 PGN196687:PGO196687 PQJ196687:PQK196687 QAF196687:QAG196687 QKB196687:QKC196687 QTX196687:QTY196687 RDT196687:RDU196687 RNP196687:RNQ196687 RXL196687:RXM196687 SHH196687:SHI196687 SRD196687:SRE196687 TAZ196687:TBA196687 TKV196687:TKW196687 TUR196687:TUS196687 UEN196687:UEO196687 UOJ196687:UOK196687 UYF196687:UYG196687 VIB196687:VIC196687 VRX196687:VRY196687 WBT196687:WBU196687 WLP196687:WLQ196687 WVL196687:WVM196687 D262223:E262223 IZ262223:JA262223 SV262223:SW262223 ACR262223:ACS262223 AMN262223:AMO262223 AWJ262223:AWK262223 BGF262223:BGG262223 BQB262223:BQC262223 BZX262223:BZY262223 CJT262223:CJU262223 CTP262223:CTQ262223 DDL262223:DDM262223 DNH262223:DNI262223 DXD262223:DXE262223 EGZ262223:EHA262223 EQV262223:EQW262223 FAR262223:FAS262223 FKN262223:FKO262223 FUJ262223:FUK262223 GEF262223:GEG262223 GOB262223:GOC262223 GXX262223:GXY262223 HHT262223:HHU262223 HRP262223:HRQ262223 IBL262223:IBM262223 ILH262223:ILI262223 IVD262223:IVE262223 JEZ262223:JFA262223 JOV262223:JOW262223 JYR262223:JYS262223 KIN262223:KIO262223 KSJ262223:KSK262223 LCF262223:LCG262223 LMB262223:LMC262223 LVX262223:LVY262223 MFT262223:MFU262223 MPP262223:MPQ262223 MZL262223:MZM262223 NJH262223:NJI262223 NTD262223:NTE262223 OCZ262223:ODA262223 OMV262223:OMW262223 OWR262223:OWS262223 PGN262223:PGO262223 PQJ262223:PQK262223 QAF262223:QAG262223 QKB262223:QKC262223 QTX262223:QTY262223 RDT262223:RDU262223 RNP262223:RNQ262223 RXL262223:RXM262223 SHH262223:SHI262223 SRD262223:SRE262223 TAZ262223:TBA262223 TKV262223:TKW262223 TUR262223:TUS262223 UEN262223:UEO262223 UOJ262223:UOK262223 UYF262223:UYG262223 VIB262223:VIC262223 VRX262223:VRY262223 WBT262223:WBU262223 WLP262223:WLQ262223 WVL262223:WVM262223 D327759:E327759 IZ327759:JA327759 SV327759:SW327759 ACR327759:ACS327759 AMN327759:AMO327759 AWJ327759:AWK327759 BGF327759:BGG327759 BQB327759:BQC327759 BZX327759:BZY327759 CJT327759:CJU327759 CTP327759:CTQ327759 DDL327759:DDM327759 DNH327759:DNI327759 DXD327759:DXE327759 EGZ327759:EHA327759 EQV327759:EQW327759 FAR327759:FAS327759 FKN327759:FKO327759 FUJ327759:FUK327759 GEF327759:GEG327759 GOB327759:GOC327759 GXX327759:GXY327759 HHT327759:HHU327759 HRP327759:HRQ327759 IBL327759:IBM327759 ILH327759:ILI327759 IVD327759:IVE327759 JEZ327759:JFA327759 JOV327759:JOW327759 JYR327759:JYS327759 KIN327759:KIO327759 KSJ327759:KSK327759 LCF327759:LCG327759 LMB327759:LMC327759 LVX327759:LVY327759 MFT327759:MFU327759 MPP327759:MPQ327759 MZL327759:MZM327759 NJH327759:NJI327759 NTD327759:NTE327759 OCZ327759:ODA327759 OMV327759:OMW327759 OWR327759:OWS327759 PGN327759:PGO327759 PQJ327759:PQK327759 QAF327759:QAG327759 QKB327759:QKC327759 QTX327759:QTY327759 RDT327759:RDU327759 RNP327759:RNQ327759 RXL327759:RXM327759 SHH327759:SHI327759 SRD327759:SRE327759 TAZ327759:TBA327759 TKV327759:TKW327759 TUR327759:TUS327759 UEN327759:UEO327759 UOJ327759:UOK327759 UYF327759:UYG327759 VIB327759:VIC327759 VRX327759:VRY327759 WBT327759:WBU327759 WLP327759:WLQ327759 WVL327759:WVM327759 D393295:E393295 IZ393295:JA393295 SV393295:SW393295 ACR393295:ACS393295 AMN393295:AMO393295 AWJ393295:AWK393295 BGF393295:BGG393295 BQB393295:BQC393295 BZX393295:BZY393295 CJT393295:CJU393295 CTP393295:CTQ393295 DDL393295:DDM393295 DNH393295:DNI393295 DXD393295:DXE393295 EGZ393295:EHA393295 EQV393295:EQW393295 FAR393295:FAS393295 FKN393295:FKO393295 FUJ393295:FUK393295 GEF393295:GEG393295 GOB393295:GOC393295 GXX393295:GXY393295 HHT393295:HHU393295 HRP393295:HRQ393295 IBL393295:IBM393295 ILH393295:ILI393295 IVD393295:IVE393295 JEZ393295:JFA393295 JOV393295:JOW393295 JYR393295:JYS393295 KIN393295:KIO393295 KSJ393295:KSK393295 LCF393295:LCG393295 LMB393295:LMC393295 LVX393295:LVY393295 MFT393295:MFU393295 MPP393295:MPQ393295 MZL393295:MZM393295 NJH393295:NJI393295 NTD393295:NTE393295 OCZ393295:ODA393295 OMV393295:OMW393295 OWR393295:OWS393295 PGN393295:PGO393295 PQJ393295:PQK393295 QAF393295:QAG393295 QKB393295:QKC393295 QTX393295:QTY393295 RDT393295:RDU393295 RNP393295:RNQ393295 RXL393295:RXM393295 SHH393295:SHI393295 SRD393295:SRE393295 TAZ393295:TBA393295 TKV393295:TKW393295 TUR393295:TUS393295 UEN393295:UEO393295 UOJ393295:UOK393295 UYF393295:UYG393295 VIB393295:VIC393295 VRX393295:VRY393295 WBT393295:WBU393295 WLP393295:WLQ393295 WVL393295:WVM393295 D458831:E458831 IZ458831:JA458831 SV458831:SW458831 ACR458831:ACS458831 AMN458831:AMO458831 AWJ458831:AWK458831 BGF458831:BGG458831 BQB458831:BQC458831 BZX458831:BZY458831 CJT458831:CJU458831 CTP458831:CTQ458831 DDL458831:DDM458831 DNH458831:DNI458831 DXD458831:DXE458831 EGZ458831:EHA458831 EQV458831:EQW458831 FAR458831:FAS458831 FKN458831:FKO458831 FUJ458831:FUK458831 GEF458831:GEG458831 GOB458831:GOC458831 GXX458831:GXY458831 HHT458831:HHU458831 HRP458831:HRQ458831 IBL458831:IBM458831 ILH458831:ILI458831 IVD458831:IVE458831 JEZ458831:JFA458831 JOV458831:JOW458831 JYR458831:JYS458831 KIN458831:KIO458831 KSJ458831:KSK458831 LCF458831:LCG458831 LMB458831:LMC458831 LVX458831:LVY458831 MFT458831:MFU458831 MPP458831:MPQ458831 MZL458831:MZM458831 NJH458831:NJI458831 NTD458831:NTE458831 OCZ458831:ODA458831 OMV458831:OMW458831 OWR458831:OWS458831 PGN458831:PGO458831 PQJ458831:PQK458831 QAF458831:QAG458831 QKB458831:QKC458831 QTX458831:QTY458831 RDT458831:RDU458831 RNP458831:RNQ458831 RXL458831:RXM458831 SHH458831:SHI458831 SRD458831:SRE458831 TAZ458831:TBA458831 TKV458831:TKW458831 TUR458831:TUS458831 UEN458831:UEO458831 UOJ458831:UOK458831 UYF458831:UYG458831 VIB458831:VIC458831 VRX458831:VRY458831 WBT458831:WBU458831 WLP458831:WLQ458831 WVL458831:WVM458831 D524367:E524367 IZ524367:JA524367 SV524367:SW524367 ACR524367:ACS524367 AMN524367:AMO524367 AWJ524367:AWK524367 BGF524367:BGG524367 BQB524367:BQC524367 BZX524367:BZY524367 CJT524367:CJU524367 CTP524367:CTQ524367 DDL524367:DDM524367 DNH524367:DNI524367 DXD524367:DXE524367 EGZ524367:EHA524367 EQV524367:EQW524367 FAR524367:FAS524367 FKN524367:FKO524367 FUJ524367:FUK524367 GEF524367:GEG524367 GOB524367:GOC524367 GXX524367:GXY524367 HHT524367:HHU524367 HRP524367:HRQ524367 IBL524367:IBM524367 ILH524367:ILI524367 IVD524367:IVE524367 JEZ524367:JFA524367 JOV524367:JOW524367 JYR524367:JYS524367 KIN524367:KIO524367 KSJ524367:KSK524367 LCF524367:LCG524367 LMB524367:LMC524367 LVX524367:LVY524367 MFT524367:MFU524367 MPP524367:MPQ524367 MZL524367:MZM524367 NJH524367:NJI524367 NTD524367:NTE524367 OCZ524367:ODA524367 OMV524367:OMW524367 OWR524367:OWS524367 PGN524367:PGO524367 PQJ524367:PQK524367 QAF524367:QAG524367 QKB524367:QKC524367 QTX524367:QTY524367 RDT524367:RDU524367 RNP524367:RNQ524367 RXL524367:RXM524367 SHH524367:SHI524367 SRD524367:SRE524367 TAZ524367:TBA524367 TKV524367:TKW524367 TUR524367:TUS524367 UEN524367:UEO524367 UOJ524367:UOK524367 UYF524367:UYG524367 VIB524367:VIC524367 VRX524367:VRY524367 WBT524367:WBU524367 WLP524367:WLQ524367 WVL524367:WVM524367 D589903:E589903 IZ589903:JA589903 SV589903:SW589903 ACR589903:ACS589903 AMN589903:AMO589903 AWJ589903:AWK589903 BGF589903:BGG589903 BQB589903:BQC589903 BZX589903:BZY589903 CJT589903:CJU589903 CTP589903:CTQ589903 DDL589903:DDM589903 DNH589903:DNI589903 DXD589903:DXE589903 EGZ589903:EHA589903 EQV589903:EQW589903 FAR589903:FAS589903 FKN589903:FKO589903 FUJ589903:FUK589903 GEF589903:GEG589903 GOB589903:GOC589903 GXX589903:GXY589903 HHT589903:HHU589903 HRP589903:HRQ589903 IBL589903:IBM589903 ILH589903:ILI589903 IVD589903:IVE589903 JEZ589903:JFA589903 JOV589903:JOW589903 JYR589903:JYS589903 KIN589903:KIO589903 KSJ589903:KSK589903 LCF589903:LCG589903 LMB589903:LMC589903 LVX589903:LVY589903 MFT589903:MFU589903 MPP589903:MPQ589903 MZL589903:MZM589903 NJH589903:NJI589903 NTD589903:NTE589903 OCZ589903:ODA589903 OMV589903:OMW589903 OWR589903:OWS589903 PGN589903:PGO589903 PQJ589903:PQK589903 QAF589903:QAG589903 QKB589903:QKC589903 QTX589903:QTY589903 RDT589903:RDU589903 RNP589903:RNQ589903 RXL589903:RXM589903 SHH589903:SHI589903 SRD589903:SRE589903 TAZ589903:TBA589903 TKV589903:TKW589903 TUR589903:TUS589903 UEN589903:UEO589903 UOJ589903:UOK589903 UYF589903:UYG589903 VIB589903:VIC589903 VRX589903:VRY589903 WBT589903:WBU589903 WLP589903:WLQ589903 WVL589903:WVM589903 D655439:E655439 IZ655439:JA655439 SV655439:SW655439 ACR655439:ACS655439 AMN655439:AMO655439 AWJ655439:AWK655439 BGF655439:BGG655439 BQB655439:BQC655439 BZX655439:BZY655439 CJT655439:CJU655439 CTP655439:CTQ655439 DDL655439:DDM655439 DNH655439:DNI655439 DXD655439:DXE655439 EGZ655439:EHA655439 EQV655439:EQW655439 FAR655439:FAS655439 FKN655439:FKO655439 FUJ655439:FUK655439 GEF655439:GEG655439 GOB655439:GOC655439 GXX655439:GXY655439 HHT655439:HHU655439 HRP655439:HRQ655439 IBL655439:IBM655439 ILH655439:ILI655439 IVD655439:IVE655439 JEZ655439:JFA655439 JOV655439:JOW655439 JYR655439:JYS655439 KIN655439:KIO655439 KSJ655439:KSK655439 LCF655439:LCG655439 LMB655439:LMC655439 LVX655439:LVY655439 MFT655439:MFU655439 MPP655439:MPQ655439 MZL655439:MZM655439 NJH655439:NJI655439 NTD655439:NTE655439 OCZ655439:ODA655439 OMV655439:OMW655439 OWR655439:OWS655439 PGN655439:PGO655439 PQJ655439:PQK655439 QAF655439:QAG655439 QKB655439:QKC655439 QTX655439:QTY655439 RDT655439:RDU655439 RNP655439:RNQ655439 RXL655439:RXM655439 SHH655439:SHI655439 SRD655439:SRE655439 TAZ655439:TBA655439 TKV655439:TKW655439 TUR655439:TUS655439 UEN655439:UEO655439 UOJ655439:UOK655439 UYF655439:UYG655439 VIB655439:VIC655439 VRX655439:VRY655439 WBT655439:WBU655439 WLP655439:WLQ655439 WVL655439:WVM655439 D720975:E720975 IZ720975:JA720975 SV720975:SW720975 ACR720975:ACS720975 AMN720975:AMO720975 AWJ720975:AWK720975 BGF720975:BGG720975 BQB720975:BQC720975 BZX720975:BZY720975 CJT720975:CJU720975 CTP720975:CTQ720975 DDL720975:DDM720975 DNH720975:DNI720975 DXD720975:DXE720975 EGZ720975:EHA720975 EQV720975:EQW720975 FAR720975:FAS720975 FKN720975:FKO720975 FUJ720975:FUK720975 GEF720975:GEG720975 GOB720975:GOC720975 GXX720975:GXY720975 HHT720975:HHU720975 HRP720975:HRQ720975 IBL720975:IBM720975 ILH720975:ILI720975 IVD720975:IVE720975 JEZ720975:JFA720975 JOV720975:JOW720975 JYR720975:JYS720975 KIN720975:KIO720975 KSJ720975:KSK720975 LCF720975:LCG720975 LMB720975:LMC720975 LVX720975:LVY720975 MFT720975:MFU720975 MPP720975:MPQ720975 MZL720975:MZM720975 NJH720975:NJI720975 NTD720975:NTE720975 OCZ720975:ODA720975 OMV720975:OMW720975 OWR720975:OWS720975 PGN720975:PGO720975 PQJ720975:PQK720975 QAF720975:QAG720975 QKB720975:QKC720975 QTX720975:QTY720975 RDT720975:RDU720975 RNP720975:RNQ720975 RXL720975:RXM720975 SHH720975:SHI720975 SRD720975:SRE720975 TAZ720975:TBA720975 TKV720975:TKW720975 TUR720975:TUS720975 UEN720975:UEO720975 UOJ720975:UOK720975 UYF720975:UYG720975 VIB720975:VIC720975 VRX720975:VRY720975 WBT720975:WBU720975 WLP720975:WLQ720975 WVL720975:WVM720975 D786511:E786511 IZ786511:JA786511 SV786511:SW786511 ACR786511:ACS786511 AMN786511:AMO786511 AWJ786511:AWK786511 BGF786511:BGG786511 BQB786511:BQC786511 BZX786511:BZY786511 CJT786511:CJU786511 CTP786511:CTQ786511 DDL786511:DDM786511 DNH786511:DNI786511 DXD786511:DXE786511 EGZ786511:EHA786511 EQV786511:EQW786511 FAR786511:FAS786511 FKN786511:FKO786511 FUJ786511:FUK786511 GEF786511:GEG786511 GOB786511:GOC786511 GXX786511:GXY786511 HHT786511:HHU786511 HRP786511:HRQ786511 IBL786511:IBM786511 ILH786511:ILI786511 IVD786511:IVE786511 JEZ786511:JFA786511 JOV786511:JOW786511 JYR786511:JYS786511 KIN786511:KIO786511 KSJ786511:KSK786511 LCF786511:LCG786511 LMB786511:LMC786511 LVX786511:LVY786511 MFT786511:MFU786511 MPP786511:MPQ786511 MZL786511:MZM786511 NJH786511:NJI786511 NTD786511:NTE786511 OCZ786511:ODA786511 OMV786511:OMW786511 OWR786511:OWS786511 PGN786511:PGO786511 PQJ786511:PQK786511 QAF786511:QAG786511 QKB786511:QKC786511 QTX786511:QTY786511 RDT786511:RDU786511 RNP786511:RNQ786511 RXL786511:RXM786511 SHH786511:SHI786511 SRD786511:SRE786511 TAZ786511:TBA786511 TKV786511:TKW786511 TUR786511:TUS786511 UEN786511:UEO786511 UOJ786511:UOK786511 UYF786511:UYG786511 VIB786511:VIC786511 VRX786511:VRY786511 WBT786511:WBU786511 WLP786511:WLQ786511 WVL786511:WVM786511 D852047:E852047 IZ852047:JA852047 SV852047:SW852047 ACR852047:ACS852047 AMN852047:AMO852047 AWJ852047:AWK852047 BGF852047:BGG852047 BQB852047:BQC852047 BZX852047:BZY852047 CJT852047:CJU852047 CTP852047:CTQ852047 DDL852047:DDM852047 DNH852047:DNI852047 DXD852047:DXE852047 EGZ852047:EHA852047 EQV852047:EQW852047 FAR852047:FAS852047 FKN852047:FKO852047 FUJ852047:FUK852047 GEF852047:GEG852047 GOB852047:GOC852047 GXX852047:GXY852047 HHT852047:HHU852047 HRP852047:HRQ852047 IBL852047:IBM852047 ILH852047:ILI852047 IVD852047:IVE852047 JEZ852047:JFA852047 JOV852047:JOW852047 JYR852047:JYS852047 KIN852047:KIO852047 KSJ852047:KSK852047 LCF852047:LCG852047 LMB852047:LMC852047 LVX852047:LVY852047 MFT852047:MFU852047 MPP852047:MPQ852047 MZL852047:MZM852047 NJH852047:NJI852047 NTD852047:NTE852047 OCZ852047:ODA852047 OMV852047:OMW852047 OWR852047:OWS852047 PGN852047:PGO852047 PQJ852047:PQK852047 QAF852047:QAG852047 QKB852047:QKC852047 QTX852047:QTY852047 RDT852047:RDU852047 RNP852047:RNQ852047 RXL852047:RXM852047 SHH852047:SHI852047 SRD852047:SRE852047 TAZ852047:TBA852047 TKV852047:TKW852047 TUR852047:TUS852047 UEN852047:UEO852047 UOJ852047:UOK852047 UYF852047:UYG852047 VIB852047:VIC852047 VRX852047:VRY852047 WBT852047:WBU852047 WLP852047:WLQ852047 WVL852047:WVM852047 D917583:E917583 IZ917583:JA917583 SV917583:SW917583 ACR917583:ACS917583 AMN917583:AMO917583 AWJ917583:AWK917583 BGF917583:BGG917583 BQB917583:BQC917583 BZX917583:BZY917583 CJT917583:CJU917583 CTP917583:CTQ917583 DDL917583:DDM917583 DNH917583:DNI917583 DXD917583:DXE917583 EGZ917583:EHA917583 EQV917583:EQW917583 FAR917583:FAS917583 FKN917583:FKO917583 FUJ917583:FUK917583 GEF917583:GEG917583 GOB917583:GOC917583 GXX917583:GXY917583 HHT917583:HHU917583 HRP917583:HRQ917583 IBL917583:IBM917583 ILH917583:ILI917583 IVD917583:IVE917583 JEZ917583:JFA917583 JOV917583:JOW917583 JYR917583:JYS917583 KIN917583:KIO917583 KSJ917583:KSK917583 LCF917583:LCG917583 LMB917583:LMC917583 LVX917583:LVY917583 MFT917583:MFU917583 MPP917583:MPQ917583 MZL917583:MZM917583 NJH917583:NJI917583 NTD917583:NTE917583 OCZ917583:ODA917583 OMV917583:OMW917583 OWR917583:OWS917583 PGN917583:PGO917583 PQJ917583:PQK917583 QAF917583:QAG917583 QKB917583:QKC917583 QTX917583:QTY917583 RDT917583:RDU917583 RNP917583:RNQ917583 RXL917583:RXM917583 SHH917583:SHI917583 SRD917583:SRE917583 TAZ917583:TBA917583 TKV917583:TKW917583 TUR917583:TUS917583 UEN917583:UEO917583 UOJ917583:UOK917583 UYF917583:UYG917583 VIB917583:VIC917583 VRX917583:VRY917583 WBT917583:WBU917583 WLP917583:WLQ917583 WVL917583:WVM917583 D983119:E983119 IZ983119:JA983119 SV983119:SW983119 ACR983119:ACS983119 AMN983119:AMO983119 AWJ983119:AWK983119 BGF983119:BGG983119 BQB983119:BQC983119 BZX983119:BZY983119 CJT983119:CJU983119 CTP983119:CTQ983119 DDL983119:DDM983119 DNH983119:DNI983119 DXD983119:DXE983119 EGZ983119:EHA983119 EQV983119:EQW983119 FAR983119:FAS983119 FKN983119:FKO983119 FUJ983119:FUK983119 GEF983119:GEG983119 GOB983119:GOC983119 GXX983119:GXY983119 HHT983119:HHU983119 HRP983119:HRQ983119 IBL983119:IBM983119 ILH983119:ILI983119 IVD983119:IVE983119 JEZ983119:JFA983119 JOV983119:JOW983119 JYR983119:JYS983119 KIN983119:KIO983119 KSJ983119:KSK983119 LCF983119:LCG983119 LMB983119:LMC983119 LVX983119:LVY983119 MFT983119:MFU983119 MPP983119:MPQ983119 MZL983119:MZM983119 NJH983119:NJI983119 NTD983119:NTE983119 OCZ983119:ODA983119 OMV983119:OMW983119 OWR983119:OWS983119 PGN983119:PGO983119 PQJ983119:PQK983119 QAF983119:QAG983119 QKB983119:QKC983119 QTX983119:QTY983119 RDT983119:RDU983119 RNP983119:RNQ983119 RXL983119:RXM983119 SHH983119:SHI983119 SRD983119:SRE983119 TAZ983119:TBA983119 TKV983119:TKW983119 TUR983119:TUS983119 UEN983119:UEO983119 UOJ983119:UOK983119 UYF983119:UYG983119 VIB983119:VIC983119 VRX983119:VRY983119 WBT983119:WBU983119 WLP983119:WLQ983119 WVL983119:WVM983119 D142:E142 IZ142:JA142 SV142:SW142 ACR142:ACS142 AMN142:AMO142 AWJ142:AWK142 BGF142:BGG142 BQB142:BQC142 BZX142:BZY142 CJT142:CJU142 CTP142:CTQ142 DDL142:DDM142 DNH142:DNI142 DXD142:DXE142 EGZ142:EHA142 EQV142:EQW142 FAR142:FAS142 FKN142:FKO142 FUJ142:FUK142 GEF142:GEG142 GOB142:GOC142 GXX142:GXY142 HHT142:HHU142 HRP142:HRQ142 IBL142:IBM142 ILH142:ILI142 IVD142:IVE142 JEZ142:JFA142 JOV142:JOW142 JYR142:JYS142 KIN142:KIO142 KSJ142:KSK142 LCF142:LCG142 LMB142:LMC142 LVX142:LVY142 MFT142:MFU142 MPP142:MPQ142 MZL142:MZM142 NJH142:NJI142 NTD142:NTE142 OCZ142:ODA142 OMV142:OMW142 OWR142:OWS142 PGN142:PGO142 PQJ142:PQK142 QAF142:QAG142 QKB142:QKC142 QTX142:QTY142 RDT142:RDU142 RNP142:RNQ142 RXL142:RXM142 SHH142:SHI142 SRD142:SRE142 TAZ142:TBA142 TKV142:TKW142 TUR142:TUS142 UEN142:UEO142 UOJ142:UOK142 UYF142:UYG142 VIB142:VIC142 VRX142:VRY142 WBT142:WBU142 WLP142:WLQ142 WVL142:WVM142 D65678:E65678 IZ65678:JA65678 SV65678:SW65678 ACR65678:ACS65678 AMN65678:AMO65678 AWJ65678:AWK65678 BGF65678:BGG65678 BQB65678:BQC65678 BZX65678:BZY65678 CJT65678:CJU65678 CTP65678:CTQ65678 DDL65678:DDM65678 DNH65678:DNI65678 DXD65678:DXE65678 EGZ65678:EHA65678 EQV65678:EQW65678 FAR65678:FAS65678 FKN65678:FKO65678 FUJ65678:FUK65678 GEF65678:GEG65678 GOB65678:GOC65678 GXX65678:GXY65678 HHT65678:HHU65678 HRP65678:HRQ65678 IBL65678:IBM65678 ILH65678:ILI65678 IVD65678:IVE65678 JEZ65678:JFA65678 JOV65678:JOW65678 JYR65678:JYS65678 KIN65678:KIO65678 KSJ65678:KSK65678 LCF65678:LCG65678 LMB65678:LMC65678 LVX65678:LVY65678 MFT65678:MFU65678 MPP65678:MPQ65678 MZL65678:MZM65678 NJH65678:NJI65678 NTD65678:NTE65678 OCZ65678:ODA65678 OMV65678:OMW65678 OWR65678:OWS65678 PGN65678:PGO65678 PQJ65678:PQK65678 QAF65678:QAG65678 QKB65678:QKC65678 QTX65678:QTY65678 RDT65678:RDU65678 RNP65678:RNQ65678 RXL65678:RXM65678 SHH65678:SHI65678 SRD65678:SRE65678 TAZ65678:TBA65678 TKV65678:TKW65678 TUR65678:TUS65678 UEN65678:UEO65678 UOJ65678:UOK65678 UYF65678:UYG65678 VIB65678:VIC65678 VRX65678:VRY65678 WBT65678:WBU65678 WLP65678:WLQ65678 WVL65678:WVM65678 D131214:E131214 IZ131214:JA131214 SV131214:SW131214 ACR131214:ACS131214 AMN131214:AMO131214 AWJ131214:AWK131214 BGF131214:BGG131214 BQB131214:BQC131214 BZX131214:BZY131214 CJT131214:CJU131214 CTP131214:CTQ131214 DDL131214:DDM131214 DNH131214:DNI131214 DXD131214:DXE131214 EGZ131214:EHA131214 EQV131214:EQW131214 FAR131214:FAS131214 FKN131214:FKO131214 FUJ131214:FUK131214 GEF131214:GEG131214 GOB131214:GOC131214 GXX131214:GXY131214 HHT131214:HHU131214 HRP131214:HRQ131214 IBL131214:IBM131214 ILH131214:ILI131214 IVD131214:IVE131214 JEZ131214:JFA131214 JOV131214:JOW131214 JYR131214:JYS131214 KIN131214:KIO131214 KSJ131214:KSK131214 LCF131214:LCG131214 LMB131214:LMC131214 LVX131214:LVY131214 MFT131214:MFU131214 MPP131214:MPQ131214 MZL131214:MZM131214 NJH131214:NJI131214 NTD131214:NTE131214 OCZ131214:ODA131214 OMV131214:OMW131214 OWR131214:OWS131214 PGN131214:PGO131214 PQJ131214:PQK131214 QAF131214:QAG131214 QKB131214:QKC131214 QTX131214:QTY131214 RDT131214:RDU131214 RNP131214:RNQ131214 RXL131214:RXM131214 SHH131214:SHI131214 SRD131214:SRE131214 TAZ131214:TBA131214 TKV131214:TKW131214 TUR131214:TUS131214 UEN131214:UEO131214 UOJ131214:UOK131214 UYF131214:UYG131214 VIB131214:VIC131214 VRX131214:VRY131214 WBT131214:WBU131214 WLP131214:WLQ131214 WVL131214:WVM131214 D196750:E196750 IZ196750:JA196750 SV196750:SW196750 ACR196750:ACS196750 AMN196750:AMO196750 AWJ196750:AWK196750 BGF196750:BGG196750 BQB196750:BQC196750 BZX196750:BZY196750 CJT196750:CJU196750 CTP196750:CTQ196750 DDL196750:DDM196750 DNH196750:DNI196750 DXD196750:DXE196750 EGZ196750:EHA196750 EQV196750:EQW196750 FAR196750:FAS196750 FKN196750:FKO196750 FUJ196750:FUK196750 GEF196750:GEG196750 GOB196750:GOC196750 GXX196750:GXY196750 HHT196750:HHU196750 HRP196750:HRQ196750 IBL196750:IBM196750 ILH196750:ILI196750 IVD196750:IVE196750 JEZ196750:JFA196750 JOV196750:JOW196750 JYR196750:JYS196750 KIN196750:KIO196750 KSJ196750:KSK196750 LCF196750:LCG196750 LMB196750:LMC196750 LVX196750:LVY196750 MFT196750:MFU196750 MPP196750:MPQ196750 MZL196750:MZM196750 NJH196750:NJI196750 NTD196750:NTE196750 OCZ196750:ODA196750 OMV196750:OMW196750 OWR196750:OWS196750 PGN196750:PGO196750 PQJ196750:PQK196750 QAF196750:QAG196750 QKB196750:QKC196750 QTX196750:QTY196750 RDT196750:RDU196750 RNP196750:RNQ196750 RXL196750:RXM196750 SHH196750:SHI196750 SRD196750:SRE196750 TAZ196750:TBA196750 TKV196750:TKW196750 TUR196750:TUS196750 UEN196750:UEO196750 UOJ196750:UOK196750 UYF196750:UYG196750 VIB196750:VIC196750 VRX196750:VRY196750 WBT196750:WBU196750 WLP196750:WLQ196750 WVL196750:WVM196750 D262286:E262286 IZ262286:JA262286 SV262286:SW262286 ACR262286:ACS262286 AMN262286:AMO262286 AWJ262286:AWK262286 BGF262286:BGG262286 BQB262286:BQC262286 BZX262286:BZY262286 CJT262286:CJU262286 CTP262286:CTQ262286 DDL262286:DDM262286 DNH262286:DNI262286 DXD262286:DXE262286 EGZ262286:EHA262286 EQV262286:EQW262286 FAR262286:FAS262286 FKN262286:FKO262286 FUJ262286:FUK262286 GEF262286:GEG262286 GOB262286:GOC262286 GXX262286:GXY262286 HHT262286:HHU262286 HRP262286:HRQ262286 IBL262286:IBM262286 ILH262286:ILI262286 IVD262286:IVE262286 JEZ262286:JFA262286 JOV262286:JOW262286 JYR262286:JYS262286 KIN262286:KIO262286 KSJ262286:KSK262286 LCF262286:LCG262286 LMB262286:LMC262286 LVX262286:LVY262286 MFT262286:MFU262286 MPP262286:MPQ262286 MZL262286:MZM262286 NJH262286:NJI262286 NTD262286:NTE262286 OCZ262286:ODA262286 OMV262286:OMW262286 OWR262286:OWS262286 PGN262286:PGO262286 PQJ262286:PQK262286 QAF262286:QAG262286 QKB262286:QKC262286 QTX262286:QTY262286 RDT262286:RDU262286 RNP262286:RNQ262286 RXL262286:RXM262286 SHH262286:SHI262286 SRD262286:SRE262286 TAZ262286:TBA262286 TKV262286:TKW262286 TUR262286:TUS262286 UEN262286:UEO262286 UOJ262286:UOK262286 UYF262286:UYG262286 VIB262286:VIC262286 VRX262286:VRY262286 WBT262286:WBU262286 WLP262286:WLQ262286 WVL262286:WVM262286 D327822:E327822 IZ327822:JA327822 SV327822:SW327822 ACR327822:ACS327822 AMN327822:AMO327822 AWJ327822:AWK327822 BGF327822:BGG327822 BQB327822:BQC327822 BZX327822:BZY327822 CJT327822:CJU327822 CTP327822:CTQ327822 DDL327822:DDM327822 DNH327822:DNI327822 DXD327822:DXE327822 EGZ327822:EHA327822 EQV327822:EQW327822 FAR327822:FAS327822 FKN327822:FKO327822 FUJ327822:FUK327822 GEF327822:GEG327822 GOB327822:GOC327822 GXX327822:GXY327822 HHT327822:HHU327822 HRP327822:HRQ327822 IBL327822:IBM327822 ILH327822:ILI327822 IVD327822:IVE327822 JEZ327822:JFA327822 JOV327822:JOW327822 JYR327822:JYS327822 KIN327822:KIO327822 KSJ327822:KSK327822 LCF327822:LCG327822 LMB327822:LMC327822 LVX327822:LVY327822 MFT327822:MFU327822 MPP327822:MPQ327822 MZL327822:MZM327822 NJH327822:NJI327822 NTD327822:NTE327822 OCZ327822:ODA327822 OMV327822:OMW327822 OWR327822:OWS327822 PGN327822:PGO327822 PQJ327822:PQK327822 QAF327822:QAG327822 QKB327822:QKC327822 QTX327822:QTY327822 RDT327822:RDU327822 RNP327822:RNQ327822 RXL327822:RXM327822 SHH327822:SHI327822 SRD327822:SRE327822 TAZ327822:TBA327822 TKV327822:TKW327822 TUR327822:TUS327822 UEN327822:UEO327822 UOJ327822:UOK327822 UYF327822:UYG327822 VIB327822:VIC327822 VRX327822:VRY327822 WBT327822:WBU327822 WLP327822:WLQ327822 WVL327822:WVM327822 D393358:E393358 IZ393358:JA393358 SV393358:SW393358 ACR393358:ACS393358 AMN393358:AMO393358 AWJ393358:AWK393358 BGF393358:BGG393358 BQB393358:BQC393358 BZX393358:BZY393358 CJT393358:CJU393358 CTP393358:CTQ393358 DDL393358:DDM393358 DNH393358:DNI393358 DXD393358:DXE393358 EGZ393358:EHA393358 EQV393358:EQW393358 FAR393358:FAS393358 FKN393358:FKO393358 FUJ393358:FUK393358 GEF393358:GEG393358 GOB393358:GOC393358 GXX393358:GXY393358 HHT393358:HHU393358 HRP393358:HRQ393358 IBL393358:IBM393358 ILH393358:ILI393358 IVD393358:IVE393358 JEZ393358:JFA393358 JOV393358:JOW393358 JYR393358:JYS393358 KIN393358:KIO393358 KSJ393358:KSK393358 LCF393358:LCG393358 LMB393358:LMC393358 LVX393358:LVY393358 MFT393358:MFU393358 MPP393358:MPQ393358 MZL393358:MZM393358 NJH393358:NJI393358 NTD393358:NTE393358 OCZ393358:ODA393358 OMV393358:OMW393358 OWR393358:OWS393358 PGN393358:PGO393358 PQJ393358:PQK393358 QAF393358:QAG393358 QKB393358:QKC393358 QTX393358:QTY393358 RDT393358:RDU393358 RNP393358:RNQ393358 RXL393358:RXM393358 SHH393358:SHI393358 SRD393358:SRE393358 TAZ393358:TBA393358 TKV393358:TKW393358 TUR393358:TUS393358 UEN393358:UEO393358 UOJ393358:UOK393358 UYF393358:UYG393358 VIB393358:VIC393358 VRX393358:VRY393358 WBT393358:WBU393358 WLP393358:WLQ393358 WVL393358:WVM393358 D458894:E458894 IZ458894:JA458894 SV458894:SW458894 ACR458894:ACS458894 AMN458894:AMO458894 AWJ458894:AWK458894 BGF458894:BGG458894 BQB458894:BQC458894 BZX458894:BZY458894 CJT458894:CJU458894 CTP458894:CTQ458894 DDL458894:DDM458894 DNH458894:DNI458894 DXD458894:DXE458894 EGZ458894:EHA458894 EQV458894:EQW458894 FAR458894:FAS458894 FKN458894:FKO458894 FUJ458894:FUK458894 GEF458894:GEG458894 GOB458894:GOC458894 GXX458894:GXY458894 HHT458894:HHU458894 HRP458894:HRQ458894 IBL458894:IBM458894 ILH458894:ILI458894 IVD458894:IVE458894 JEZ458894:JFA458894 JOV458894:JOW458894 JYR458894:JYS458894 KIN458894:KIO458894 KSJ458894:KSK458894 LCF458894:LCG458894 LMB458894:LMC458894 LVX458894:LVY458894 MFT458894:MFU458894 MPP458894:MPQ458894 MZL458894:MZM458894 NJH458894:NJI458894 NTD458894:NTE458894 OCZ458894:ODA458894 OMV458894:OMW458894 OWR458894:OWS458894 PGN458894:PGO458894 PQJ458894:PQK458894 QAF458894:QAG458894 QKB458894:QKC458894 QTX458894:QTY458894 RDT458894:RDU458894 RNP458894:RNQ458894 RXL458894:RXM458894 SHH458894:SHI458894 SRD458894:SRE458894 TAZ458894:TBA458894 TKV458894:TKW458894 TUR458894:TUS458894 UEN458894:UEO458894 UOJ458894:UOK458894 UYF458894:UYG458894 VIB458894:VIC458894 VRX458894:VRY458894 WBT458894:WBU458894 WLP458894:WLQ458894 WVL458894:WVM458894 D524430:E524430 IZ524430:JA524430 SV524430:SW524430 ACR524430:ACS524430 AMN524430:AMO524430 AWJ524430:AWK524430 BGF524430:BGG524430 BQB524430:BQC524430 BZX524430:BZY524430 CJT524430:CJU524430 CTP524430:CTQ524430 DDL524430:DDM524430 DNH524430:DNI524430 DXD524430:DXE524430 EGZ524430:EHA524430 EQV524430:EQW524430 FAR524430:FAS524430 FKN524430:FKO524430 FUJ524430:FUK524430 GEF524430:GEG524430 GOB524430:GOC524430 GXX524430:GXY524430 HHT524430:HHU524430 HRP524430:HRQ524430 IBL524430:IBM524430 ILH524430:ILI524430 IVD524430:IVE524430 JEZ524430:JFA524430 JOV524430:JOW524430 JYR524430:JYS524430 KIN524430:KIO524430 KSJ524430:KSK524430 LCF524430:LCG524430 LMB524430:LMC524430 LVX524430:LVY524430 MFT524430:MFU524430 MPP524430:MPQ524430 MZL524430:MZM524430 NJH524430:NJI524430 NTD524430:NTE524430 OCZ524430:ODA524430 OMV524430:OMW524430 OWR524430:OWS524430 PGN524430:PGO524430 PQJ524430:PQK524430 QAF524430:QAG524430 QKB524430:QKC524430 QTX524430:QTY524430 RDT524430:RDU524430 RNP524430:RNQ524430 RXL524430:RXM524430 SHH524430:SHI524430 SRD524430:SRE524430 TAZ524430:TBA524430 TKV524430:TKW524430 TUR524430:TUS524430 UEN524430:UEO524430 UOJ524430:UOK524430 UYF524430:UYG524430 VIB524430:VIC524430 VRX524430:VRY524430 WBT524430:WBU524430 WLP524430:WLQ524430 WVL524430:WVM524430 D589966:E589966 IZ589966:JA589966 SV589966:SW589966 ACR589966:ACS589966 AMN589966:AMO589966 AWJ589966:AWK589966 BGF589966:BGG589966 BQB589966:BQC589966 BZX589966:BZY589966 CJT589966:CJU589966 CTP589966:CTQ589966 DDL589966:DDM589966 DNH589966:DNI589966 DXD589966:DXE589966 EGZ589966:EHA589966 EQV589966:EQW589966 FAR589966:FAS589966 FKN589966:FKO589966 FUJ589966:FUK589966 GEF589966:GEG589966 GOB589966:GOC589966 GXX589966:GXY589966 HHT589966:HHU589966 HRP589966:HRQ589966 IBL589966:IBM589966 ILH589966:ILI589966 IVD589966:IVE589966 JEZ589966:JFA589966 JOV589966:JOW589966 JYR589966:JYS589966 KIN589966:KIO589966 KSJ589966:KSK589966 LCF589966:LCG589966 LMB589966:LMC589966 LVX589966:LVY589966 MFT589966:MFU589966 MPP589966:MPQ589966 MZL589966:MZM589966 NJH589966:NJI589966 NTD589966:NTE589966 OCZ589966:ODA589966 OMV589966:OMW589966 OWR589966:OWS589966 PGN589966:PGO589966 PQJ589966:PQK589966 QAF589966:QAG589966 QKB589966:QKC589966 QTX589966:QTY589966 RDT589966:RDU589966 RNP589966:RNQ589966 RXL589966:RXM589966 SHH589966:SHI589966 SRD589966:SRE589966 TAZ589966:TBA589966 TKV589966:TKW589966 TUR589966:TUS589966 UEN589966:UEO589966 UOJ589966:UOK589966 UYF589966:UYG589966 VIB589966:VIC589966 VRX589966:VRY589966 WBT589966:WBU589966 WLP589966:WLQ589966 WVL589966:WVM589966 D655502:E655502 IZ655502:JA655502 SV655502:SW655502 ACR655502:ACS655502 AMN655502:AMO655502 AWJ655502:AWK655502 BGF655502:BGG655502 BQB655502:BQC655502 BZX655502:BZY655502 CJT655502:CJU655502 CTP655502:CTQ655502 DDL655502:DDM655502 DNH655502:DNI655502 DXD655502:DXE655502 EGZ655502:EHA655502 EQV655502:EQW655502 FAR655502:FAS655502 FKN655502:FKO655502 FUJ655502:FUK655502 GEF655502:GEG655502 GOB655502:GOC655502 GXX655502:GXY655502 HHT655502:HHU655502 HRP655502:HRQ655502 IBL655502:IBM655502 ILH655502:ILI655502 IVD655502:IVE655502 JEZ655502:JFA655502 JOV655502:JOW655502 JYR655502:JYS655502 KIN655502:KIO655502 KSJ655502:KSK655502 LCF655502:LCG655502 LMB655502:LMC655502 LVX655502:LVY655502 MFT655502:MFU655502 MPP655502:MPQ655502 MZL655502:MZM655502 NJH655502:NJI655502 NTD655502:NTE655502 OCZ655502:ODA655502 OMV655502:OMW655502 OWR655502:OWS655502 PGN655502:PGO655502 PQJ655502:PQK655502 QAF655502:QAG655502 QKB655502:QKC655502 QTX655502:QTY655502 RDT655502:RDU655502 RNP655502:RNQ655502 RXL655502:RXM655502 SHH655502:SHI655502 SRD655502:SRE655502 TAZ655502:TBA655502 TKV655502:TKW655502 TUR655502:TUS655502 UEN655502:UEO655502 UOJ655502:UOK655502 UYF655502:UYG655502 VIB655502:VIC655502 VRX655502:VRY655502 WBT655502:WBU655502 WLP655502:WLQ655502 WVL655502:WVM655502 D721038:E721038 IZ721038:JA721038 SV721038:SW721038 ACR721038:ACS721038 AMN721038:AMO721038 AWJ721038:AWK721038 BGF721038:BGG721038 BQB721038:BQC721038 BZX721038:BZY721038 CJT721038:CJU721038 CTP721038:CTQ721038 DDL721038:DDM721038 DNH721038:DNI721038 DXD721038:DXE721038 EGZ721038:EHA721038 EQV721038:EQW721038 FAR721038:FAS721038 FKN721038:FKO721038 FUJ721038:FUK721038 GEF721038:GEG721038 GOB721038:GOC721038 GXX721038:GXY721038 HHT721038:HHU721038 HRP721038:HRQ721038 IBL721038:IBM721038 ILH721038:ILI721038 IVD721038:IVE721038 JEZ721038:JFA721038 JOV721038:JOW721038 JYR721038:JYS721038 KIN721038:KIO721038 KSJ721038:KSK721038 LCF721038:LCG721038 LMB721038:LMC721038 LVX721038:LVY721038 MFT721038:MFU721038 MPP721038:MPQ721038 MZL721038:MZM721038 NJH721038:NJI721038 NTD721038:NTE721038 OCZ721038:ODA721038 OMV721038:OMW721038 OWR721038:OWS721038 PGN721038:PGO721038 PQJ721038:PQK721038 QAF721038:QAG721038 QKB721038:QKC721038 QTX721038:QTY721038 RDT721038:RDU721038 RNP721038:RNQ721038 RXL721038:RXM721038 SHH721038:SHI721038 SRD721038:SRE721038 TAZ721038:TBA721038 TKV721038:TKW721038 TUR721038:TUS721038 UEN721038:UEO721038 UOJ721038:UOK721038 UYF721038:UYG721038 VIB721038:VIC721038 VRX721038:VRY721038 WBT721038:WBU721038 WLP721038:WLQ721038 WVL721038:WVM721038 D786574:E786574 IZ786574:JA786574 SV786574:SW786574 ACR786574:ACS786574 AMN786574:AMO786574 AWJ786574:AWK786574 BGF786574:BGG786574 BQB786574:BQC786574 BZX786574:BZY786574 CJT786574:CJU786574 CTP786574:CTQ786574 DDL786574:DDM786574 DNH786574:DNI786574 DXD786574:DXE786574 EGZ786574:EHA786574 EQV786574:EQW786574 FAR786574:FAS786574 FKN786574:FKO786574 FUJ786574:FUK786574 GEF786574:GEG786574 GOB786574:GOC786574 GXX786574:GXY786574 HHT786574:HHU786574 HRP786574:HRQ786574 IBL786574:IBM786574 ILH786574:ILI786574 IVD786574:IVE786574 JEZ786574:JFA786574 JOV786574:JOW786574 JYR786574:JYS786574 KIN786574:KIO786574 KSJ786574:KSK786574 LCF786574:LCG786574 LMB786574:LMC786574 LVX786574:LVY786574 MFT786574:MFU786574 MPP786574:MPQ786574 MZL786574:MZM786574 NJH786574:NJI786574 NTD786574:NTE786574 OCZ786574:ODA786574 OMV786574:OMW786574 OWR786574:OWS786574 PGN786574:PGO786574 PQJ786574:PQK786574 QAF786574:QAG786574 QKB786574:QKC786574 QTX786574:QTY786574 RDT786574:RDU786574 RNP786574:RNQ786574 RXL786574:RXM786574 SHH786574:SHI786574 SRD786574:SRE786574 TAZ786574:TBA786574 TKV786574:TKW786574 TUR786574:TUS786574 UEN786574:UEO786574 UOJ786574:UOK786574 UYF786574:UYG786574 VIB786574:VIC786574 VRX786574:VRY786574 WBT786574:WBU786574 WLP786574:WLQ786574 WVL786574:WVM786574 D852110:E852110 IZ852110:JA852110 SV852110:SW852110 ACR852110:ACS852110 AMN852110:AMO852110 AWJ852110:AWK852110 BGF852110:BGG852110 BQB852110:BQC852110 BZX852110:BZY852110 CJT852110:CJU852110 CTP852110:CTQ852110 DDL852110:DDM852110 DNH852110:DNI852110 DXD852110:DXE852110 EGZ852110:EHA852110 EQV852110:EQW852110 FAR852110:FAS852110 FKN852110:FKO852110 FUJ852110:FUK852110 GEF852110:GEG852110 GOB852110:GOC852110 GXX852110:GXY852110 HHT852110:HHU852110 HRP852110:HRQ852110 IBL852110:IBM852110 ILH852110:ILI852110 IVD852110:IVE852110 JEZ852110:JFA852110 JOV852110:JOW852110 JYR852110:JYS852110 KIN852110:KIO852110 KSJ852110:KSK852110 LCF852110:LCG852110 LMB852110:LMC852110 LVX852110:LVY852110 MFT852110:MFU852110 MPP852110:MPQ852110 MZL852110:MZM852110 NJH852110:NJI852110 NTD852110:NTE852110 OCZ852110:ODA852110 OMV852110:OMW852110 OWR852110:OWS852110 PGN852110:PGO852110 PQJ852110:PQK852110 QAF852110:QAG852110 QKB852110:QKC852110 QTX852110:QTY852110 RDT852110:RDU852110 RNP852110:RNQ852110 RXL852110:RXM852110 SHH852110:SHI852110 SRD852110:SRE852110 TAZ852110:TBA852110 TKV852110:TKW852110 TUR852110:TUS852110 UEN852110:UEO852110 UOJ852110:UOK852110 UYF852110:UYG852110 VIB852110:VIC852110 VRX852110:VRY852110 WBT852110:WBU852110 WLP852110:WLQ852110 WVL852110:WVM852110 D917646:E917646 IZ917646:JA917646 SV917646:SW917646 ACR917646:ACS917646 AMN917646:AMO917646 AWJ917646:AWK917646 BGF917646:BGG917646 BQB917646:BQC917646 BZX917646:BZY917646 CJT917646:CJU917646 CTP917646:CTQ917646 DDL917646:DDM917646 DNH917646:DNI917646 DXD917646:DXE917646 EGZ917646:EHA917646 EQV917646:EQW917646 FAR917646:FAS917646 FKN917646:FKO917646 FUJ917646:FUK917646 GEF917646:GEG917646 GOB917646:GOC917646 GXX917646:GXY917646 HHT917646:HHU917646 HRP917646:HRQ917646 IBL917646:IBM917646 ILH917646:ILI917646 IVD917646:IVE917646 JEZ917646:JFA917646 JOV917646:JOW917646 JYR917646:JYS917646 KIN917646:KIO917646 KSJ917646:KSK917646 LCF917646:LCG917646 LMB917646:LMC917646 LVX917646:LVY917646 MFT917646:MFU917646 MPP917646:MPQ917646 MZL917646:MZM917646 NJH917646:NJI917646 NTD917646:NTE917646 OCZ917646:ODA917646 OMV917646:OMW917646 OWR917646:OWS917646 PGN917646:PGO917646 PQJ917646:PQK917646 QAF917646:QAG917646 QKB917646:QKC917646 QTX917646:QTY917646 RDT917646:RDU917646 RNP917646:RNQ917646 RXL917646:RXM917646 SHH917646:SHI917646 SRD917646:SRE917646 TAZ917646:TBA917646 TKV917646:TKW917646 TUR917646:TUS917646 UEN917646:UEO917646 UOJ917646:UOK917646 UYF917646:UYG917646 VIB917646:VIC917646 VRX917646:VRY917646 WBT917646:WBU917646 WLP917646:WLQ917646 WVL917646:WVM917646 D983182:E983182 IZ983182:JA983182 SV983182:SW983182 ACR983182:ACS983182 AMN983182:AMO983182 AWJ983182:AWK983182 BGF983182:BGG983182 BQB983182:BQC983182 BZX983182:BZY983182 CJT983182:CJU983182 CTP983182:CTQ983182 DDL983182:DDM983182 DNH983182:DNI983182 DXD983182:DXE983182 EGZ983182:EHA983182 EQV983182:EQW983182 FAR983182:FAS983182 FKN983182:FKO983182 FUJ983182:FUK983182 GEF983182:GEG983182 GOB983182:GOC983182 GXX983182:GXY983182 HHT983182:HHU983182 HRP983182:HRQ983182 IBL983182:IBM983182 ILH983182:ILI983182 IVD983182:IVE983182 JEZ983182:JFA983182 JOV983182:JOW983182 JYR983182:JYS983182 KIN983182:KIO983182 KSJ983182:KSK983182 LCF983182:LCG983182 LMB983182:LMC983182 LVX983182:LVY983182 MFT983182:MFU983182 MPP983182:MPQ983182 MZL983182:MZM983182 NJH983182:NJI983182 NTD983182:NTE983182 OCZ983182:ODA983182 OMV983182:OMW983182 OWR983182:OWS983182 PGN983182:PGO983182 PQJ983182:PQK983182 QAF983182:QAG983182 QKB983182:QKC983182 QTX983182:QTY983182 RDT983182:RDU983182 RNP983182:RNQ983182 RXL983182:RXM983182 SHH983182:SHI983182 SRD983182:SRE983182 TAZ983182:TBA983182 TKV983182:TKW983182 TUR983182:TUS983182 UEN983182:UEO983182 UOJ983182:UOK983182 UYF983182:UYG983182 VIB983182:VIC983182 VRX983182:VRY983182 WBT983182:WBU983182 WLP983182:WLQ983182 WVL983182:WVM983182" xr:uid="{00000000-0002-0000-2B00-000002000000}">
      <formula1>267200</formula1>
    </dataValidation>
  </dataValidations>
  <printOptions horizontalCentered="1" verticalCentered="1"/>
  <pageMargins left="0.83000000000000007" right="0.83000000000000007" top="0.43000000000000005" bottom="0.43000000000000005" header="0.51" footer="0.51"/>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theme="8" tint="0.39997558519241921"/>
  </sheetPr>
  <dimension ref="A1:AP94"/>
  <sheetViews>
    <sheetView workbookViewId="0">
      <selection activeCell="B33" sqref="B33"/>
    </sheetView>
  </sheetViews>
  <sheetFormatPr defaultColWidth="11" defaultRowHeight="14.25"/>
  <cols>
    <col min="1" max="1" width="6.125" style="3552" customWidth="1"/>
    <col min="2" max="2" width="13.125" style="3552" customWidth="1"/>
    <col min="3" max="3" width="4.875" style="3552" customWidth="1"/>
    <col min="4" max="4" width="11" style="3552" customWidth="1"/>
    <col min="5" max="5" width="2.625" style="3552" customWidth="1"/>
    <col min="6" max="6" width="6.5" style="3552" customWidth="1"/>
    <col min="7" max="7" width="16.125" style="3552" customWidth="1"/>
    <col min="8" max="8" width="33.375" style="3552" customWidth="1"/>
    <col min="9" max="9" width="5.125" style="3552" customWidth="1"/>
    <col min="10" max="10" width="11" style="3552" customWidth="1"/>
    <col min="11" max="11" width="2.875" style="3552" customWidth="1"/>
    <col min="12" max="12" width="20.5" style="3552" customWidth="1"/>
    <col min="13" max="13" width="42.125" style="3552" customWidth="1"/>
    <col min="14" max="14" width="6.625" style="3552" customWidth="1"/>
    <col min="15" max="15" width="5.875" style="3552" customWidth="1"/>
    <col min="16" max="16" width="11" style="3552" customWidth="1"/>
    <col min="17" max="17" width="3" style="3552" customWidth="1"/>
    <col min="18" max="18" width="15.125" style="3552" customWidth="1"/>
    <col min="19" max="19" width="29.5" style="3552" customWidth="1"/>
    <col min="20" max="20" width="5" style="3552" customWidth="1"/>
    <col min="21" max="22" width="11" style="3552" customWidth="1"/>
    <col min="23" max="23" width="3.625" style="3552" customWidth="1"/>
    <col min="24" max="24" width="11.5" style="3552" customWidth="1"/>
    <col min="25" max="25" width="27" style="3552" customWidth="1"/>
    <col min="26" max="26" width="5.625" style="3552" customWidth="1"/>
    <col min="27" max="27" width="6.875" style="3552" customWidth="1"/>
    <col min="28" max="28" width="11" style="3552" customWidth="1"/>
    <col min="29" max="29" width="3.125" style="3552" customWidth="1"/>
    <col min="30" max="30" width="15.375" style="3552" customWidth="1"/>
    <col min="31" max="31" width="16.625" style="3552" customWidth="1"/>
    <col min="32" max="32" width="6.125" style="3552" customWidth="1"/>
    <col min="33" max="33" width="6.375" style="3552" customWidth="1"/>
    <col min="34" max="34" width="11" style="3552" customWidth="1"/>
    <col min="35" max="35" width="3.125" style="3552" customWidth="1"/>
    <col min="36" max="37" width="11" style="3552" customWidth="1"/>
    <col min="38" max="38" width="3.625" style="3552" customWidth="1"/>
    <col min="39" max="256" width="11" style="3552"/>
    <col min="257" max="257" width="6.125" style="3552" customWidth="1"/>
    <col min="258" max="258" width="13.125" style="3552" customWidth="1"/>
    <col min="259" max="259" width="4.875" style="3552" customWidth="1"/>
    <col min="260" max="260" width="11" style="3552" customWidth="1"/>
    <col min="261" max="261" width="2.625" style="3552" customWidth="1"/>
    <col min="262" max="262" width="6.5" style="3552" customWidth="1"/>
    <col min="263" max="263" width="16.125" style="3552" customWidth="1"/>
    <col min="264" max="264" width="33.375" style="3552" customWidth="1"/>
    <col min="265" max="265" width="5.125" style="3552" customWidth="1"/>
    <col min="266" max="266" width="11" style="3552" customWidth="1"/>
    <col min="267" max="267" width="2.875" style="3552" customWidth="1"/>
    <col min="268" max="268" width="20.5" style="3552" customWidth="1"/>
    <col min="269" max="269" width="42.125" style="3552" customWidth="1"/>
    <col min="270" max="270" width="6.625" style="3552" customWidth="1"/>
    <col min="271" max="271" width="5.875" style="3552" customWidth="1"/>
    <col min="272" max="272" width="11" style="3552" customWidth="1"/>
    <col min="273" max="273" width="3" style="3552" customWidth="1"/>
    <col min="274" max="274" width="15.125" style="3552" customWidth="1"/>
    <col min="275" max="275" width="29.5" style="3552" customWidth="1"/>
    <col min="276" max="276" width="5" style="3552" customWidth="1"/>
    <col min="277" max="278" width="11" style="3552" customWidth="1"/>
    <col min="279" max="279" width="3.625" style="3552" customWidth="1"/>
    <col min="280" max="280" width="11.5" style="3552" customWidth="1"/>
    <col min="281" max="281" width="27" style="3552" customWidth="1"/>
    <col min="282" max="282" width="5.625" style="3552" customWidth="1"/>
    <col min="283" max="283" width="6.875" style="3552" customWidth="1"/>
    <col min="284" max="284" width="11" style="3552" customWidth="1"/>
    <col min="285" max="285" width="3.125" style="3552" customWidth="1"/>
    <col min="286" max="286" width="15.375" style="3552" customWidth="1"/>
    <col min="287" max="287" width="16.625" style="3552" customWidth="1"/>
    <col min="288" max="288" width="6.125" style="3552" customWidth="1"/>
    <col min="289" max="289" width="6.375" style="3552" customWidth="1"/>
    <col min="290" max="290" width="11" style="3552" customWidth="1"/>
    <col min="291" max="291" width="3.125" style="3552" customWidth="1"/>
    <col min="292" max="293" width="11" style="3552" customWidth="1"/>
    <col min="294" max="294" width="3.625" style="3552" customWidth="1"/>
    <col min="295" max="512" width="11" style="3552"/>
    <col min="513" max="513" width="6.125" style="3552" customWidth="1"/>
    <col min="514" max="514" width="13.125" style="3552" customWidth="1"/>
    <col min="515" max="515" width="4.875" style="3552" customWidth="1"/>
    <col min="516" max="516" width="11" style="3552" customWidth="1"/>
    <col min="517" max="517" width="2.625" style="3552" customWidth="1"/>
    <col min="518" max="518" width="6.5" style="3552" customWidth="1"/>
    <col min="519" max="519" width="16.125" style="3552" customWidth="1"/>
    <col min="520" max="520" width="33.375" style="3552" customWidth="1"/>
    <col min="521" max="521" width="5.125" style="3552" customWidth="1"/>
    <col min="522" max="522" width="11" style="3552" customWidth="1"/>
    <col min="523" max="523" width="2.875" style="3552" customWidth="1"/>
    <col min="524" max="524" width="20.5" style="3552" customWidth="1"/>
    <col min="525" max="525" width="42.125" style="3552" customWidth="1"/>
    <col min="526" max="526" width="6.625" style="3552" customWidth="1"/>
    <col min="527" max="527" width="5.875" style="3552" customWidth="1"/>
    <col min="528" max="528" width="11" style="3552" customWidth="1"/>
    <col min="529" max="529" width="3" style="3552" customWidth="1"/>
    <col min="530" max="530" width="15.125" style="3552" customWidth="1"/>
    <col min="531" max="531" width="29.5" style="3552" customWidth="1"/>
    <col min="532" max="532" width="5" style="3552" customWidth="1"/>
    <col min="533" max="534" width="11" style="3552" customWidth="1"/>
    <col min="535" max="535" width="3.625" style="3552" customWidth="1"/>
    <col min="536" max="536" width="11.5" style="3552" customWidth="1"/>
    <col min="537" max="537" width="27" style="3552" customWidth="1"/>
    <col min="538" max="538" width="5.625" style="3552" customWidth="1"/>
    <col min="539" max="539" width="6.875" style="3552" customWidth="1"/>
    <col min="540" max="540" width="11" style="3552" customWidth="1"/>
    <col min="541" max="541" width="3.125" style="3552" customWidth="1"/>
    <col min="542" max="542" width="15.375" style="3552" customWidth="1"/>
    <col min="543" max="543" width="16.625" style="3552" customWidth="1"/>
    <col min="544" max="544" width="6.125" style="3552" customWidth="1"/>
    <col min="545" max="545" width="6.375" style="3552" customWidth="1"/>
    <col min="546" max="546" width="11" style="3552" customWidth="1"/>
    <col min="547" max="547" width="3.125" style="3552" customWidth="1"/>
    <col min="548" max="549" width="11" style="3552" customWidth="1"/>
    <col min="550" max="550" width="3.625" style="3552" customWidth="1"/>
    <col min="551" max="768" width="11" style="3552"/>
    <col min="769" max="769" width="6.125" style="3552" customWidth="1"/>
    <col min="770" max="770" width="13.125" style="3552" customWidth="1"/>
    <col min="771" max="771" width="4.875" style="3552" customWidth="1"/>
    <col min="772" max="772" width="11" style="3552" customWidth="1"/>
    <col min="773" max="773" width="2.625" style="3552" customWidth="1"/>
    <col min="774" max="774" width="6.5" style="3552" customWidth="1"/>
    <col min="775" max="775" width="16.125" style="3552" customWidth="1"/>
    <col min="776" max="776" width="33.375" style="3552" customWidth="1"/>
    <col min="777" max="777" width="5.125" style="3552" customWidth="1"/>
    <col min="778" max="778" width="11" style="3552" customWidth="1"/>
    <col min="779" max="779" width="2.875" style="3552" customWidth="1"/>
    <col min="780" max="780" width="20.5" style="3552" customWidth="1"/>
    <col min="781" max="781" width="42.125" style="3552" customWidth="1"/>
    <col min="782" max="782" width="6.625" style="3552" customWidth="1"/>
    <col min="783" max="783" width="5.875" style="3552" customWidth="1"/>
    <col min="784" max="784" width="11" style="3552" customWidth="1"/>
    <col min="785" max="785" width="3" style="3552" customWidth="1"/>
    <col min="786" max="786" width="15.125" style="3552" customWidth="1"/>
    <col min="787" max="787" width="29.5" style="3552" customWidth="1"/>
    <col min="788" max="788" width="5" style="3552" customWidth="1"/>
    <col min="789" max="790" width="11" style="3552" customWidth="1"/>
    <col min="791" max="791" width="3.625" style="3552" customWidth="1"/>
    <col min="792" max="792" width="11.5" style="3552" customWidth="1"/>
    <col min="793" max="793" width="27" style="3552" customWidth="1"/>
    <col min="794" max="794" width="5.625" style="3552" customWidth="1"/>
    <col min="795" max="795" width="6.875" style="3552" customWidth="1"/>
    <col min="796" max="796" width="11" style="3552" customWidth="1"/>
    <col min="797" max="797" width="3.125" style="3552" customWidth="1"/>
    <col min="798" max="798" width="15.375" style="3552" customWidth="1"/>
    <col min="799" max="799" width="16.625" style="3552" customWidth="1"/>
    <col min="800" max="800" width="6.125" style="3552" customWidth="1"/>
    <col min="801" max="801" width="6.375" style="3552" customWidth="1"/>
    <col min="802" max="802" width="11" style="3552" customWidth="1"/>
    <col min="803" max="803" width="3.125" style="3552" customWidth="1"/>
    <col min="804" max="805" width="11" style="3552" customWidth="1"/>
    <col min="806" max="806" width="3.625" style="3552" customWidth="1"/>
    <col min="807" max="1024" width="11" style="3552"/>
    <col min="1025" max="1025" width="6.125" style="3552" customWidth="1"/>
    <col min="1026" max="1026" width="13.125" style="3552" customWidth="1"/>
    <col min="1027" max="1027" width="4.875" style="3552" customWidth="1"/>
    <col min="1028" max="1028" width="11" style="3552" customWidth="1"/>
    <col min="1029" max="1029" width="2.625" style="3552" customWidth="1"/>
    <col min="1030" max="1030" width="6.5" style="3552" customWidth="1"/>
    <col min="1031" max="1031" width="16.125" style="3552" customWidth="1"/>
    <col min="1032" max="1032" width="33.375" style="3552" customWidth="1"/>
    <col min="1033" max="1033" width="5.125" style="3552" customWidth="1"/>
    <col min="1034" max="1034" width="11" style="3552" customWidth="1"/>
    <col min="1035" max="1035" width="2.875" style="3552" customWidth="1"/>
    <col min="1036" max="1036" width="20.5" style="3552" customWidth="1"/>
    <col min="1037" max="1037" width="42.125" style="3552" customWidth="1"/>
    <col min="1038" max="1038" width="6.625" style="3552" customWidth="1"/>
    <col min="1039" max="1039" width="5.875" style="3552" customWidth="1"/>
    <col min="1040" max="1040" width="11" style="3552" customWidth="1"/>
    <col min="1041" max="1041" width="3" style="3552" customWidth="1"/>
    <col min="1042" max="1042" width="15.125" style="3552" customWidth="1"/>
    <col min="1043" max="1043" width="29.5" style="3552" customWidth="1"/>
    <col min="1044" max="1044" width="5" style="3552" customWidth="1"/>
    <col min="1045" max="1046" width="11" style="3552" customWidth="1"/>
    <col min="1047" max="1047" width="3.625" style="3552" customWidth="1"/>
    <col min="1048" max="1048" width="11.5" style="3552" customWidth="1"/>
    <col min="1049" max="1049" width="27" style="3552" customWidth="1"/>
    <col min="1050" max="1050" width="5.625" style="3552" customWidth="1"/>
    <col min="1051" max="1051" width="6.875" style="3552" customWidth="1"/>
    <col min="1052" max="1052" width="11" style="3552" customWidth="1"/>
    <col min="1053" max="1053" width="3.125" style="3552" customWidth="1"/>
    <col min="1054" max="1054" width="15.375" style="3552" customWidth="1"/>
    <col min="1055" max="1055" width="16.625" style="3552" customWidth="1"/>
    <col min="1056" max="1056" width="6.125" style="3552" customWidth="1"/>
    <col min="1057" max="1057" width="6.375" style="3552" customWidth="1"/>
    <col min="1058" max="1058" width="11" style="3552" customWidth="1"/>
    <col min="1059" max="1059" width="3.125" style="3552" customWidth="1"/>
    <col min="1060" max="1061" width="11" style="3552" customWidth="1"/>
    <col min="1062" max="1062" width="3.625" style="3552" customWidth="1"/>
    <col min="1063" max="1280" width="11" style="3552"/>
    <col min="1281" max="1281" width="6.125" style="3552" customWidth="1"/>
    <col min="1282" max="1282" width="13.125" style="3552" customWidth="1"/>
    <col min="1283" max="1283" width="4.875" style="3552" customWidth="1"/>
    <col min="1284" max="1284" width="11" style="3552" customWidth="1"/>
    <col min="1285" max="1285" width="2.625" style="3552" customWidth="1"/>
    <col min="1286" max="1286" width="6.5" style="3552" customWidth="1"/>
    <col min="1287" max="1287" width="16.125" style="3552" customWidth="1"/>
    <col min="1288" max="1288" width="33.375" style="3552" customWidth="1"/>
    <col min="1289" max="1289" width="5.125" style="3552" customWidth="1"/>
    <col min="1290" max="1290" width="11" style="3552" customWidth="1"/>
    <col min="1291" max="1291" width="2.875" style="3552" customWidth="1"/>
    <col min="1292" max="1292" width="20.5" style="3552" customWidth="1"/>
    <col min="1293" max="1293" width="42.125" style="3552" customWidth="1"/>
    <col min="1294" max="1294" width="6.625" style="3552" customWidth="1"/>
    <col min="1295" max="1295" width="5.875" style="3552" customWidth="1"/>
    <col min="1296" max="1296" width="11" style="3552" customWidth="1"/>
    <col min="1297" max="1297" width="3" style="3552" customWidth="1"/>
    <col min="1298" max="1298" width="15.125" style="3552" customWidth="1"/>
    <col min="1299" max="1299" width="29.5" style="3552" customWidth="1"/>
    <col min="1300" max="1300" width="5" style="3552" customWidth="1"/>
    <col min="1301" max="1302" width="11" style="3552" customWidth="1"/>
    <col min="1303" max="1303" width="3.625" style="3552" customWidth="1"/>
    <col min="1304" max="1304" width="11.5" style="3552" customWidth="1"/>
    <col min="1305" max="1305" width="27" style="3552" customWidth="1"/>
    <col min="1306" max="1306" width="5.625" style="3552" customWidth="1"/>
    <col min="1307" max="1307" width="6.875" style="3552" customWidth="1"/>
    <col min="1308" max="1308" width="11" style="3552" customWidth="1"/>
    <col min="1309" max="1309" width="3.125" style="3552" customWidth="1"/>
    <col min="1310" max="1310" width="15.375" style="3552" customWidth="1"/>
    <col min="1311" max="1311" width="16.625" style="3552" customWidth="1"/>
    <col min="1312" max="1312" width="6.125" style="3552" customWidth="1"/>
    <col min="1313" max="1313" width="6.375" style="3552" customWidth="1"/>
    <col min="1314" max="1314" width="11" style="3552" customWidth="1"/>
    <col min="1315" max="1315" width="3.125" style="3552" customWidth="1"/>
    <col min="1316" max="1317" width="11" style="3552" customWidth="1"/>
    <col min="1318" max="1318" width="3.625" style="3552" customWidth="1"/>
    <col min="1319" max="1536" width="11" style="3552"/>
    <col min="1537" max="1537" width="6.125" style="3552" customWidth="1"/>
    <col min="1538" max="1538" width="13.125" style="3552" customWidth="1"/>
    <col min="1539" max="1539" width="4.875" style="3552" customWidth="1"/>
    <col min="1540" max="1540" width="11" style="3552" customWidth="1"/>
    <col min="1541" max="1541" width="2.625" style="3552" customWidth="1"/>
    <col min="1542" max="1542" width="6.5" style="3552" customWidth="1"/>
    <col min="1543" max="1543" width="16.125" style="3552" customWidth="1"/>
    <col min="1544" max="1544" width="33.375" style="3552" customWidth="1"/>
    <col min="1545" max="1545" width="5.125" style="3552" customWidth="1"/>
    <col min="1546" max="1546" width="11" style="3552" customWidth="1"/>
    <col min="1547" max="1547" width="2.875" style="3552" customWidth="1"/>
    <col min="1548" max="1548" width="20.5" style="3552" customWidth="1"/>
    <col min="1549" max="1549" width="42.125" style="3552" customWidth="1"/>
    <col min="1550" max="1550" width="6.625" style="3552" customWidth="1"/>
    <col min="1551" max="1551" width="5.875" style="3552" customWidth="1"/>
    <col min="1552" max="1552" width="11" style="3552" customWidth="1"/>
    <col min="1553" max="1553" width="3" style="3552" customWidth="1"/>
    <col min="1554" max="1554" width="15.125" style="3552" customWidth="1"/>
    <col min="1555" max="1555" width="29.5" style="3552" customWidth="1"/>
    <col min="1556" max="1556" width="5" style="3552" customWidth="1"/>
    <col min="1557" max="1558" width="11" style="3552" customWidth="1"/>
    <col min="1559" max="1559" width="3.625" style="3552" customWidth="1"/>
    <col min="1560" max="1560" width="11.5" style="3552" customWidth="1"/>
    <col min="1561" max="1561" width="27" style="3552" customWidth="1"/>
    <col min="1562" max="1562" width="5.625" style="3552" customWidth="1"/>
    <col min="1563" max="1563" width="6.875" style="3552" customWidth="1"/>
    <col min="1564" max="1564" width="11" style="3552" customWidth="1"/>
    <col min="1565" max="1565" width="3.125" style="3552" customWidth="1"/>
    <col min="1566" max="1566" width="15.375" style="3552" customWidth="1"/>
    <col min="1567" max="1567" width="16.625" style="3552" customWidth="1"/>
    <col min="1568" max="1568" width="6.125" style="3552" customWidth="1"/>
    <col min="1569" max="1569" width="6.375" style="3552" customWidth="1"/>
    <col min="1570" max="1570" width="11" style="3552" customWidth="1"/>
    <col min="1571" max="1571" width="3.125" style="3552" customWidth="1"/>
    <col min="1572" max="1573" width="11" style="3552" customWidth="1"/>
    <col min="1574" max="1574" width="3.625" style="3552" customWidth="1"/>
    <col min="1575" max="1792" width="11" style="3552"/>
    <col min="1793" max="1793" width="6.125" style="3552" customWidth="1"/>
    <col min="1794" max="1794" width="13.125" style="3552" customWidth="1"/>
    <col min="1795" max="1795" width="4.875" style="3552" customWidth="1"/>
    <col min="1796" max="1796" width="11" style="3552" customWidth="1"/>
    <col min="1797" max="1797" width="2.625" style="3552" customWidth="1"/>
    <col min="1798" max="1798" width="6.5" style="3552" customWidth="1"/>
    <col min="1799" max="1799" width="16.125" style="3552" customWidth="1"/>
    <col min="1800" max="1800" width="33.375" style="3552" customWidth="1"/>
    <col min="1801" max="1801" width="5.125" style="3552" customWidth="1"/>
    <col min="1802" max="1802" width="11" style="3552" customWidth="1"/>
    <col min="1803" max="1803" width="2.875" style="3552" customWidth="1"/>
    <col min="1804" max="1804" width="20.5" style="3552" customWidth="1"/>
    <col min="1805" max="1805" width="42.125" style="3552" customWidth="1"/>
    <col min="1806" max="1806" width="6.625" style="3552" customWidth="1"/>
    <col min="1807" max="1807" width="5.875" style="3552" customWidth="1"/>
    <col min="1808" max="1808" width="11" style="3552" customWidth="1"/>
    <col min="1809" max="1809" width="3" style="3552" customWidth="1"/>
    <col min="1810" max="1810" width="15.125" style="3552" customWidth="1"/>
    <col min="1811" max="1811" width="29.5" style="3552" customWidth="1"/>
    <col min="1812" max="1812" width="5" style="3552" customWidth="1"/>
    <col min="1813" max="1814" width="11" style="3552" customWidth="1"/>
    <col min="1815" max="1815" width="3.625" style="3552" customWidth="1"/>
    <col min="1816" max="1816" width="11.5" style="3552" customWidth="1"/>
    <col min="1817" max="1817" width="27" style="3552" customWidth="1"/>
    <col min="1818" max="1818" width="5.625" style="3552" customWidth="1"/>
    <col min="1819" max="1819" width="6.875" style="3552" customWidth="1"/>
    <col min="1820" max="1820" width="11" style="3552" customWidth="1"/>
    <col min="1821" max="1821" width="3.125" style="3552" customWidth="1"/>
    <col min="1822" max="1822" width="15.375" style="3552" customWidth="1"/>
    <col min="1823" max="1823" width="16.625" style="3552" customWidth="1"/>
    <col min="1824" max="1824" width="6.125" style="3552" customWidth="1"/>
    <col min="1825" max="1825" width="6.375" style="3552" customWidth="1"/>
    <col min="1826" max="1826" width="11" style="3552" customWidth="1"/>
    <col min="1827" max="1827" width="3.125" style="3552" customWidth="1"/>
    <col min="1828" max="1829" width="11" style="3552" customWidth="1"/>
    <col min="1830" max="1830" width="3.625" style="3552" customWidth="1"/>
    <col min="1831" max="2048" width="11" style="3552"/>
    <col min="2049" max="2049" width="6.125" style="3552" customWidth="1"/>
    <col min="2050" max="2050" width="13.125" style="3552" customWidth="1"/>
    <col min="2051" max="2051" width="4.875" style="3552" customWidth="1"/>
    <col min="2052" max="2052" width="11" style="3552" customWidth="1"/>
    <col min="2053" max="2053" width="2.625" style="3552" customWidth="1"/>
    <col min="2054" max="2054" width="6.5" style="3552" customWidth="1"/>
    <col min="2055" max="2055" width="16.125" style="3552" customWidth="1"/>
    <col min="2056" max="2056" width="33.375" style="3552" customWidth="1"/>
    <col min="2057" max="2057" width="5.125" style="3552" customWidth="1"/>
    <col min="2058" max="2058" width="11" style="3552" customWidth="1"/>
    <col min="2059" max="2059" width="2.875" style="3552" customWidth="1"/>
    <col min="2060" max="2060" width="20.5" style="3552" customWidth="1"/>
    <col min="2061" max="2061" width="42.125" style="3552" customWidth="1"/>
    <col min="2062" max="2062" width="6.625" style="3552" customWidth="1"/>
    <col min="2063" max="2063" width="5.875" style="3552" customWidth="1"/>
    <col min="2064" max="2064" width="11" style="3552" customWidth="1"/>
    <col min="2065" max="2065" width="3" style="3552" customWidth="1"/>
    <col min="2066" max="2066" width="15.125" style="3552" customWidth="1"/>
    <col min="2067" max="2067" width="29.5" style="3552" customWidth="1"/>
    <col min="2068" max="2068" width="5" style="3552" customWidth="1"/>
    <col min="2069" max="2070" width="11" style="3552" customWidth="1"/>
    <col min="2071" max="2071" width="3.625" style="3552" customWidth="1"/>
    <col min="2072" max="2072" width="11.5" style="3552" customWidth="1"/>
    <col min="2073" max="2073" width="27" style="3552" customWidth="1"/>
    <col min="2074" max="2074" width="5.625" style="3552" customWidth="1"/>
    <col min="2075" max="2075" width="6.875" style="3552" customWidth="1"/>
    <col min="2076" max="2076" width="11" style="3552" customWidth="1"/>
    <col min="2077" max="2077" width="3.125" style="3552" customWidth="1"/>
    <col min="2078" max="2078" width="15.375" style="3552" customWidth="1"/>
    <col min="2079" max="2079" width="16.625" style="3552" customWidth="1"/>
    <col min="2080" max="2080" width="6.125" style="3552" customWidth="1"/>
    <col min="2081" max="2081" width="6.375" style="3552" customWidth="1"/>
    <col min="2082" max="2082" width="11" style="3552" customWidth="1"/>
    <col min="2083" max="2083" width="3.125" style="3552" customWidth="1"/>
    <col min="2084" max="2085" width="11" style="3552" customWidth="1"/>
    <col min="2086" max="2086" width="3.625" style="3552" customWidth="1"/>
    <col min="2087" max="2304" width="11" style="3552"/>
    <col min="2305" max="2305" width="6.125" style="3552" customWidth="1"/>
    <col min="2306" max="2306" width="13.125" style="3552" customWidth="1"/>
    <col min="2307" max="2307" width="4.875" style="3552" customWidth="1"/>
    <col min="2308" max="2308" width="11" style="3552" customWidth="1"/>
    <col min="2309" max="2309" width="2.625" style="3552" customWidth="1"/>
    <col min="2310" max="2310" width="6.5" style="3552" customWidth="1"/>
    <col min="2311" max="2311" width="16.125" style="3552" customWidth="1"/>
    <col min="2312" max="2312" width="33.375" style="3552" customWidth="1"/>
    <col min="2313" max="2313" width="5.125" style="3552" customWidth="1"/>
    <col min="2314" max="2314" width="11" style="3552" customWidth="1"/>
    <col min="2315" max="2315" width="2.875" style="3552" customWidth="1"/>
    <col min="2316" max="2316" width="20.5" style="3552" customWidth="1"/>
    <col min="2317" max="2317" width="42.125" style="3552" customWidth="1"/>
    <col min="2318" max="2318" width="6.625" style="3552" customWidth="1"/>
    <col min="2319" max="2319" width="5.875" style="3552" customWidth="1"/>
    <col min="2320" max="2320" width="11" style="3552" customWidth="1"/>
    <col min="2321" max="2321" width="3" style="3552" customWidth="1"/>
    <col min="2322" max="2322" width="15.125" style="3552" customWidth="1"/>
    <col min="2323" max="2323" width="29.5" style="3552" customWidth="1"/>
    <col min="2324" max="2324" width="5" style="3552" customWidth="1"/>
    <col min="2325" max="2326" width="11" style="3552" customWidth="1"/>
    <col min="2327" max="2327" width="3.625" style="3552" customWidth="1"/>
    <col min="2328" max="2328" width="11.5" style="3552" customWidth="1"/>
    <col min="2329" max="2329" width="27" style="3552" customWidth="1"/>
    <col min="2330" max="2330" width="5.625" style="3552" customWidth="1"/>
    <col min="2331" max="2331" width="6.875" style="3552" customWidth="1"/>
    <col min="2332" max="2332" width="11" style="3552" customWidth="1"/>
    <col min="2333" max="2333" width="3.125" style="3552" customWidth="1"/>
    <col min="2334" max="2334" width="15.375" style="3552" customWidth="1"/>
    <col min="2335" max="2335" width="16.625" style="3552" customWidth="1"/>
    <col min="2336" max="2336" width="6.125" style="3552" customWidth="1"/>
    <col min="2337" max="2337" width="6.375" style="3552" customWidth="1"/>
    <col min="2338" max="2338" width="11" style="3552" customWidth="1"/>
    <col min="2339" max="2339" width="3.125" style="3552" customWidth="1"/>
    <col min="2340" max="2341" width="11" style="3552" customWidth="1"/>
    <col min="2342" max="2342" width="3.625" style="3552" customWidth="1"/>
    <col min="2343" max="2560" width="11" style="3552"/>
    <col min="2561" max="2561" width="6.125" style="3552" customWidth="1"/>
    <col min="2562" max="2562" width="13.125" style="3552" customWidth="1"/>
    <col min="2563" max="2563" width="4.875" style="3552" customWidth="1"/>
    <col min="2564" max="2564" width="11" style="3552" customWidth="1"/>
    <col min="2565" max="2565" width="2.625" style="3552" customWidth="1"/>
    <col min="2566" max="2566" width="6.5" style="3552" customWidth="1"/>
    <col min="2567" max="2567" width="16.125" style="3552" customWidth="1"/>
    <col min="2568" max="2568" width="33.375" style="3552" customWidth="1"/>
    <col min="2569" max="2569" width="5.125" style="3552" customWidth="1"/>
    <col min="2570" max="2570" width="11" style="3552" customWidth="1"/>
    <col min="2571" max="2571" width="2.875" style="3552" customWidth="1"/>
    <col min="2572" max="2572" width="20.5" style="3552" customWidth="1"/>
    <col min="2573" max="2573" width="42.125" style="3552" customWidth="1"/>
    <col min="2574" max="2574" width="6.625" style="3552" customWidth="1"/>
    <col min="2575" max="2575" width="5.875" style="3552" customWidth="1"/>
    <col min="2576" max="2576" width="11" style="3552" customWidth="1"/>
    <col min="2577" max="2577" width="3" style="3552" customWidth="1"/>
    <col min="2578" max="2578" width="15.125" style="3552" customWidth="1"/>
    <col min="2579" max="2579" width="29.5" style="3552" customWidth="1"/>
    <col min="2580" max="2580" width="5" style="3552" customWidth="1"/>
    <col min="2581" max="2582" width="11" style="3552" customWidth="1"/>
    <col min="2583" max="2583" width="3.625" style="3552" customWidth="1"/>
    <col min="2584" max="2584" width="11.5" style="3552" customWidth="1"/>
    <col min="2585" max="2585" width="27" style="3552" customWidth="1"/>
    <col min="2586" max="2586" width="5.625" style="3552" customWidth="1"/>
    <col min="2587" max="2587" width="6.875" style="3552" customWidth="1"/>
    <col min="2588" max="2588" width="11" style="3552" customWidth="1"/>
    <col min="2589" max="2589" width="3.125" style="3552" customWidth="1"/>
    <col min="2590" max="2590" width="15.375" style="3552" customWidth="1"/>
    <col min="2591" max="2591" width="16.625" style="3552" customWidth="1"/>
    <col min="2592" max="2592" width="6.125" style="3552" customWidth="1"/>
    <col min="2593" max="2593" width="6.375" style="3552" customWidth="1"/>
    <col min="2594" max="2594" width="11" style="3552" customWidth="1"/>
    <col min="2595" max="2595" width="3.125" style="3552" customWidth="1"/>
    <col min="2596" max="2597" width="11" style="3552" customWidth="1"/>
    <col min="2598" max="2598" width="3.625" style="3552" customWidth="1"/>
    <col min="2599" max="2816" width="11" style="3552"/>
    <col min="2817" max="2817" width="6.125" style="3552" customWidth="1"/>
    <col min="2818" max="2818" width="13.125" style="3552" customWidth="1"/>
    <col min="2819" max="2819" width="4.875" style="3552" customWidth="1"/>
    <col min="2820" max="2820" width="11" style="3552" customWidth="1"/>
    <col min="2821" max="2821" width="2.625" style="3552" customWidth="1"/>
    <col min="2822" max="2822" width="6.5" style="3552" customWidth="1"/>
    <col min="2823" max="2823" width="16.125" style="3552" customWidth="1"/>
    <col min="2824" max="2824" width="33.375" style="3552" customWidth="1"/>
    <col min="2825" max="2825" width="5.125" style="3552" customWidth="1"/>
    <col min="2826" max="2826" width="11" style="3552" customWidth="1"/>
    <col min="2827" max="2827" width="2.875" style="3552" customWidth="1"/>
    <col min="2828" max="2828" width="20.5" style="3552" customWidth="1"/>
    <col min="2829" max="2829" width="42.125" style="3552" customWidth="1"/>
    <col min="2830" max="2830" width="6.625" style="3552" customWidth="1"/>
    <col min="2831" max="2831" width="5.875" style="3552" customWidth="1"/>
    <col min="2832" max="2832" width="11" style="3552" customWidth="1"/>
    <col min="2833" max="2833" width="3" style="3552" customWidth="1"/>
    <col min="2834" max="2834" width="15.125" style="3552" customWidth="1"/>
    <col min="2835" max="2835" width="29.5" style="3552" customWidth="1"/>
    <col min="2836" max="2836" width="5" style="3552" customWidth="1"/>
    <col min="2837" max="2838" width="11" style="3552" customWidth="1"/>
    <col min="2839" max="2839" width="3.625" style="3552" customWidth="1"/>
    <col min="2840" max="2840" width="11.5" style="3552" customWidth="1"/>
    <col min="2841" max="2841" width="27" style="3552" customWidth="1"/>
    <col min="2842" max="2842" width="5.625" style="3552" customWidth="1"/>
    <col min="2843" max="2843" width="6.875" style="3552" customWidth="1"/>
    <col min="2844" max="2844" width="11" style="3552" customWidth="1"/>
    <col min="2845" max="2845" width="3.125" style="3552" customWidth="1"/>
    <col min="2846" max="2846" width="15.375" style="3552" customWidth="1"/>
    <col min="2847" max="2847" width="16.625" style="3552" customWidth="1"/>
    <col min="2848" max="2848" width="6.125" style="3552" customWidth="1"/>
    <col min="2849" max="2849" width="6.375" style="3552" customWidth="1"/>
    <col min="2850" max="2850" width="11" style="3552" customWidth="1"/>
    <col min="2851" max="2851" width="3.125" style="3552" customWidth="1"/>
    <col min="2852" max="2853" width="11" style="3552" customWidth="1"/>
    <col min="2854" max="2854" width="3.625" style="3552" customWidth="1"/>
    <col min="2855" max="3072" width="11" style="3552"/>
    <col min="3073" max="3073" width="6.125" style="3552" customWidth="1"/>
    <col min="3074" max="3074" width="13.125" style="3552" customWidth="1"/>
    <col min="3075" max="3075" width="4.875" style="3552" customWidth="1"/>
    <col min="3076" max="3076" width="11" style="3552" customWidth="1"/>
    <col min="3077" max="3077" width="2.625" style="3552" customWidth="1"/>
    <col min="3078" max="3078" width="6.5" style="3552" customWidth="1"/>
    <col min="3079" max="3079" width="16.125" style="3552" customWidth="1"/>
    <col min="3080" max="3080" width="33.375" style="3552" customWidth="1"/>
    <col min="3081" max="3081" width="5.125" style="3552" customWidth="1"/>
    <col min="3082" max="3082" width="11" style="3552" customWidth="1"/>
    <col min="3083" max="3083" width="2.875" style="3552" customWidth="1"/>
    <col min="3084" max="3084" width="20.5" style="3552" customWidth="1"/>
    <col min="3085" max="3085" width="42.125" style="3552" customWidth="1"/>
    <col min="3086" max="3086" width="6.625" style="3552" customWidth="1"/>
    <col min="3087" max="3087" width="5.875" style="3552" customWidth="1"/>
    <col min="3088" max="3088" width="11" style="3552" customWidth="1"/>
    <col min="3089" max="3089" width="3" style="3552" customWidth="1"/>
    <col min="3090" max="3090" width="15.125" style="3552" customWidth="1"/>
    <col min="3091" max="3091" width="29.5" style="3552" customWidth="1"/>
    <col min="3092" max="3092" width="5" style="3552" customWidth="1"/>
    <col min="3093" max="3094" width="11" style="3552" customWidth="1"/>
    <col min="3095" max="3095" width="3.625" style="3552" customWidth="1"/>
    <col min="3096" max="3096" width="11.5" style="3552" customWidth="1"/>
    <col min="3097" max="3097" width="27" style="3552" customWidth="1"/>
    <col min="3098" max="3098" width="5.625" style="3552" customWidth="1"/>
    <col min="3099" max="3099" width="6.875" style="3552" customWidth="1"/>
    <col min="3100" max="3100" width="11" style="3552" customWidth="1"/>
    <col min="3101" max="3101" width="3.125" style="3552" customWidth="1"/>
    <col min="3102" max="3102" width="15.375" style="3552" customWidth="1"/>
    <col min="3103" max="3103" width="16.625" style="3552" customWidth="1"/>
    <col min="3104" max="3104" width="6.125" style="3552" customWidth="1"/>
    <col min="3105" max="3105" width="6.375" style="3552" customWidth="1"/>
    <col min="3106" max="3106" width="11" style="3552" customWidth="1"/>
    <col min="3107" max="3107" width="3.125" style="3552" customWidth="1"/>
    <col min="3108" max="3109" width="11" style="3552" customWidth="1"/>
    <col min="3110" max="3110" width="3.625" style="3552" customWidth="1"/>
    <col min="3111" max="3328" width="11" style="3552"/>
    <col min="3329" max="3329" width="6.125" style="3552" customWidth="1"/>
    <col min="3330" max="3330" width="13.125" style="3552" customWidth="1"/>
    <col min="3331" max="3331" width="4.875" style="3552" customWidth="1"/>
    <col min="3332" max="3332" width="11" style="3552" customWidth="1"/>
    <col min="3333" max="3333" width="2.625" style="3552" customWidth="1"/>
    <col min="3334" max="3334" width="6.5" style="3552" customWidth="1"/>
    <col min="3335" max="3335" width="16.125" style="3552" customWidth="1"/>
    <col min="3336" max="3336" width="33.375" style="3552" customWidth="1"/>
    <col min="3337" max="3337" width="5.125" style="3552" customWidth="1"/>
    <col min="3338" max="3338" width="11" style="3552" customWidth="1"/>
    <col min="3339" max="3339" width="2.875" style="3552" customWidth="1"/>
    <col min="3340" max="3340" width="20.5" style="3552" customWidth="1"/>
    <col min="3341" max="3341" width="42.125" style="3552" customWidth="1"/>
    <col min="3342" max="3342" width="6.625" style="3552" customWidth="1"/>
    <col min="3343" max="3343" width="5.875" style="3552" customWidth="1"/>
    <col min="3344" max="3344" width="11" style="3552" customWidth="1"/>
    <col min="3345" max="3345" width="3" style="3552" customWidth="1"/>
    <col min="3346" max="3346" width="15.125" style="3552" customWidth="1"/>
    <col min="3347" max="3347" width="29.5" style="3552" customWidth="1"/>
    <col min="3348" max="3348" width="5" style="3552" customWidth="1"/>
    <col min="3349" max="3350" width="11" style="3552" customWidth="1"/>
    <col min="3351" max="3351" width="3.625" style="3552" customWidth="1"/>
    <col min="3352" max="3352" width="11.5" style="3552" customWidth="1"/>
    <col min="3353" max="3353" width="27" style="3552" customWidth="1"/>
    <col min="3354" max="3354" width="5.625" style="3552" customWidth="1"/>
    <col min="3355" max="3355" width="6.875" style="3552" customWidth="1"/>
    <col min="3356" max="3356" width="11" style="3552" customWidth="1"/>
    <col min="3357" max="3357" width="3.125" style="3552" customWidth="1"/>
    <col min="3358" max="3358" width="15.375" style="3552" customWidth="1"/>
    <col min="3359" max="3359" width="16.625" style="3552" customWidth="1"/>
    <col min="3360" max="3360" width="6.125" style="3552" customWidth="1"/>
    <col min="3361" max="3361" width="6.375" style="3552" customWidth="1"/>
    <col min="3362" max="3362" width="11" style="3552" customWidth="1"/>
    <col min="3363" max="3363" width="3.125" style="3552" customWidth="1"/>
    <col min="3364" max="3365" width="11" style="3552" customWidth="1"/>
    <col min="3366" max="3366" width="3.625" style="3552" customWidth="1"/>
    <col min="3367" max="3584" width="11" style="3552"/>
    <col min="3585" max="3585" width="6.125" style="3552" customWidth="1"/>
    <col min="3586" max="3586" width="13.125" style="3552" customWidth="1"/>
    <col min="3587" max="3587" width="4.875" style="3552" customWidth="1"/>
    <col min="3588" max="3588" width="11" style="3552" customWidth="1"/>
    <col min="3589" max="3589" width="2.625" style="3552" customWidth="1"/>
    <col min="3590" max="3590" width="6.5" style="3552" customWidth="1"/>
    <col min="3591" max="3591" width="16.125" style="3552" customWidth="1"/>
    <col min="3592" max="3592" width="33.375" style="3552" customWidth="1"/>
    <col min="3593" max="3593" width="5.125" style="3552" customWidth="1"/>
    <col min="3594" max="3594" width="11" style="3552" customWidth="1"/>
    <col min="3595" max="3595" width="2.875" style="3552" customWidth="1"/>
    <col min="3596" max="3596" width="20.5" style="3552" customWidth="1"/>
    <col min="3597" max="3597" width="42.125" style="3552" customWidth="1"/>
    <col min="3598" max="3598" width="6.625" style="3552" customWidth="1"/>
    <col min="3599" max="3599" width="5.875" style="3552" customWidth="1"/>
    <col min="3600" max="3600" width="11" style="3552" customWidth="1"/>
    <col min="3601" max="3601" width="3" style="3552" customWidth="1"/>
    <col min="3602" max="3602" width="15.125" style="3552" customWidth="1"/>
    <col min="3603" max="3603" width="29.5" style="3552" customWidth="1"/>
    <col min="3604" max="3604" width="5" style="3552" customWidth="1"/>
    <col min="3605" max="3606" width="11" style="3552" customWidth="1"/>
    <col min="3607" max="3607" width="3.625" style="3552" customWidth="1"/>
    <col min="3608" max="3608" width="11.5" style="3552" customWidth="1"/>
    <col min="3609" max="3609" width="27" style="3552" customWidth="1"/>
    <col min="3610" max="3610" width="5.625" style="3552" customWidth="1"/>
    <col min="3611" max="3611" width="6.875" style="3552" customWidth="1"/>
    <col min="3612" max="3612" width="11" style="3552" customWidth="1"/>
    <col min="3613" max="3613" width="3.125" style="3552" customWidth="1"/>
    <col min="3614" max="3614" width="15.375" style="3552" customWidth="1"/>
    <col min="3615" max="3615" width="16.625" style="3552" customWidth="1"/>
    <col min="3616" max="3616" width="6.125" style="3552" customWidth="1"/>
    <col min="3617" max="3617" width="6.375" style="3552" customWidth="1"/>
    <col min="3618" max="3618" width="11" style="3552" customWidth="1"/>
    <col min="3619" max="3619" width="3.125" style="3552" customWidth="1"/>
    <col min="3620" max="3621" width="11" style="3552" customWidth="1"/>
    <col min="3622" max="3622" width="3.625" style="3552" customWidth="1"/>
    <col min="3623" max="3840" width="11" style="3552"/>
    <col min="3841" max="3841" width="6.125" style="3552" customWidth="1"/>
    <col min="3842" max="3842" width="13.125" style="3552" customWidth="1"/>
    <col min="3843" max="3843" width="4.875" style="3552" customWidth="1"/>
    <col min="3844" max="3844" width="11" style="3552" customWidth="1"/>
    <col min="3845" max="3845" width="2.625" style="3552" customWidth="1"/>
    <col min="3846" max="3846" width="6.5" style="3552" customWidth="1"/>
    <col min="3847" max="3847" width="16.125" style="3552" customWidth="1"/>
    <col min="3848" max="3848" width="33.375" style="3552" customWidth="1"/>
    <col min="3849" max="3849" width="5.125" style="3552" customWidth="1"/>
    <col min="3850" max="3850" width="11" style="3552" customWidth="1"/>
    <col min="3851" max="3851" width="2.875" style="3552" customWidth="1"/>
    <col min="3852" max="3852" width="20.5" style="3552" customWidth="1"/>
    <col min="3853" max="3853" width="42.125" style="3552" customWidth="1"/>
    <col min="3854" max="3854" width="6.625" style="3552" customWidth="1"/>
    <col min="3855" max="3855" width="5.875" style="3552" customWidth="1"/>
    <col min="3856" max="3856" width="11" style="3552" customWidth="1"/>
    <col min="3857" max="3857" width="3" style="3552" customWidth="1"/>
    <col min="3858" max="3858" width="15.125" style="3552" customWidth="1"/>
    <col min="3859" max="3859" width="29.5" style="3552" customWidth="1"/>
    <col min="3860" max="3860" width="5" style="3552" customWidth="1"/>
    <col min="3861" max="3862" width="11" style="3552" customWidth="1"/>
    <col min="3863" max="3863" width="3.625" style="3552" customWidth="1"/>
    <col min="3864" max="3864" width="11.5" style="3552" customWidth="1"/>
    <col min="3865" max="3865" width="27" style="3552" customWidth="1"/>
    <col min="3866" max="3866" width="5.625" style="3552" customWidth="1"/>
    <col min="3867" max="3867" width="6.875" style="3552" customWidth="1"/>
    <col min="3868" max="3868" width="11" style="3552" customWidth="1"/>
    <col min="3869" max="3869" width="3.125" style="3552" customWidth="1"/>
    <col min="3870" max="3870" width="15.375" style="3552" customWidth="1"/>
    <col min="3871" max="3871" width="16.625" style="3552" customWidth="1"/>
    <col min="3872" max="3872" width="6.125" style="3552" customWidth="1"/>
    <col min="3873" max="3873" width="6.375" style="3552" customWidth="1"/>
    <col min="3874" max="3874" width="11" style="3552" customWidth="1"/>
    <col min="3875" max="3875" width="3.125" style="3552" customWidth="1"/>
    <col min="3876" max="3877" width="11" style="3552" customWidth="1"/>
    <col min="3878" max="3878" width="3.625" style="3552" customWidth="1"/>
    <col min="3879" max="4096" width="11" style="3552"/>
    <col min="4097" max="4097" width="6.125" style="3552" customWidth="1"/>
    <col min="4098" max="4098" width="13.125" style="3552" customWidth="1"/>
    <col min="4099" max="4099" width="4.875" style="3552" customWidth="1"/>
    <col min="4100" max="4100" width="11" style="3552" customWidth="1"/>
    <col min="4101" max="4101" width="2.625" style="3552" customWidth="1"/>
    <col min="4102" max="4102" width="6.5" style="3552" customWidth="1"/>
    <col min="4103" max="4103" width="16.125" style="3552" customWidth="1"/>
    <col min="4104" max="4104" width="33.375" style="3552" customWidth="1"/>
    <col min="4105" max="4105" width="5.125" style="3552" customWidth="1"/>
    <col min="4106" max="4106" width="11" style="3552" customWidth="1"/>
    <col min="4107" max="4107" width="2.875" style="3552" customWidth="1"/>
    <col min="4108" max="4108" width="20.5" style="3552" customWidth="1"/>
    <col min="4109" max="4109" width="42.125" style="3552" customWidth="1"/>
    <col min="4110" max="4110" width="6.625" style="3552" customWidth="1"/>
    <col min="4111" max="4111" width="5.875" style="3552" customWidth="1"/>
    <col min="4112" max="4112" width="11" style="3552" customWidth="1"/>
    <col min="4113" max="4113" width="3" style="3552" customWidth="1"/>
    <col min="4114" max="4114" width="15.125" style="3552" customWidth="1"/>
    <col min="4115" max="4115" width="29.5" style="3552" customWidth="1"/>
    <col min="4116" max="4116" width="5" style="3552" customWidth="1"/>
    <col min="4117" max="4118" width="11" style="3552" customWidth="1"/>
    <col min="4119" max="4119" width="3.625" style="3552" customWidth="1"/>
    <col min="4120" max="4120" width="11.5" style="3552" customWidth="1"/>
    <col min="4121" max="4121" width="27" style="3552" customWidth="1"/>
    <col min="4122" max="4122" width="5.625" style="3552" customWidth="1"/>
    <col min="4123" max="4123" width="6.875" style="3552" customWidth="1"/>
    <col min="4124" max="4124" width="11" style="3552" customWidth="1"/>
    <col min="4125" max="4125" width="3.125" style="3552" customWidth="1"/>
    <col min="4126" max="4126" width="15.375" style="3552" customWidth="1"/>
    <col min="4127" max="4127" width="16.625" style="3552" customWidth="1"/>
    <col min="4128" max="4128" width="6.125" style="3552" customWidth="1"/>
    <col min="4129" max="4129" width="6.375" style="3552" customWidth="1"/>
    <col min="4130" max="4130" width="11" style="3552" customWidth="1"/>
    <col min="4131" max="4131" width="3.125" style="3552" customWidth="1"/>
    <col min="4132" max="4133" width="11" style="3552" customWidth="1"/>
    <col min="4134" max="4134" width="3.625" style="3552" customWidth="1"/>
    <col min="4135" max="4352" width="11" style="3552"/>
    <col min="4353" max="4353" width="6.125" style="3552" customWidth="1"/>
    <col min="4354" max="4354" width="13.125" style="3552" customWidth="1"/>
    <col min="4355" max="4355" width="4.875" style="3552" customWidth="1"/>
    <col min="4356" max="4356" width="11" style="3552" customWidth="1"/>
    <col min="4357" max="4357" width="2.625" style="3552" customWidth="1"/>
    <col min="4358" max="4358" width="6.5" style="3552" customWidth="1"/>
    <col min="4359" max="4359" width="16.125" style="3552" customWidth="1"/>
    <col min="4360" max="4360" width="33.375" style="3552" customWidth="1"/>
    <col min="4361" max="4361" width="5.125" style="3552" customWidth="1"/>
    <col min="4362" max="4362" width="11" style="3552" customWidth="1"/>
    <col min="4363" max="4363" width="2.875" style="3552" customWidth="1"/>
    <col min="4364" max="4364" width="20.5" style="3552" customWidth="1"/>
    <col min="4365" max="4365" width="42.125" style="3552" customWidth="1"/>
    <col min="4366" max="4366" width="6.625" style="3552" customWidth="1"/>
    <col min="4367" max="4367" width="5.875" style="3552" customWidth="1"/>
    <col min="4368" max="4368" width="11" style="3552" customWidth="1"/>
    <col min="4369" max="4369" width="3" style="3552" customWidth="1"/>
    <col min="4370" max="4370" width="15.125" style="3552" customWidth="1"/>
    <col min="4371" max="4371" width="29.5" style="3552" customWidth="1"/>
    <col min="4372" max="4372" width="5" style="3552" customWidth="1"/>
    <col min="4373" max="4374" width="11" style="3552" customWidth="1"/>
    <col min="4375" max="4375" width="3.625" style="3552" customWidth="1"/>
    <col min="4376" max="4376" width="11.5" style="3552" customWidth="1"/>
    <col min="4377" max="4377" width="27" style="3552" customWidth="1"/>
    <col min="4378" max="4378" width="5.625" style="3552" customWidth="1"/>
    <col min="4379" max="4379" width="6.875" style="3552" customWidth="1"/>
    <col min="4380" max="4380" width="11" style="3552" customWidth="1"/>
    <col min="4381" max="4381" width="3.125" style="3552" customWidth="1"/>
    <col min="4382" max="4382" width="15.375" style="3552" customWidth="1"/>
    <col min="4383" max="4383" width="16.625" style="3552" customWidth="1"/>
    <col min="4384" max="4384" width="6.125" style="3552" customWidth="1"/>
    <col min="4385" max="4385" width="6.375" style="3552" customWidth="1"/>
    <col min="4386" max="4386" width="11" style="3552" customWidth="1"/>
    <col min="4387" max="4387" width="3.125" style="3552" customWidth="1"/>
    <col min="4388" max="4389" width="11" style="3552" customWidth="1"/>
    <col min="4390" max="4390" width="3.625" style="3552" customWidth="1"/>
    <col min="4391" max="4608" width="11" style="3552"/>
    <col min="4609" max="4609" width="6.125" style="3552" customWidth="1"/>
    <col min="4610" max="4610" width="13.125" style="3552" customWidth="1"/>
    <col min="4611" max="4611" width="4.875" style="3552" customWidth="1"/>
    <col min="4612" max="4612" width="11" style="3552" customWidth="1"/>
    <col min="4613" max="4613" width="2.625" style="3552" customWidth="1"/>
    <col min="4614" max="4614" width="6.5" style="3552" customWidth="1"/>
    <col min="4615" max="4615" width="16.125" style="3552" customWidth="1"/>
    <col min="4616" max="4616" width="33.375" style="3552" customWidth="1"/>
    <col min="4617" max="4617" width="5.125" style="3552" customWidth="1"/>
    <col min="4618" max="4618" width="11" style="3552" customWidth="1"/>
    <col min="4619" max="4619" width="2.875" style="3552" customWidth="1"/>
    <col min="4620" max="4620" width="20.5" style="3552" customWidth="1"/>
    <col min="4621" max="4621" width="42.125" style="3552" customWidth="1"/>
    <col min="4622" max="4622" width="6.625" style="3552" customWidth="1"/>
    <col min="4623" max="4623" width="5.875" style="3552" customWidth="1"/>
    <col min="4624" max="4624" width="11" style="3552" customWidth="1"/>
    <col min="4625" max="4625" width="3" style="3552" customWidth="1"/>
    <col min="4626" max="4626" width="15.125" style="3552" customWidth="1"/>
    <col min="4627" max="4627" width="29.5" style="3552" customWidth="1"/>
    <col min="4628" max="4628" width="5" style="3552" customWidth="1"/>
    <col min="4629" max="4630" width="11" style="3552" customWidth="1"/>
    <col min="4631" max="4631" width="3.625" style="3552" customWidth="1"/>
    <col min="4632" max="4632" width="11.5" style="3552" customWidth="1"/>
    <col min="4633" max="4633" width="27" style="3552" customWidth="1"/>
    <col min="4634" max="4634" width="5.625" style="3552" customWidth="1"/>
    <col min="4635" max="4635" width="6.875" style="3552" customWidth="1"/>
    <col min="4636" max="4636" width="11" style="3552" customWidth="1"/>
    <col min="4637" max="4637" width="3.125" style="3552" customWidth="1"/>
    <col min="4638" max="4638" width="15.375" style="3552" customWidth="1"/>
    <col min="4639" max="4639" width="16.625" style="3552" customWidth="1"/>
    <col min="4640" max="4640" width="6.125" style="3552" customWidth="1"/>
    <col min="4641" max="4641" width="6.375" style="3552" customWidth="1"/>
    <col min="4642" max="4642" width="11" style="3552" customWidth="1"/>
    <col min="4643" max="4643" width="3.125" style="3552" customWidth="1"/>
    <col min="4644" max="4645" width="11" style="3552" customWidth="1"/>
    <col min="4646" max="4646" width="3.625" style="3552" customWidth="1"/>
    <col min="4647" max="4864" width="11" style="3552"/>
    <col min="4865" max="4865" width="6.125" style="3552" customWidth="1"/>
    <col min="4866" max="4866" width="13.125" style="3552" customWidth="1"/>
    <col min="4867" max="4867" width="4.875" style="3552" customWidth="1"/>
    <col min="4868" max="4868" width="11" style="3552" customWidth="1"/>
    <col min="4869" max="4869" width="2.625" style="3552" customWidth="1"/>
    <col min="4870" max="4870" width="6.5" style="3552" customWidth="1"/>
    <col min="4871" max="4871" width="16.125" style="3552" customWidth="1"/>
    <col min="4872" max="4872" width="33.375" style="3552" customWidth="1"/>
    <col min="4873" max="4873" width="5.125" style="3552" customWidth="1"/>
    <col min="4874" max="4874" width="11" style="3552" customWidth="1"/>
    <col min="4875" max="4875" width="2.875" style="3552" customWidth="1"/>
    <col min="4876" max="4876" width="20.5" style="3552" customWidth="1"/>
    <col min="4877" max="4877" width="42.125" style="3552" customWidth="1"/>
    <col min="4878" max="4878" width="6.625" style="3552" customWidth="1"/>
    <col min="4879" max="4879" width="5.875" style="3552" customWidth="1"/>
    <col min="4880" max="4880" width="11" style="3552" customWidth="1"/>
    <col min="4881" max="4881" width="3" style="3552" customWidth="1"/>
    <col min="4882" max="4882" width="15.125" style="3552" customWidth="1"/>
    <col min="4883" max="4883" width="29.5" style="3552" customWidth="1"/>
    <col min="4884" max="4884" width="5" style="3552" customWidth="1"/>
    <col min="4885" max="4886" width="11" style="3552" customWidth="1"/>
    <col min="4887" max="4887" width="3.625" style="3552" customWidth="1"/>
    <col min="4888" max="4888" width="11.5" style="3552" customWidth="1"/>
    <col min="4889" max="4889" width="27" style="3552" customWidth="1"/>
    <col min="4890" max="4890" width="5.625" style="3552" customWidth="1"/>
    <col min="4891" max="4891" width="6.875" style="3552" customWidth="1"/>
    <col min="4892" max="4892" width="11" style="3552" customWidth="1"/>
    <col min="4893" max="4893" width="3.125" style="3552" customWidth="1"/>
    <col min="4894" max="4894" width="15.375" style="3552" customWidth="1"/>
    <col min="4895" max="4895" width="16.625" style="3552" customWidth="1"/>
    <col min="4896" max="4896" width="6.125" style="3552" customWidth="1"/>
    <col min="4897" max="4897" width="6.375" style="3552" customWidth="1"/>
    <col min="4898" max="4898" width="11" style="3552" customWidth="1"/>
    <col min="4899" max="4899" width="3.125" style="3552" customWidth="1"/>
    <col min="4900" max="4901" width="11" style="3552" customWidth="1"/>
    <col min="4902" max="4902" width="3.625" style="3552" customWidth="1"/>
    <col min="4903" max="5120" width="11" style="3552"/>
    <col min="5121" max="5121" width="6.125" style="3552" customWidth="1"/>
    <col min="5122" max="5122" width="13.125" style="3552" customWidth="1"/>
    <col min="5123" max="5123" width="4.875" style="3552" customWidth="1"/>
    <col min="5124" max="5124" width="11" style="3552" customWidth="1"/>
    <col min="5125" max="5125" width="2.625" style="3552" customWidth="1"/>
    <col min="5126" max="5126" width="6.5" style="3552" customWidth="1"/>
    <col min="5127" max="5127" width="16.125" style="3552" customWidth="1"/>
    <col min="5128" max="5128" width="33.375" style="3552" customWidth="1"/>
    <col min="5129" max="5129" width="5.125" style="3552" customWidth="1"/>
    <col min="5130" max="5130" width="11" style="3552" customWidth="1"/>
    <col min="5131" max="5131" width="2.875" style="3552" customWidth="1"/>
    <col min="5132" max="5132" width="20.5" style="3552" customWidth="1"/>
    <col min="5133" max="5133" width="42.125" style="3552" customWidth="1"/>
    <col min="5134" max="5134" width="6.625" style="3552" customWidth="1"/>
    <col min="5135" max="5135" width="5.875" style="3552" customWidth="1"/>
    <col min="5136" max="5136" width="11" style="3552" customWidth="1"/>
    <col min="5137" max="5137" width="3" style="3552" customWidth="1"/>
    <col min="5138" max="5138" width="15.125" style="3552" customWidth="1"/>
    <col min="5139" max="5139" width="29.5" style="3552" customWidth="1"/>
    <col min="5140" max="5140" width="5" style="3552" customWidth="1"/>
    <col min="5141" max="5142" width="11" style="3552" customWidth="1"/>
    <col min="5143" max="5143" width="3.625" style="3552" customWidth="1"/>
    <col min="5144" max="5144" width="11.5" style="3552" customWidth="1"/>
    <col min="5145" max="5145" width="27" style="3552" customWidth="1"/>
    <col min="5146" max="5146" width="5.625" style="3552" customWidth="1"/>
    <col min="5147" max="5147" width="6.875" style="3552" customWidth="1"/>
    <col min="5148" max="5148" width="11" style="3552" customWidth="1"/>
    <col min="5149" max="5149" width="3.125" style="3552" customWidth="1"/>
    <col min="5150" max="5150" width="15.375" style="3552" customWidth="1"/>
    <col min="5151" max="5151" width="16.625" style="3552" customWidth="1"/>
    <col min="5152" max="5152" width="6.125" style="3552" customWidth="1"/>
    <col min="5153" max="5153" width="6.375" style="3552" customWidth="1"/>
    <col min="5154" max="5154" width="11" style="3552" customWidth="1"/>
    <col min="5155" max="5155" width="3.125" style="3552" customWidth="1"/>
    <col min="5156" max="5157" width="11" style="3552" customWidth="1"/>
    <col min="5158" max="5158" width="3.625" style="3552" customWidth="1"/>
    <col min="5159" max="5376" width="11" style="3552"/>
    <col min="5377" max="5377" width="6.125" style="3552" customWidth="1"/>
    <col min="5378" max="5378" width="13.125" style="3552" customWidth="1"/>
    <col min="5379" max="5379" width="4.875" style="3552" customWidth="1"/>
    <col min="5380" max="5380" width="11" style="3552" customWidth="1"/>
    <col min="5381" max="5381" width="2.625" style="3552" customWidth="1"/>
    <col min="5382" max="5382" width="6.5" style="3552" customWidth="1"/>
    <col min="5383" max="5383" width="16.125" style="3552" customWidth="1"/>
    <col min="5384" max="5384" width="33.375" style="3552" customWidth="1"/>
    <col min="5385" max="5385" width="5.125" style="3552" customWidth="1"/>
    <col min="5386" max="5386" width="11" style="3552" customWidth="1"/>
    <col min="5387" max="5387" width="2.875" style="3552" customWidth="1"/>
    <col min="5388" max="5388" width="20.5" style="3552" customWidth="1"/>
    <col min="5389" max="5389" width="42.125" style="3552" customWidth="1"/>
    <col min="5390" max="5390" width="6.625" style="3552" customWidth="1"/>
    <col min="5391" max="5391" width="5.875" style="3552" customWidth="1"/>
    <col min="5392" max="5392" width="11" style="3552" customWidth="1"/>
    <col min="5393" max="5393" width="3" style="3552" customWidth="1"/>
    <col min="5394" max="5394" width="15.125" style="3552" customWidth="1"/>
    <col min="5395" max="5395" width="29.5" style="3552" customWidth="1"/>
    <col min="5396" max="5396" width="5" style="3552" customWidth="1"/>
    <col min="5397" max="5398" width="11" style="3552" customWidth="1"/>
    <col min="5399" max="5399" width="3.625" style="3552" customWidth="1"/>
    <col min="5400" max="5400" width="11.5" style="3552" customWidth="1"/>
    <col min="5401" max="5401" width="27" style="3552" customWidth="1"/>
    <col min="5402" max="5402" width="5.625" style="3552" customWidth="1"/>
    <col min="5403" max="5403" width="6.875" style="3552" customWidth="1"/>
    <col min="5404" max="5404" width="11" style="3552" customWidth="1"/>
    <col min="5405" max="5405" width="3.125" style="3552" customWidth="1"/>
    <col min="5406" max="5406" width="15.375" style="3552" customWidth="1"/>
    <col min="5407" max="5407" width="16.625" style="3552" customWidth="1"/>
    <col min="5408" max="5408" width="6.125" style="3552" customWidth="1"/>
    <col min="5409" max="5409" width="6.375" style="3552" customWidth="1"/>
    <col min="5410" max="5410" width="11" style="3552" customWidth="1"/>
    <col min="5411" max="5411" width="3.125" style="3552" customWidth="1"/>
    <col min="5412" max="5413" width="11" style="3552" customWidth="1"/>
    <col min="5414" max="5414" width="3.625" style="3552" customWidth="1"/>
    <col min="5415" max="5632" width="11" style="3552"/>
    <col min="5633" max="5633" width="6.125" style="3552" customWidth="1"/>
    <col min="5634" max="5634" width="13.125" style="3552" customWidth="1"/>
    <col min="5635" max="5635" width="4.875" style="3552" customWidth="1"/>
    <col min="5636" max="5636" width="11" style="3552" customWidth="1"/>
    <col min="5637" max="5637" width="2.625" style="3552" customWidth="1"/>
    <col min="5638" max="5638" width="6.5" style="3552" customWidth="1"/>
    <col min="5639" max="5639" width="16.125" style="3552" customWidth="1"/>
    <col min="5640" max="5640" width="33.375" style="3552" customWidth="1"/>
    <col min="5641" max="5641" width="5.125" style="3552" customWidth="1"/>
    <col min="5642" max="5642" width="11" style="3552" customWidth="1"/>
    <col min="5643" max="5643" width="2.875" style="3552" customWidth="1"/>
    <col min="5644" max="5644" width="20.5" style="3552" customWidth="1"/>
    <col min="5645" max="5645" width="42.125" style="3552" customWidth="1"/>
    <col min="5646" max="5646" width="6.625" style="3552" customWidth="1"/>
    <col min="5647" max="5647" width="5.875" style="3552" customWidth="1"/>
    <col min="5648" max="5648" width="11" style="3552" customWidth="1"/>
    <col min="5649" max="5649" width="3" style="3552" customWidth="1"/>
    <col min="5650" max="5650" width="15.125" style="3552" customWidth="1"/>
    <col min="5651" max="5651" width="29.5" style="3552" customWidth="1"/>
    <col min="5652" max="5652" width="5" style="3552" customWidth="1"/>
    <col min="5653" max="5654" width="11" style="3552" customWidth="1"/>
    <col min="5655" max="5655" width="3.625" style="3552" customWidth="1"/>
    <col min="5656" max="5656" width="11.5" style="3552" customWidth="1"/>
    <col min="5657" max="5657" width="27" style="3552" customWidth="1"/>
    <col min="5658" max="5658" width="5.625" style="3552" customWidth="1"/>
    <col min="5659" max="5659" width="6.875" style="3552" customWidth="1"/>
    <col min="5660" max="5660" width="11" style="3552" customWidth="1"/>
    <col min="5661" max="5661" width="3.125" style="3552" customWidth="1"/>
    <col min="5662" max="5662" width="15.375" style="3552" customWidth="1"/>
    <col min="5663" max="5663" width="16.625" style="3552" customWidth="1"/>
    <col min="5664" max="5664" width="6.125" style="3552" customWidth="1"/>
    <col min="5665" max="5665" width="6.375" style="3552" customWidth="1"/>
    <col min="5666" max="5666" width="11" style="3552" customWidth="1"/>
    <col min="5667" max="5667" width="3.125" style="3552" customWidth="1"/>
    <col min="5668" max="5669" width="11" style="3552" customWidth="1"/>
    <col min="5670" max="5670" width="3.625" style="3552" customWidth="1"/>
    <col min="5671" max="5888" width="11" style="3552"/>
    <col min="5889" max="5889" width="6.125" style="3552" customWidth="1"/>
    <col min="5890" max="5890" width="13.125" style="3552" customWidth="1"/>
    <col min="5891" max="5891" width="4.875" style="3552" customWidth="1"/>
    <col min="5892" max="5892" width="11" style="3552" customWidth="1"/>
    <col min="5893" max="5893" width="2.625" style="3552" customWidth="1"/>
    <col min="5894" max="5894" width="6.5" style="3552" customWidth="1"/>
    <col min="5895" max="5895" width="16.125" style="3552" customWidth="1"/>
    <col min="5896" max="5896" width="33.375" style="3552" customWidth="1"/>
    <col min="5897" max="5897" width="5.125" style="3552" customWidth="1"/>
    <col min="5898" max="5898" width="11" style="3552" customWidth="1"/>
    <col min="5899" max="5899" width="2.875" style="3552" customWidth="1"/>
    <col min="5900" max="5900" width="20.5" style="3552" customWidth="1"/>
    <col min="5901" max="5901" width="42.125" style="3552" customWidth="1"/>
    <col min="5902" max="5902" width="6.625" style="3552" customWidth="1"/>
    <col min="5903" max="5903" width="5.875" style="3552" customWidth="1"/>
    <col min="5904" max="5904" width="11" style="3552" customWidth="1"/>
    <col min="5905" max="5905" width="3" style="3552" customWidth="1"/>
    <col min="5906" max="5906" width="15.125" style="3552" customWidth="1"/>
    <col min="5907" max="5907" width="29.5" style="3552" customWidth="1"/>
    <col min="5908" max="5908" width="5" style="3552" customWidth="1"/>
    <col min="5909" max="5910" width="11" style="3552" customWidth="1"/>
    <col min="5911" max="5911" width="3.625" style="3552" customWidth="1"/>
    <col min="5912" max="5912" width="11.5" style="3552" customWidth="1"/>
    <col min="5913" max="5913" width="27" style="3552" customWidth="1"/>
    <col min="5914" max="5914" width="5.625" style="3552" customWidth="1"/>
    <col min="5915" max="5915" width="6.875" style="3552" customWidth="1"/>
    <col min="5916" max="5916" width="11" style="3552" customWidth="1"/>
    <col min="5917" max="5917" width="3.125" style="3552" customWidth="1"/>
    <col min="5918" max="5918" width="15.375" style="3552" customWidth="1"/>
    <col min="5919" max="5919" width="16.625" style="3552" customWidth="1"/>
    <col min="5920" max="5920" width="6.125" style="3552" customWidth="1"/>
    <col min="5921" max="5921" width="6.375" style="3552" customWidth="1"/>
    <col min="5922" max="5922" width="11" style="3552" customWidth="1"/>
    <col min="5923" max="5923" width="3.125" style="3552" customWidth="1"/>
    <col min="5924" max="5925" width="11" style="3552" customWidth="1"/>
    <col min="5926" max="5926" width="3.625" style="3552" customWidth="1"/>
    <col min="5927" max="6144" width="11" style="3552"/>
    <col min="6145" max="6145" width="6.125" style="3552" customWidth="1"/>
    <col min="6146" max="6146" width="13.125" style="3552" customWidth="1"/>
    <col min="6147" max="6147" width="4.875" style="3552" customWidth="1"/>
    <col min="6148" max="6148" width="11" style="3552" customWidth="1"/>
    <col min="6149" max="6149" width="2.625" style="3552" customWidth="1"/>
    <col min="6150" max="6150" width="6.5" style="3552" customWidth="1"/>
    <col min="6151" max="6151" width="16.125" style="3552" customWidth="1"/>
    <col min="6152" max="6152" width="33.375" style="3552" customWidth="1"/>
    <col min="6153" max="6153" width="5.125" style="3552" customWidth="1"/>
    <col min="6154" max="6154" width="11" style="3552" customWidth="1"/>
    <col min="6155" max="6155" width="2.875" style="3552" customWidth="1"/>
    <col min="6156" max="6156" width="20.5" style="3552" customWidth="1"/>
    <col min="6157" max="6157" width="42.125" style="3552" customWidth="1"/>
    <col min="6158" max="6158" width="6.625" style="3552" customWidth="1"/>
    <col min="6159" max="6159" width="5.875" style="3552" customWidth="1"/>
    <col min="6160" max="6160" width="11" style="3552" customWidth="1"/>
    <col min="6161" max="6161" width="3" style="3552" customWidth="1"/>
    <col min="6162" max="6162" width="15.125" style="3552" customWidth="1"/>
    <col min="6163" max="6163" width="29.5" style="3552" customWidth="1"/>
    <col min="6164" max="6164" width="5" style="3552" customWidth="1"/>
    <col min="6165" max="6166" width="11" style="3552" customWidth="1"/>
    <col min="6167" max="6167" width="3.625" style="3552" customWidth="1"/>
    <col min="6168" max="6168" width="11.5" style="3552" customWidth="1"/>
    <col min="6169" max="6169" width="27" style="3552" customWidth="1"/>
    <col min="6170" max="6170" width="5.625" style="3552" customWidth="1"/>
    <col min="6171" max="6171" width="6.875" style="3552" customWidth="1"/>
    <col min="6172" max="6172" width="11" style="3552" customWidth="1"/>
    <col min="6173" max="6173" width="3.125" style="3552" customWidth="1"/>
    <col min="6174" max="6174" width="15.375" style="3552" customWidth="1"/>
    <col min="6175" max="6175" width="16.625" style="3552" customWidth="1"/>
    <col min="6176" max="6176" width="6.125" style="3552" customWidth="1"/>
    <col min="6177" max="6177" width="6.375" style="3552" customWidth="1"/>
    <col min="6178" max="6178" width="11" style="3552" customWidth="1"/>
    <col min="6179" max="6179" width="3.125" style="3552" customWidth="1"/>
    <col min="6180" max="6181" width="11" style="3552" customWidth="1"/>
    <col min="6182" max="6182" width="3.625" style="3552" customWidth="1"/>
    <col min="6183" max="6400" width="11" style="3552"/>
    <col min="6401" max="6401" width="6.125" style="3552" customWidth="1"/>
    <col min="6402" max="6402" width="13.125" style="3552" customWidth="1"/>
    <col min="6403" max="6403" width="4.875" style="3552" customWidth="1"/>
    <col min="6404" max="6404" width="11" style="3552" customWidth="1"/>
    <col min="6405" max="6405" width="2.625" style="3552" customWidth="1"/>
    <col min="6406" max="6406" width="6.5" style="3552" customWidth="1"/>
    <col min="6407" max="6407" width="16.125" style="3552" customWidth="1"/>
    <col min="6408" max="6408" width="33.375" style="3552" customWidth="1"/>
    <col min="6409" max="6409" width="5.125" style="3552" customWidth="1"/>
    <col min="6410" max="6410" width="11" style="3552" customWidth="1"/>
    <col min="6411" max="6411" width="2.875" style="3552" customWidth="1"/>
    <col min="6412" max="6412" width="20.5" style="3552" customWidth="1"/>
    <col min="6413" max="6413" width="42.125" style="3552" customWidth="1"/>
    <col min="6414" max="6414" width="6.625" style="3552" customWidth="1"/>
    <col min="6415" max="6415" width="5.875" style="3552" customWidth="1"/>
    <col min="6416" max="6416" width="11" style="3552" customWidth="1"/>
    <col min="6417" max="6417" width="3" style="3552" customWidth="1"/>
    <col min="6418" max="6418" width="15.125" style="3552" customWidth="1"/>
    <col min="6419" max="6419" width="29.5" style="3552" customWidth="1"/>
    <col min="6420" max="6420" width="5" style="3552" customWidth="1"/>
    <col min="6421" max="6422" width="11" style="3552" customWidth="1"/>
    <col min="6423" max="6423" width="3.625" style="3552" customWidth="1"/>
    <col min="6424" max="6424" width="11.5" style="3552" customWidth="1"/>
    <col min="6425" max="6425" width="27" style="3552" customWidth="1"/>
    <col min="6426" max="6426" width="5.625" style="3552" customWidth="1"/>
    <col min="6427" max="6427" width="6.875" style="3552" customWidth="1"/>
    <col min="6428" max="6428" width="11" style="3552" customWidth="1"/>
    <col min="6429" max="6429" width="3.125" style="3552" customWidth="1"/>
    <col min="6430" max="6430" width="15.375" style="3552" customWidth="1"/>
    <col min="6431" max="6431" width="16.625" style="3552" customWidth="1"/>
    <col min="6432" max="6432" width="6.125" style="3552" customWidth="1"/>
    <col min="6433" max="6433" width="6.375" style="3552" customWidth="1"/>
    <col min="6434" max="6434" width="11" style="3552" customWidth="1"/>
    <col min="6435" max="6435" width="3.125" style="3552" customWidth="1"/>
    <col min="6436" max="6437" width="11" style="3552" customWidth="1"/>
    <col min="6438" max="6438" width="3.625" style="3552" customWidth="1"/>
    <col min="6439" max="6656" width="11" style="3552"/>
    <col min="6657" max="6657" width="6.125" style="3552" customWidth="1"/>
    <col min="6658" max="6658" width="13.125" style="3552" customWidth="1"/>
    <col min="6659" max="6659" width="4.875" style="3552" customWidth="1"/>
    <col min="6660" max="6660" width="11" style="3552" customWidth="1"/>
    <col min="6661" max="6661" width="2.625" style="3552" customWidth="1"/>
    <col min="6662" max="6662" width="6.5" style="3552" customWidth="1"/>
    <col min="6663" max="6663" width="16.125" style="3552" customWidth="1"/>
    <col min="6664" max="6664" width="33.375" style="3552" customWidth="1"/>
    <col min="6665" max="6665" width="5.125" style="3552" customWidth="1"/>
    <col min="6666" max="6666" width="11" style="3552" customWidth="1"/>
    <col min="6667" max="6667" width="2.875" style="3552" customWidth="1"/>
    <col min="6668" max="6668" width="20.5" style="3552" customWidth="1"/>
    <col min="6669" max="6669" width="42.125" style="3552" customWidth="1"/>
    <col min="6670" max="6670" width="6.625" style="3552" customWidth="1"/>
    <col min="6671" max="6671" width="5.875" style="3552" customWidth="1"/>
    <col min="6672" max="6672" width="11" style="3552" customWidth="1"/>
    <col min="6673" max="6673" width="3" style="3552" customWidth="1"/>
    <col min="6674" max="6674" width="15.125" style="3552" customWidth="1"/>
    <col min="6675" max="6675" width="29.5" style="3552" customWidth="1"/>
    <col min="6676" max="6676" width="5" style="3552" customWidth="1"/>
    <col min="6677" max="6678" width="11" style="3552" customWidth="1"/>
    <col min="6679" max="6679" width="3.625" style="3552" customWidth="1"/>
    <col min="6680" max="6680" width="11.5" style="3552" customWidth="1"/>
    <col min="6681" max="6681" width="27" style="3552" customWidth="1"/>
    <col min="6682" max="6682" width="5.625" style="3552" customWidth="1"/>
    <col min="6683" max="6683" width="6.875" style="3552" customWidth="1"/>
    <col min="6684" max="6684" width="11" style="3552" customWidth="1"/>
    <col min="6685" max="6685" width="3.125" style="3552" customWidth="1"/>
    <col min="6686" max="6686" width="15.375" style="3552" customWidth="1"/>
    <col min="6687" max="6687" width="16.625" style="3552" customWidth="1"/>
    <col min="6688" max="6688" width="6.125" style="3552" customWidth="1"/>
    <col min="6689" max="6689" width="6.375" style="3552" customWidth="1"/>
    <col min="6690" max="6690" width="11" style="3552" customWidth="1"/>
    <col min="6691" max="6691" width="3.125" style="3552" customWidth="1"/>
    <col min="6692" max="6693" width="11" style="3552" customWidth="1"/>
    <col min="6694" max="6694" width="3.625" style="3552" customWidth="1"/>
    <col min="6695" max="6912" width="11" style="3552"/>
    <col min="6913" max="6913" width="6.125" style="3552" customWidth="1"/>
    <col min="6914" max="6914" width="13.125" style="3552" customWidth="1"/>
    <col min="6915" max="6915" width="4.875" style="3552" customWidth="1"/>
    <col min="6916" max="6916" width="11" style="3552" customWidth="1"/>
    <col min="6917" max="6917" width="2.625" style="3552" customWidth="1"/>
    <col min="6918" max="6918" width="6.5" style="3552" customWidth="1"/>
    <col min="6919" max="6919" width="16.125" style="3552" customWidth="1"/>
    <col min="6920" max="6920" width="33.375" style="3552" customWidth="1"/>
    <col min="6921" max="6921" width="5.125" style="3552" customWidth="1"/>
    <col min="6922" max="6922" width="11" style="3552" customWidth="1"/>
    <col min="6923" max="6923" width="2.875" style="3552" customWidth="1"/>
    <col min="6924" max="6924" width="20.5" style="3552" customWidth="1"/>
    <col min="6925" max="6925" width="42.125" style="3552" customWidth="1"/>
    <col min="6926" max="6926" width="6.625" style="3552" customWidth="1"/>
    <col min="6927" max="6927" width="5.875" style="3552" customWidth="1"/>
    <col min="6928" max="6928" width="11" style="3552" customWidth="1"/>
    <col min="6929" max="6929" width="3" style="3552" customWidth="1"/>
    <col min="6930" max="6930" width="15.125" style="3552" customWidth="1"/>
    <col min="6931" max="6931" width="29.5" style="3552" customWidth="1"/>
    <col min="6932" max="6932" width="5" style="3552" customWidth="1"/>
    <col min="6933" max="6934" width="11" style="3552" customWidth="1"/>
    <col min="6935" max="6935" width="3.625" style="3552" customWidth="1"/>
    <col min="6936" max="6936" width="11.5" style="3552" customWidth="1"/>
    <col min="6937" max="6937" width="27" style="3552" customWidth="1"/>
    <col min="6938" max="6938" width="5.625" style="3552" customWidth="1"/>
    <col min="6939" max="6939" width="6.875" style="3552" customWidth="1"/>
    <col min="6940" max="6940" width="11" style="3552" customWidth="1"/>
    <col min="6941" max="6941" width="3.125" style="3552" customWidth="1"/>
    <col min="6942" max="6942" width="15.375" style="3552" customWidth="1"/>
    <col min="6943" max="6943" width="16.625" style="3552" customWidth="1"/>
    <col min="6944" max="6944" width="6.125" style="3552" customWidth="1"/>
    <col min="6945" max="6945" width="6.375" style="3552" customWidth="1"/>
    <col min="6946" max="6946" width="11" style="3552" customWidth="1"/>
    <col min="6947" max="6947" width="3.125" style="3552" customWidth="1"/>
    <col min="6948" max="6949" width="11" style="3552" customWidth="1"/>
    <col min="6950" max="6950" width="3.625" style="3552" customWidth="1"/>
    <col min="6951" max="7168" width="11" style="3552"/>
    <col min="7169" max="7169" width="6.125" style="3552" customWidth="1"/>
    <col min="7170" max="7170" width="13.125" style="3552" customWidth="1"/>
    <col min="7171" max="7171" width="4.875" style="3552" customWidth="1"/>
    <col min="7172" max="7172" width="11" style="3552" customWidth="1"/>
    <col min="7173" max="7173" width="2.625" style="3552" customWidth="1"/>
    <col min="7174" max="7174" width="6.5" style="3552" customWidth="1"/>
    <col min="7175" max="7175" width="16.125" style="3552" customWidth="1"/>
    <col min="7176" max="7176" width="33.375" style="3552" customWidth="1"/>
    <col min="7177" max="7177" width="5.125" style="3552" customWidth="1"/>
    <col min="7178" max="7178" width="11" style="3552" customWidth="1"/>
    <col min="7179" max="7179" width="2.875" style="3552" customWidth="1"/>
    <col min="7180" max="7180" width="20.5" style="3552" customWidth="1"/>
    <col min="7181" max="7181" width="42.125" style="3552" customWidth="1"/>
    <col min="7182" max="7182" width="6.625" style="3552" customWidth="1"/>
    <col min="7183" max="7183" width="5.875" style="3552" customWidth="1"/>
    <col min="7184" max="7184" width="11" style="3552" customWidth="1"/>
    <col min="7185" max="7185" width="3" style="3552" customWidth="1"/>
    <col min="7186" max="7186" width="15.125" style="3552" customWidth="1"/>
    <col min="7187" max="7187" width="29.5" style="3552" customWidth="1"/>
    <col min="7188" max="7188" width="5" style="3552" customWidth="1"/>
    <col min="7189" max="7190" width="11" style="3552" customWidth="1"/>
    <col min="7191" max="7191" width="3.625" style="3552" customWidth="1"/>
    <col min="7192" max="7192" width="11.5" style="3552" customWidth="1"/>
    <col min="7193" max="7193" width="27" style="3552" customWidth="1"/>
    <col min="7194" max="7194" width="5.625" style="3552" customWidth="1"/>
    <col min="7195" max="7195" width="6.875" style="3552" customWidth="1"/>
    <col min="7196" max="7196" width="11" style="3552" customWidth="1"/>
    <col min="7197" max="7197" width="3.125" style="3552" customWidth="1"/>
    <col min="7198" max="7198" width="15.375" style="3552" customWidth="1"/>
    <col min="7199" max="7199" width="16.625" style="3552" customWidth="1"/>
    <col min="7200" max="7200" width="6.125" style="3552" customWidth="1"/>
    <col min="7201" max="7201" width="6.375" style="3552" customWidth="1"/>
    <col min="7202" max="7202" width="11" style="3552" customWidth="1"/>
    <col min="7203" max="7203" width="3.125" style="3552" customWidth="1"/>
    <col min="7204" max="7205" width="11" style="3552" customWidth="1"/>
    <col min="7206" max="7206" width="3.625" style="3552" customWidth="1"/>
    <col min="7207" max="7424" width="11" style="3552"/>
    <col min="7425" max="7425" width="6.125" style="3552" customWidth="1"/>
    <col min="7426" max="7426" width="13.125" style="3552" customWidth="1"/>
    <col min="7427" max="7427" width="4.875" style="3552" customWidth="1"/>
    <col min="7428" max="7428" width="11" style="3552" customWidth="1"/>
    <col min="7429" max="7429" width="2.625" style="3552" customWidth="1"/>
    <col min="7430" max="7430" width="6.5" style="3552" customWidth="1"/>
    <col min="7431" max="7431" width="16.125" style="3552" customWidth="1"/>
    <col min="7432" max="7432" width="33.375" style="3552" customWidth="1"/>
    <col min="7433" max="7433" width="5.125" style="3552" customWidth="1"/>
    <col min="7434" max="7434" width="11" style="3552" customWidth="1"/>
    <col min="7435" max="7435" width="2.875" style="3552" customWidth="1"/>
    <col min="7436" max="7436" width="20.5" style="3552" customWidth="1"/>
    <col min="7437" max="7437" width="42.125" style="3552" customWidth="1"/>
    <col min="7438" max="7438" width="6.625" style="3552" customWidth="1"/>
    <col min="7439" max="7439" width="5.875" style="3552" customWidth="1"/>
    <col min="7440" max="7440" width="11" style="3552" customWidth="1"/>
    <col min="7441" max="7441" width="3" style="3552" customWidth="1"/>
    <col min="7442" max="7442" width="15.125" style="3552" customWidth="1"/>
    <col min="7443" max="7443" width="29.5" style="3552" customWidth="1"/>
    <col min="7444" max="7444" width="5" style="3552" customWidth="1"/>
    <col min="7445" max="7446" width="11" style="3552" customWidth="1"/>
    <col min="7447" max="7447" width="3.625" style="3552" customWidth="1"/>
    <col min="7448" max="7448" width="11.5" style="3552" customWidth="1"/>
    <col min="7449" max="7449" width="27" style="3552" customWidth="1"/>
    <col min="7450" max="7450" width="5.625" style="3552" customWidth="1"/>
    <col min="7451" max="7451" width="6.875" style="3552" customWidth="1"/>
    <col min="7452" max="7452" width="11" style="3552" customWidth="1"/>
    <col min="7453" max="7453" width="3.125" style="3552" customWidth="1"/>
    <col min="7454" max="7454" width="15.375" style="3552" customWidth="1"/>
    <col min="7455" max="7455" width="16.625" style="3552" customWidth="1"/>
    <col min="7456" max="7456" width="6.125" style="3552" customWidth="1"/>
    <col min="7457" max="7457" width="6.375" style="3552" customWidth="1"/>
    <col min="7458" max="7458" width="11" style="3552" customWidth="1"/>
    <col min="7459" max="7459" width="3.125" style="3552" customWidth="1"/>
    <col min="7460" max="7461" width="11" style="3552" customWidth="1"/>
    <col min="7462" max="7462" width="3.625" style="3552" customWidth="1"/>
    <col min="7463" max="7680" width="11" style="3552"/>
    <col min="7681" max="7681" width="6.125" style="3552" customWidth="1"/>
    <col min="7682" max="7682" width="13.125" style="3552" customWidth="1"/>
    <col min="7683" max="7683" width="4.875" style="3552" customWidth="1"/>
    <col min="7684" max="7684" width="11" style="3552" customWidth="1"/>
    <col min="7685" max="7685" width="2.625" style="3552" customWidth="1"/>
    <col min="7686" max="7686" width="6.5" style="3552" customWidth="1"/>
    <col min="7687" max="7687" width="16.125" style="3552" customWidth="1"/>
    <col min="7688" max="7688" width="33.375" style="3552" customWidth="1"/>
    <col min="7689" max="7689" width="5.125" style="3552" customWidth="1"/>
    <col min="7690" max="7690" width="11" style="3552" customWidth="1"/>
    <col min="7691" max="7691" width="2.875" style="3552" customWidth="1"/>
    <col min="7692" max="7692" width="20.5" style="3552" customWidth="1"/>
    <col min="7693" max="7693" width="42.125" style="3552" customWidth="1"/>
    <col min="7694" max="7694" width="6.625" style="3552" customWidth="1"/>
    <col min="7695" max="7695" width="5.875" style="3552" customWidth="1"/>
    <col min="7696" max="7696" width="11" style="3552" customWidth="1"/>
    <col min="7697" max="7697" width="3" style="3552" customWidth="1"/>
    <col min="7698" max="7698" width="15.125" style="3552" customWidth="1"/>
    <col min="7699" max="7699" width="29.5" style="3552" customWidth="1"/>
    <col min="7700" max="7700" width="5" style="3552" customWidth="1"/>
    <col min="7701" max="7702" width="11" style="3552" customWidth="1"/>
    <col min="7703" max="7703" width="3.625" style="3552" customWidth="1"/>
    <col min="7704" max="7704" width="11.5" style="3552" customWidth="1"/>
    <col min="7705" max="7705" width="27" style="3552" customWidth="1"/>
    <col min="7706" max="7706" width="5.625" style="3552" customWidth="1"/>
    <col min="7707" max="7707" width="6.875" style="3552" customWidth="1"/>
    <col min="7708" max="7708" width="11" style="3552" customWidth="1"/>
    <col min="7709" max="7709" width="3.125" style="3552" customWidth="1"/>
    <col min="7710" max="7710" width="15.375" style="3552" customWidth="1"/>
    <col min="7711" max="7711" width="16.625" style="3552" customWidth="1"/>
    <col min="7712" max="7712" width="6.125" style="3552" customWidth="1"/>
    <col min="7713" max="7713" width="6.375" style="3552" customWidth="1"/>
    <col min="7714" max="7714" width="11" style="3552" customWidth="1"/>
    <col min="7715" max="7715" width="3.125" style="3552" customWidth="1"/>
    <col min="7716" max="7717" width="11" style="3552" customWidth="1"/>
    <col min="7718" max="7718" width="3.625" style="3552" customWidth="1"/>
    <col min="7719" max="7936" width="11" style="3552"/>
    <col min="7937" max="7937" width="6.125" style="3552" customWidth="1"/>
    <col min="7938" max="7938" width="13.125" style="3552" customWidth="1"/>
    <col min="7939" max="7939" width="4.875" style="3552" customWidth="1"/>
    <col min="7940" max="7940" width="11" style="3552" customWidth="1"/>
    <col min="7941" max="7941" width="2.625" style="3552" customWidth="1"/>
    <col min="7942" max="7942" width="6.5" style="3552" customWidth="1"/>
    <col min="7943" max="7943" width="16.125" style="3552" customWidth="1"/>
    <col min="7944" max="7944" width="33.375" style="3552" customWidth="1"/>
    <col min="7945" max="7945" width="5.125" style="3552" customWidth="1"/>
    <col min="7946" max="7946" width="11" style="3552" customWidth="1"/>
    <col min="7947" max="7947" width="2.875" style="3552" customWidth="1"/>
    <col min="7948" max="7948" width="20.5" style="3552" customWidth="1"/>
    <col min="7949" max="7949" width="42.125" style="3552" customWidth="1"/>
    <col min="7950" max="7950" width="6.625" style="3552" customWidth="1"/>
    <col min="7951" max="7951" width="5.875" style="3552" customWidth="1"/>
    <col min="7952" max="7952" width="11" style="3552" customWidth="1"/>
    <col min="7953" max="7953" width="3" style="3552" customWidth="1"/>
    <col min="7954" max="7954" width="15.125" style="3552" customWidth="1"/>
    <col min="7955" max="7955" width="29.5" style="3552" customWidth="1"/>
    <col min="7956" max="7956" width="5" style="3552" customWidth="1"/>
    <col min="7957" max="7958" width="11" style="3552" customWidth="1"/>
    <col min="7959" max="7959" width="3.625" style="3552" customWidth="1"/>
    <col min="7960" max="7960" width="11.5" style="3552" customWidth="1"/>
    <col min="7961" max="7961" width="27" style="3552" customWidth="1"/>
    <col min="7962" max="7962" width="5.625" style="3552" customWidth="1"/>
    <col min="7963" max="7963" width="6.875" style="3552" customWidth="1"/>
    <col min="7964" max="7964" width="11" style="3552" customWidth="1"/>
    <col min="7965" max="7965" width="3.125" style="3552" customWidth="1"/>
    <col min="7966" max="7966" width="15.375" style="3552" customWidth="1"/>
    <col min="7967" max="7967" width="16.625" style="3552" customWidth="1"/>
    <col min="7968" max="7968" width="6.125" style="3552" customWidth="1"/>
    <col min="7969" max="7969" width="6.375" style="3552" customWidth="1"/>
    <col min="7970" max="7970" width="11" style="3552" customWidth="1"/>
    <col min="7971" max="7971" width="3.125" style="3552" customWidth="1"/>
    <col min="7972" max="7973" width="11" style="3552" customWidth="1"/>
    <col min="7974" max="7974" width="3.625" style="3552" customWidth="1"/>
    <col min="7975" max="8192" width="11" style="3552"/>
    <col min="8193" max="8193" width="6.125" style="3552" customWidth="1"/>
    <col min="8194" max="8194" width="13.125" style="3552" customWidth="1"/>
    <col min="8195" max="8195" width="4.875" style="3552" customWidth="1"/>
    <col min="8196" max="8196" width="11" style="3552" customWidth="1"/>
    <col min="8197" max="8197" width="2.625" style="3552" customWidth="1"/>
    <col min="8198" max="8198" width="6.5" style="3552" customWidth="1"/>
    <col min="8199" max="8199" width="16.125" style="3552" customWidth="1"/>
    <col min="8200" max="8200" width="33.375" style="3552" customWidth="1"/>
    <col min="8201" max="8201" width="5.125" style="3552" customWidth="1"/>
    <col min="8202" max="8202" width="11" style="3552" customWidth="1"/>
    <col min="8203" max="8203" width="2.875" style="3552" customWidth="1"/>
    <col min="8204" max="8204" width="20.5" style="3552" customWidth="1"/>
    <col min="8205" max="8205" width="42.125" style="3552" customWidth="1"/>
    <col min="8206" max="8206" width="6.625" style="3552" customWidth="1"/>
    <col min="8207" max="8207" width="5.875" style="3552" customWidth="1"/>
    <col min="8208" max="8208" width="11" style="3552" customWidth="1"/>
    <col min="8209" max="8209" width="3" style="3552" customWidth="1"/>
    <col min="8210" max="8210" width="15.125" style="3552" customWidth="1"/>
    <col min="8211" max="8211" width="29.5" style="3552" customWidth="1"/>
    <col min="8212" max="8212" width="5" style="3552" customWidth="1"/>
    <col min="8213" max="8214" width="11" style="3552" customWidth="1"/>
    <col min="8215" max="8215" width="3.625" style="3552" customWidth="1"/>
    <col min="8216" max="8216" width="11.5" style="3552" customWidth="1"/>
    <col min="8217" max="8217" width="27" style="3552" customWidth="1"/>
    <col min="8218" max="8218" width="5.625" style="3552" customWidth="1"/>
    <col min="8219" max="8219" width="6.875" style="3552" customWidth="1"/>
    <col min="8220" max="8220" width="11" style="3552" customWidth="1"/>
    <col min="8221" max="8221" width="3.125" style="3552" customWidth="1"/>
    <col min="8222" max="8222" width="15.375" style="3552" customWidth="1"/>
    <col min="8223" max="8223" width="16.625" style="3552" customWidth="1"/>
    <col min="8224" max="8224" width="6.125" style="3552" customWidth="1"/>
    <col min="8225" max="8225" width="6.375" style="3552" customWidth="1"/>
    <col min="8226" max="8226" width="11" style="3552" customWidth="1"/>
    <col min="8227" max="8227" width="3.125" style="3552" customWidth="1"/>
    <col min="8228" max="8229" width="11" style="3552" customWidth="1"/>
    <col min="8230" max="8230" width="3.625" style="3552" customWidth="1"/>
    <col min="8231" max="8448" width="11" style="3552"/>
    <col min="8449" max="8449" width="6.125" style="3552" customWidth="1"/>
    <col min="8450" max="8450" width="13.125" style="3552" customWidth="1"/>
    <col min="8451" max="8451" width="4.875" style="3552" customWidth="1"/>
    <col min="8452" max="8452" width="11" style="3552" customWidth="1"/>
    <col min="8453" max="8453" width="2.625" style="3552" customWidth="1"/>
    <col min="8454" max="8454" width="6.5" style="3552" customWidth="1"/>
    <col min="8455" max="8455" width="16.125" style="3552" customWidth="1"/>
    <col min="8456" max="8456" width="33.375" style="3552" customWidth="1"/>
    <col min="8457" max="8457" width="5.125" style="3552" customWidth="1"/>
    <col min="8458" max="8458" width="11" style="3552" customWidth="1"/>
    <col min="8459" max="8459" width="2.875" style="3552" customWidth="1"/>
    <col min="8460" max="8460" width="20.5" style="3552" customWidth="1"/>
    <col min="8461" max="8461" width="42.125" style="3552" customWidth="1"/>
    <col min="8462" max="8462" width="6.625" style="3552" customWidth="1"/>
    <col min="8463" max="8463" width="5.875" style="3552" customWidth="1"/>
    <col min="8464" max="8464" width="11" style="3552" customWidth="1"/>
    <col min="8465" max="8465" width="3" style="3552" customWidth="1"/>
    <col min="8466" max="8466" width="15.125" style="3552" customWidth="1"/>
    <col min="8467" max="8467" width="29.5" style="3552" customWidth="1"/>
    <col min="8468" max="8468" width="5" style="3552" customWidth="1"/>
    <col min="8469" max="8470" width="11" style="3552" customWidth="1"/>
    <col min="8471" max="8471" width="3.625" style="3552" customWidth="1"/>
    <col min="8472" max="8472" width="11.5" style="3552" customWidth="1"/>
    <col min="8473" max="8473" width="27" style="3552" customWidth="1"/>
    <col min="8474" max="8474" width="5.625" style="3552" customWidth="1"/>
    <col min="8475" max="8475" width="6.875" style="3552" customWidth="1"/>
    <col min="8476" max="8476" width="11" style="3552" customWidth="1"/>
    <col min="8477" max="8477" width="3.125" style="3552" customWidth="1"/>
    <col min="8478" max="8478" width="15.375" style="3552" customWidth="1"/>
    <col min="8479" max="8479" width="16.625" style="3552" customWidth="1"/>
    <col min="8480" max="8480" width="6.125" style="3552" customWidth="1"/>
    <col min="8481" max="8481" width="6.375" style="3552" customWidth="1"/>
    <col min="8482" max="8482" width="11" style="3552" customWidth="1"/>
    <col min="8483" max="8483" width="3.125" style="3552" customWidth="1"/>
    <col min="8484" max="8485" width="11" style="3552" customWidth="1"/>
    <col min="8486" max="8486" width="3.625" style="3552" customWidth="1"/>
    <col min="8487" max="8704" width="11" style="3552"/>
    <col min="8705" max="8705" width="6.125" style="3552" customWidth="1"/>
    <col min="8706" max="8706" width="13.125" style="3552" customWidth="1"/>
    <col min="8707" max="8707" width="4.875" style="3552" customWidth="1"/>
    <col min="8708" max="8708" width="11" style="3552" customWidth="1"/>
    <col min="8709" max="8709" width="2.625" style="3552" customWidth="1"/>
    <col min="8710" max="8710" width="6.5" style="3552" customWidth="1"/>
    <col min="8711" max="8711" width="16.125" style="3552" customWidth="1"/>
    <col min="8712" max="8712" width="33.375" style="3552" customWidth="1"/>
    <col min="8713" max="8713" width="5.125" style="3552" customWidth="1"/>
    <col min="8714" max="8714" width="11" style="3552" customWidth="1"/>
    <col min="8715" max="8715" width="2.875" style="3552" customWidth="1"/>
    <col min="8716" max="8716" width="20.5" style="3552" customWidth="1"/>
    <col min="8717" max="8717" width="42.125" style="3552" customWidth="1"/>
    <col min="8718" max="8718" width="6.625" style="3552" customWidth="1"/>
    <col min="8719" max="8719" width="5.875" style="3552" customWidth="1"/>
    <col min="8720" max="8720" width="11" style="3552" customWidth="1"/>
    <col min="8721" max="8721" width="3" style="3552" customWidth="1"/>
    <col min="8722" max="8722" width="15.125" style="3552" customWidth="1"/>
    <col min="8723" max="8723" width="29.5" style="3552" customWidth="1"/>
    <col min="8724" max="8724" width="5" style="3552" customWidth="1"/>
    <col min="8725" max="8726" width="11" style="3552" customWidth="1"/>
    <col min="8727" max="8727" width="3.625" style="3552" customWidth="1"/>
    <col min="8728" max="8728" width="11.5" style="3552" customWidth="1"/>
    <col min="8729" max="8729" width="27" style="3552" customWidth="1"/>
    <col min="8730" max="8730" width="5.625" style="3552" customWidth="1"/>
    <col min="8731" max="8731" width="6.875" style="3552" customWidth="1"/>
    <col min="8732" max="8732" width="11" style="3552" customWidth="1"/>
    <col min="8733" max="8733" width="3.125" style="3552" customWidth="1"/>
    <col min="8734" max="8734" width="15.375" style="3552" customWidth="1"/>
    <col min="8735" max="8735" width="16.625" style="3552" customWidth="1"/>
    <col min="8736" max="8736" width="6.125" style="3552" customWidth="1"/>
    <col min="8737" max="8737" width="6.375" style="3552" customWidth="1"/>
    <col min="8738" max="8738" width="11" style="3552" customWidth="1"/>
    <col min="8739" max="8739" width="3.125" style="3552" customWidth="1"/>
    <col min="8740" max="8741" width="11" style="3552" customWidth="1"/>
    <col min="8742" max="8742" width="3.625" style="3552" customWidth="1"/>
    <col min="8743" max="8960" width="11" style="3552"/>
    <col min="8961" max="8961" width="6.125" style="3552" customWidth="1"/>
    <col min="8962" max="8962" width="13.125" style="3552" customWidth="1"/>
    <col min="8963" max="8963" width="4.875" style="3552" customWidth="1"/>
    <col min="8964" max="8964" width="11" style="3552" customWidth="1"/>
    <col min="8965" max="8965" width="2.625" style="3552" customWidth="1"/>
    <col min="8966" max="8966" width="6.5" style="3552" customWidth="1"/>
    <col min="8967" max="8967" width="16.125" style="3552" customWidth="1"/>
    <col min="8968" max="8968" width="33.375" style="3552" customWidth="1"/>
    <col min="8969" max="8969" width="5.125" style="3552" customWidth="1"/>
    <col min="8970" max="8970" width="11" style="3552" customWidth="1"/>
    <col min="8971" max="8971" width="2.875" style="3552" customWidth="1"/>
    <col min="8972" max="8972" width="20.5" style="3552" customWidth="1"/>
    <col min="8973" max="8973" width="42.125" style="3552" customWidth="1"/>
    <col min="8974" max="8974" width="6.625" style="3552" customWidth="1"/>
    <col min="8975" max="8975" width="5.875" style="3552" customWidth="1"/>
    <col min="8976" max="8976" width="11" style="3552" customWidth="1"/>
    <col min="8977" max="8977" width="3" style="3552" customWidth="1"/>
    <col min="8978" max="8978" width="15.125" style="3552" customWidth="1"/>
    <col min="8979" max="8979" width="29.5" style="3552" customWidth="1"/>
    <col min="8980" max="8980" width="5" style="3552" customWidth="1"/>
    <col min="8981" max="8982" width="11" style="3552" customWidth="1"/>
    <col min="8983" max="8983" width="3.625" style="3552" customWidth="1"/>
    <col min="8984" max="8984" width="11.5" style="3552" customWidth="1"/>
    <col min="8985" max="8985" width="27" style="3552" customWidth="1"/>
    <col min="8986" max="8986" width="5.625" style="3552" customWidth="1"/>
    <col min="8987" max="8987" width="6.875" style="3552" customWidth="1"/>
    <col min="8988" max="8988" width="11" style="3552" customWidth="1"/>
    <col min="8989" max="8989" width="3.125" style="3552" customWidth="1"/>
    <col min="8990" max="8990" width="15.375" style="3552" customWidth="1"/>
    <col min="8991" max="8991" width="16.625" style="3552" customWidth="1"/>
    <col min="8992" max="8992" width="6.125" style="3552" customWidth="1"/>
    <col min="8993" max="8993" width="6.375" style="3552" customWidth="1"/>
    <col min="8994" max="8994" width="11" style="3552" customWidth="1"/>
    <col min="8995" max="8995" width="3.125" style="3552" customWidth="1"/>
    <col min="8996" max="8997" width="11" style="3552" customWidth="1"/>
    <col min="8998" max="8998" width="3.625" style="3552" customWidth="1"/>
    <col min="8999" max="9216" width="11" style="3552"/>
    <col min="9217" max="9217" width="6.125" style="3552" customWidth="1"/>
    <col min="9218" max="9218" width="13.125" style="3552" customWidth="1"/>
    <col min="9219" max="9219" width="4.875" style="3552" customWidth="1"/>
    <col min="9220" max="9220" width="11" style="3552" customWidth="1"/>
    <col min="9221" max="9221" width="2.625" style="3552" customWidth="1"/>
    <col min="9222" max="9222" width="6.5" style="3552" customWidth="1"/>
    <col min="9223" max="9223" width="16.125" style="3552" customWidth="1"/>
    <col min="9224" max="9224" width="33.375" style="3552" customWidth="1"/>
    <col min="9225" max="9225" width="5.125" style="3552" customWidth="1"/>
    <col min="9226" max="9226" width="11" style="3552" customWidth="1"/>
    <col min="9227" max="9227" width="2.875" style="3552" customWidth="1"/>
    <col min="9228" max="9228" width="20.5" style="3552" customWidth="1"/>
    <col min="9229" max="9229" width="42.125" style="3552" customWidth="1"/>
    <col min="9230" max="9230" width="6.625" style="3552" customWidth="1"/>
    <col min="9231" max="9231" width="5.875" style="3552" customWidth="1"/>
    <col min="9232" max="9232" width="11" style="3552" customWidth="1"/>
    <col min="9233" max="9233" width="3" style="3552" customWidth="1"/>
    <col min="9234" max="9234" width="15.125" style="3552" customWidth="1"/>
    <col min="9235" max="9235" width="29.5" style="3552" customWidth="1"/>
    <col min="9236" max="9236" width="5" style="3552" customWidth="1"/>
    <col min="9237" max="9238" width="11" style="3552" customWidth="1"/>
    <col min="9239" max="9239" width="3.625" style="3552" customWidth="1"/>
    <col min="9240" max="9240" width="11.5" style="3552" customWidth="1"/>
    <col min="9241" max="9241" width="27" style="3552" customWidth="1"/>
    <col min="9242" max="9242" width="5.625" style="3552" customWidth="1"/>
    <col min="9243" max="9243" width="6.875" style="3552" customWidth="1"/>
    <col min="9244" max="9244" width="11" style="3552" customWidth="1"/>
    <col min="9245" max="9245" width="3.125" style="3552" customWidth="1"/>
    <col min="9246" max="9246" width="15.375" style="3552" customWidth="1"/>
    <col min="9247" max="9247" width="16.625" style="3552" customWidth="1"/>
    <col min="9248" max="9248" width="6.125" style="3552" customWidth="1"/>
    <col min="9249" max="9249" width="6.375" style="3552" customWidth="1"/>
    <col min="9250" max="9250" width="11" style="3552" customWidth="1"/>
    <col min="9251" max="9251" width="3.125" style="3552" customWidth="1"/>
    <col min="9252" max="9253" width="11" style="3552" customWidth="1"/>
    <col min="9254" max="9254" width="3.625" style="3552" customWidth="1"/>
    <col min="9255" max="9472" width="11" style="3552"/>
    <col min="9473" max="9473" width="6.125" style="3552" customWidth="1"/>
    <col min="9474" max="9474" width="13.125" style="3552" customWidth="1"/>
    <col min="9475" max="9475" width="4.875" style="3552" customWidth="1"/>
    <col min="9476" max="9476" width="11" style="3552" customWidth="1"/>
    <col min="9477" max="9477" width="2.625" style="3552" customWidth="1"/>
    <col min="9478" max="9478" width="6.5" style="3552" customWidth="1"/>
    <col min="9479" max="9479" width="16.125" style="3552" customWidth="1"/>
    <col min="9480" max="9480" width="33.375" style="3552" customWidth="1"/>
    <col min="9481" max="9481" width="5.125" style="3552" customWidth="1"/>
    <col min="9482" max="9482" width="11" style="3552" customWidth="1"/>
    <col min="9483" max="9483" width="2.875" style="3552" customWidth="1"/>
    <col min="9484" max="9484" width="20.5" style="3552" customWidth="1"/>
    <col min="9485" max="9485" width="42.125" style="3552" customWidth="1"/>
    <col min="9486" max="9486" width="6.625" style="3552" customWidth="1"/>
    <col min="9487" max="9487" width="5.875" style="3552" customWidth="1"/>
    <col min="9488" max="9488" width="11" style="3552" customWidth="1"/>
    <col min="9489" max="9489" width="3" style="3552" customWidth="1"/>
    <col min="9490" max="9490" width="15.125" style="3552" customWidth="1"/>
    <col min="9491" max="9491" width="29.5" style="3552" customWidth="1"/>
    <col min="9492" max="9492" width="5" style="3552" customWidth="1"/>
    <col min="9493" max="9494" width="11" style="3552" customWidth="1"/>
    <col min="9495" max="9495" width="3.625" style="3552" customWidth="1"/>
    <col min="9496" max="9496" width="11.5" style="3552" customWidth="1"/>
    <col min="9497" max="9497" width="27" style="3552" customWidth="1"/>
    <col min="9498" max="9498" width="5.625" style="3552" customWidth="1"/>
    <col min="9499" max="9499" width="6.875" style="3552" customWidth="1"/>
    <col min="9500" max="9500" width="11" style="3552" customWidth="1"/>
    <col min="9501" max="9501" width="3.125" style="3552" customWidth="1"/>
    <col min="9502" max="9502" width="15.375" style="3552" customWidth="1"/>
    <col min="9503" max="9503" width="16.625" style="3552" customWidth="1"/>
    <col min="9504" max="9504" width="6.125" style="3552" customWidth="1"/>
    <col min="9505" max="9505" width="6.375" style="3552" customWidth="1"/>
    <col min="9506" max="9506" width="11" style="3552" customWidth="1"/>
    <col min="9507" max="9507" width="3.125" style="3552" customWidth="1"/>
    <col min="9508" max="9509" width="11" style="3552" customWidth="1"/>
    <col min="9510" max="9510" width="3.625" style="3552" customWidth="1"/>
    <col min="9511" max="9728" width="11" style="3552"/>
    <col min="9729" max="9729" width="6.125" style="3552" customWidth="1"/>
    <col min="9730" max="9730" width="13.125" style="3552" customWidth="1"/>
    <col min="9731" max="9731" width="4.875" style="3552" customWidth="1"/>
    <col min="9732" max="9732" width="11" style="3552" customWidth="1"/>
    <col min="9733" max="9733" width="2.625" style="3552" customWidth="1"/>
    <col min="9734" max="9734" width="6.5" style="3552" customWidth="1"/>
    <col min="9735" max="9735" width="16.125" style="3552" customWidth="1"/>
    <col min="9736" max="9736" width="33.375" style="3552" customWidth="1"/>
    <col min="9737" max="9737" width="5.125" style="3552" customWidth="1"/>
    <col min="9738" max="9738" width="11" style="3552" customWidth="1"/>
    <col min="9739" max="9739" width="2.875" style="3552" customWidth="1"/>
    <col min="9740" max="9740" width="20.5" style="3552" customWidth="1"/>
    <col min="9741" max="9741" width="42.125" style="3552" customWidth="1"/>
    <col min="9742" max="9742" width="6.625" style="3552" customWidth="1"/>
    <col min="9743" max="9743" width="5.875" style="3552" customWidth="1"/>
    <col min="9744" max="9744" width="11" style="3552" customWidth="1"/>
    <col min="9745" max="9745" width="3" style="3552" customWidth="1"/>
    <col min="9746" max="9746" width="15.125" style="3552" customWidth="1"/>
    <col min="9747" max="9747" width="29.5" style="3552" customWidth="1"/>
    <col min="9748" max="9748" width="5" style="3552" customWidth="1"/>
    <col min="9749" max="9750" width="11" style="3552" customWidth="1"/>
    <col min="9751" max="9751" width="3.625" style="3552" customWidth="1"/>
    <col min="9752" max="9752" width="11.5" style="3552" customWidth="1"/>
    <col min="9753" max="9753" width="27" style="3552" customWidth="1"/>
    <col min="9754" max="9754" width="5.625" style="3552" customWidth="1"/>
    <col min="9755" max="9755" width="6.875" style="3552" customWidth="1"/>
    <col min="9756" max="9756" width="11" style="3552" customWidth="1"/>
    <col min="9757" max="9757" width="3.125" style="3552" customWidth="1"/>
    <col min="9758" max="9758" width="15.375" style="3552" customWidth="1"/>
    <col min="9759" max="9759" width="16.625" style="3552" customWidth="1"/>
    <col min="9760" max="9760" width="6.125" style="3552" customWidth="1"/>
    <col min="9761" max="9761" width="6.375" style="3552" customWidth="1"/>
    <col min="9762" max="9762" width="11" style="3552" customWidth="1"/>
    <col min="9763" max="9763" width="3.125" style="3552" customWidth="1"/>
    <col min="9764" max="9765" width="11" style="3552" customWidth="1"/>
    <col min="9766" max="9766" width="3.625" style="3552" customWidth="1"/>
    <col min="9767" max="9984" width="11" style="3552"/>
    <col min="9985" max="9985" width="6.125" style="3552" customWidth="1"/>
    <col min="9986" max="9986" width="13.125" style="3552" customWidth="1"/>
    <col min="9987" max="9987" width="4.875" style="3552" customWidth="1"/>
    <col min="9988" max="9988" width="11" style="3552" customWidth="1"/>
    <col min="9989" max="9989" width="2.625" style="3552" customWidth="1"/>
    <col min="9990" max="9990" width="6.5" style="3552" customWidth="1"/>
    <col min="9991" max="9991" width="16.125" style="3552" customWidth="1"/>
    <col min="9992" max="9992" width="33.375" style="3552" customWidth="1"/>
    <col min="9993" max="9993" width="5.125" style="3552" customWidth="1"/>
    <col min="9994" max="9994" width="11" style="3552" customWidth="1"/>
    <col min="9995" max="9995" width="2.875" style="3552" customWidth="1"/>
    <col min="9996" max="9996" width="20.5" style="3552" customWidth="1"/>
    <col min="9997" max="9997" width="42.125" style="3552" customWidth="1"/>
    <col min="9998" max="9998" width="6.625" style="3552" customWidth="1"/>
    <col min="9999" max="9999" width="5.875" style="3552" customWidth="1"/>
    <col min="10000" max="10000" width="11" style="3552" customWidth="1"/>
    <col min="10001" max="10001" width="3" style="3552" customWidth="1"/>
    <col min="10002" max="10002" width="15.125" style="3552" customWidth="1"/>
    <col min="10003" max="10003" width="29.5" style="3552" customWidth="1"/>
    <col min="10004" max="10004" width="5" style="3552" customWidth="1"/>
    <col min="10005" max="10006" width="11" style="3552" customWidth="1"/>
    <col min="10007" max="10007" width="3.625" style="3552" customWidth="1"/>
    <col min="10008" max="10008" width="11.5" style="3552" customWidth="1"/>
    <col min="10009" max="10009" width="27" style="3552" customWidth="1"/>
    <col min="10010" max="10010" width="5.625" style="3552" customWidth="1"/>
    <col min="10011" max="10011" width="6.875" style="3552" customWidth="1"/>
    <col min="10012" max="10012" width="11" style="3552" customWidth="1"/>
    <col min="10013" max="10013" width="3.125" style="3552" customWidth="1"/>
    <col min="10014" max="10014" width="15.375" style="3552" customWidth="1"/>
    <col min="10015" max="10015" width="16.625" style="3552" customWidth="1"/>
    <col min="10016" max="10016" width="6.125" style="3552" customWidth="1"/>
    <col min="10017" max="10017" width="6.375" style="3552" customWidth="1"/>
    <col min="10018" max="10018" width="11" style="3552" customWidth="1"/>
    <col min="10019" max="10019" width="3.125" style="3552" customWidth="1"/>
    <col min="10020" max="10021" width="11" style="3552" customWidth="1"/>
    <col min="10022" max="10022" width="3.625" style="3552" customWidth="1"/>
    <col min="10023" max="10240" width="11" style="3552"/>
    <col min="10241" max="10241" width="6.125" style="3552" customWidth="1"/>
    <col min="10242" max="10242" width="13.125" style="3552" customWidth="1"/>
    <col min="10243" max="10243" width="4.875" style="3552" customWidth="1"/>
    <col min="10244" max="10244" width="11" style="3552" customWidth="1"/>
    <col min="10245" max="10245" width="2.625" style="3552" customWidth="1"/>
    <col min="10246" max="10246" width="6.5" style="3552" customWidth="1"/>
    <col min="10247" max="10247" width="16.125" style="3552" customWidth="1"/>
    <col min="10248" max="10248" width="33.375" style="3552" customWidth="1"/>
    <col min="10249" max="10249" width="5.125" style="3552" customWidth="1"/>
    <col min="10250" max="10250" width="11" style="3552" customWidth="1"/>
    <col min="10251" max="10251" width="2.875" style="3552" customWidth="1"/>
    <col min="10252" max="10252" width="20.5" style="3552" customWidth="1"/>
    <col min="10253" max="10253" width="42.125" style="3552" customWidth="1"/>
    <col min="10254" max="10254" width="6.625" style="3552" customWidth="1"/>
    <col min="10255" max="10255" width="5.875" style="3552" customWidth="1"/>
    <col min="10256" max="10256" width="11" style="3552" customWidth="1"/>
    <col min="10257" max="10257" width="3" style="3552" customWidth="1"/>
    <col min="10258" max="10258" width="15.125" style="3552" customWidth="1"/>
    <col min="10259" max="10259" width="29.5" style="3552" customWidth="1"/>
    <col min="10260" max="10260" width="5" style="3552" customWidth="1"/>
    <col min="10261" max="10262" width="11" style="3552" customWidth="1"/>
    <col min="10263" max="10263" width="3.625" style="3552" customWidth="1"/>
    <col min="10264" max="10264" width="11.5" style="3552" customWidth="1"/>
    <col min="10265" max="10265" width="27" style="3552" customWidth="1"/>
    <col min="10266" max="10266" width="5.625" style="3552" customWidth="1"/>
    <col min="10267" max="10267" width="6.875" style="3552" customWidth="1"/>
    <col min="10268" max="10268" width="11" style="3552" customWidth="1"/>
    <col min="10269" max="10269" width="3.125" style="3552" customWidth="1"/>
    <col min="10270" max="10270" width="15.375" style="3552" customWidth="1"/>
    <col min="10271" max="10271" width="16.625" style="3552" customWidth="1"/>
    <col min="10272" max="10272" width="6.125" style="3552" customWidth="1"/>
    <col min="10273" max="10273" width="6.375" style="3552" customWidth="1"/>
    <col min="10274" max="10274" width="11" style="3552" customWidth="1"/>
    <col min="10275" max="10275" width="3.125" style="3552" customWidth="1"/>
    <col min="10276" max="10277" width="11" style="3552" customWidth="1"/>
    <col min="10278" max="10278" width="3.625" style="3552" customWidth="1"/>
    <col min="10279" max="10496" width="11" style="3552"/>
    <col min="10497" max="10497" width="6.125" style="3552" customWidth="1"/>
    <col min="10498" max="10498" width="13.125" style="3552" customWidth="1"/>
    <col min="10499" max="10499" width="4.875" style="3552" customWidth="1"/>
    <col min="10500" max="10500" width="11" style="3552" customWidth="1"/>
    <col min="10501" max="10501" width="2.625" style="3552" customWidth="1"/>
    <col min="10502" max="10502" width="6.5" style="3552" customWidth="1"/>
    <col min="10503" max="10503" width="16.125" style="3552" customWidth="1"/>
    <col min="10504" max="10504" width="33.375" style="3552" customWidth="1"/>
    <col min="10505" max="10505" width="5.125" style="3552" customWidth="1"/>
    <col min="10506" max="10506" width="11" style="3552" customWidth="1"/>
    <col min="10507" max="10507" width="2.875" style="3552" customWidth="1"/>
    <col min="10508" max="10508" width="20.5" style="3552" customWidth="1"/>
    <col min="10509" max="10509" width="42.125" style="3552" customWidth="1"/>
    <col min="10510" max="10510" width="6.625" style="3552" customWidth="1"/>
    <col min="10511" max="10511" width="5.875" style="3552" customWidth="1"/>
    <col min="10512" max="10512" width="11" style="3552" customWidth="1"/>
    <col min="10513" max="10513" width="3" style="3552" customWidth="1"/>
    <col min="10514" max="10514" width="15.125" style="3552" customWidth="1"/>
    <col min="10515" max="10515" width="29.5" style="3552" customWidth="1"/>
    <col min="10516" max="10516" width="5" style="3552" customWidth="1"/>
    <col min="10517" max="10518" width="11" style="3552" customWidth="1"/>
    <col min="10519" max="10519" width="3.625" style="3552" customWidth="1"/>
    <col min="10520" max="10520" width="11.5" style="3552" customWidth="1"/>
    <col min="10521" max="10521" width="27" style="3552" customWidth="1"/>
    <col min="10522" max="10522" width="5.625" style="3552" customWidth="1"/>
    <col min="10523" max="10523" width="6.875" style="3552" customWidth="1"/>
    <col min="10524" max="10524" width="11" style="3552" customWidth="1"/>
    <col min="10525" max="10525" width="3.125" style="3552" customWidth="1"/>
    <col min="10526" max="10526" width="15.375" style="3552" customWidth="1"/>
    <col min="10527" max="10527" width="16.625" style="3552" customWidth="1"/>
    <col min="10528" max="10528" width="6.125" style="3552" customWidth="1"/>
    <col min="10529" max="10529" width="6.375" style="3552" customWidth="1"/>
    <col min="10530" max="10530" width="11" style="3552" customWidth="1"/>
    <col min="10531" max="10531" width="3.125" style="3552" customWidth="1"/>
    <col min="10532" max="10533" width="11" style="3552" customWidth="1"/>
    <col min="10534" max="10534" width="3.625" style="3552" customWidth="1"/>
    <col min="10535" max="10752" width="11" style="3552"/>
    <col min="10753" max="10753" width="6.125" style="3552" customWidth="1"/>
    <col min="10754" max="10754" width="13.125" style="3552" customWidth="1"/>
    <col min="10755" max="10755" width="4.875" style="3552" customWidth="1"/>
    <col min="10756" max="10756" width="11" style="3552" customWidth="1"/>
    <col min="10757" max="10757" width="2.625" style="3552" customWidth="1"/>
    <col min="10758" max="10758" width="6.5" style="3552" customWidth="1"/>
    <col min="10759" max="10759" width="16.125" style="3552" customWidth="1"/>
    <col min="10760" max="10760" width="33.375" style="3552" customWidth="1"/>
    <col min="10761" max="10761" width="5.125" style="3552" customWidth="1"/>
    <col min="10762" max="10762" width="11" style="3552" customWidth="1"/>
    <col min="10763" max="10763" width="2.875" style="3552" customWidth="1"/>
    <col min="10764" max="10764" width="20.5" style="3552" customWidth="1"/>
    <col min="10765" max="10765" width="42.125" style="3552" customWidth="1"/>
    <col min="10766" max="10766" width="6.625" style="3552" customWidth="1"/>
    <col min="10767" max="10767" width="5.875" style="3552" customWidth="1"/>
    <col min="10768" max="10768" width="11" style="3552" customWidth="1"/>
    <col min="10769" max="10769" width="3" style="3552" customWidth="1"/>
    <col min="10770" max="10770" width="15.125" style="3552" customWidth="1"/>
    <col min="10771" max="10771" width="29.5" style="3552" customWidth="1"/>
    <col min="10772" max="10772" width="5" style="3552" customWidth="1"/>
    <col min="10773" max="10774" width="11" style="3552" customWidth="1"/>
    <col min="10775" max="10775" width="3.625" style="3552" customWidth="1"/>
    <col min="10776" max="10776" width="11.5" style="3552" customWidth="1"/>
    <col min="10777" max="10777" width="27" style="3552" customWidth="1"/>
    <col min="10778" max="10778" width="5.625" style="3552" customWidth="1"/>
    <col min="10779" max="10779" width="6.875" style="3552" customWidth="1"/>
    <col min="10780" max="10780" width="11" style="3552" customWidth="1"/>
    <col min="10781" max="10781" width="3.125" style="3552" customWidth="1"/>
    <col min="10782" max="10782" width="15.375" style="3552" customWidth="1"/>
    <col min="10783" max="10783" width="16.625" style="3552" customWidth="1"/>
    <col min="10784" max="10784" width="6.125" style="3552" customWidth="1"/>
    <col min="10785" max="10785" width="6.375" style="3552" customWidth="1"/>
    <col min="10786" max="10786" width="11" style="3552" customWidth="1"/>
    <col min="10787" max="10787" width="3.125" style="3552" customWidth="1"/>
    <col min="10788" max="10789" width="11" style="3552" customWidth="1"/>
    <col min="10790" max="10790" width="3.625" style="3552" customWidth="1"/>
    <col min="10791" max="11008" width="11" style="3552"/>
    <col min="11009" max="11009" width="6.125" style="3552" customWidth="1"/>
    <col min="11010" max="11010" width="13.125" style="3552" customWidth="1"/>
    <col min="11011" max="11011" width="4.875" style="3552" customWidth="1"/>
    <col min="11012" max="11012" width="11" style="3552" customWidth="1"/>
    <col min="11013" max="11013" width="2.625" style="3552" customWidth="1"/>
    <col min="11014" max="11014" width="6.5" style="3552" customWidth="1"/>
    <col min="11015" max="11015" width="16.125" style="3552" customWidth="1"/>
    <col min="11016" max="11016" width="33.375" style="3552" customWidth="1"/>
    <col min="11017" max="11017" width="5.125" style="3552" customWidth="1"/>
    <col min="11018" max="11018" width="11" style="3552" customWidth="1"/>
    <col min="11019" max="11019" width="2.875" style="3552" customWidth="1"/>
    <col min="11020" max="11020" width="20.5" style="3552" customWidth="1"/>
    <col min="11021" max="11021" width="42.125" style="3552" customWidth="1"/>
    <col min="11022" max="11022" width="6.625" style="3552" customWidth="1"/>
    <col min="11023" max="11023" width="5.875" style="3552" customWidth="1"/>
    <col min="11024" max="11024" width="11" style="3552" customWidth="1"/>
    <col min="11025" max="11025" width="3" style="3552" customWidth="1"/>
    <col min="11026" max="11026" width="15.125" style="3552" customWidth="1"/>
    <col min="11027" max="11027" width="29.5" style="3552" customWidth="1"/>
    <col min="11028" max="11028" width="5" style="3552" customWidth="1"/>
    <col min="11029" max="11030" width="11" style="3552" customWidth="1"/>
    <col min="11031" max="11031" width="3.625" style="3552" customWidth="1"/>
    <col min="11032" max="11032" width="11.5" style="3552" customWidth="1"/>
    <col min="11033" max="11033" width="27" style="3552" customWidth="1"/>
    <col min="11034" max="11034" width="5.625" style="3552" customWidth="1"/>
    <col min="11035" max="11035" width="6.875" style="3552" customWidth="1"/>
    <col min="11036" max="11036" width="11" style="3552" customWidth="1"/>
    <col min="11037" max="11037" width="3.125" style="3552" customWidth="1"/>
    <col min="11038" max="11038" width="15.375" style="3552" customWidth="1"/>
    <col min="11039" max="11039" width="16.625" style="3552" customWidth="1"/>
    <col min="11040" max="11040" width="6.125" style="3552" customWidth="1"/>
    <col min="11041" max="11041" width="6.375" style="3552" customWidth="1"/>
    <col min="11042" max="11042" width="11" style="3552" customWidth="1"/>
    <col min="11043" max="11043" width="3.125" style="3552" customWidth="1"/>
    <col min="11044" max="11045" width="11" style="3552" customWidth="1"/>
    <col min="11046" max="11046" width="3.625" style="3552" customWidth="1"/>
    <col min="11047" max="11264" width="11" style="3552"/>
    <col min="11265" max="11265" width="6.125" style="3552" customWidth="1"/>
    <col min="11266" max="11266" width="13.125" style="3552" customWidth="1"/>
    <col min="11267" max="11267" width="4.875" style="3552" customWidth="1"/>
    <col min="11268" max="11268" width="11" style="3552" customWidth="1"/>
    <col min="11269" max="11269" width="2.625" style="3552" customWidth="1"/>
    <col min="11270" max="11270" width="6.5" style="3552" customWidth="1"/>
    <col min="11271" max="11271" width="16.125" style="3552" customWidth="1"/>
    <col min="11272" max="11272" width="33.375" style="3552" customWidth="1"/>
    <col min="11273" max="11273" width="5.125" style="3552" customWidth="1"/>
    <col min="11274" max="11274" width="11" style="3552" customWidth="1"/>
    <col min="11275" max="11275" width="2.875" style="3552" customWidth="1"/>
    <col min="11276" max="11276" width="20.5" style="3552" customWidth="1"/>
    <col min="11277" max="11277" width="42.125" style="3552" customWidth="1"/>
    <col min="11278" max="11278" width="6.625" style="3552" customWidth="1"/>
    <col min="11279" max="11279" width="5.875" style="3552" customWidth="1"/>
    <col min="11280" max="11280" width="11" style="3552" customWidth="1"/>
    <col min="11281" max="11281" width="3" style="3552" customWidth="1"/>
    <col min="11282" max="11282" width="15.125" style="3552" customWidth="1"/>
    <col min="11283" max="11283" width="29.5" style="3552" customWidth="1"/>
    <col min="11284" max="11284" width="5" style="3552" customWidth="1"/>
    <col min="11285" max="11286" width="11" style="3552" customWidth="1"/>
    <col min="11287" max="11287" width="3.625" style="3552" customWidth="1"/>
    <col min="11288" max="11288" width="11.5" style="3552" customWidth="1"/>
    <col min="11289" max="11289" width="27" style="3552" customWidth="1"/>
    <col min="11290" max="11290" width="5.625" style="3552" customWidth="1"/>
    <col min="11291" max="11291" width="6.875" style="3552" customWidth="1"/>
    <col min="11292" max="11292" width="11" style="3552" customWidth="1"/>
    <col min="11293" max="11293" width="3.125" style="3552" customWidth="1"/>
    <col min="11294" max="11294" width="15.375" style="3552" customWidth="1"/>
    <col min="11295" max="11295" width="16.625" style="3552" customWidth="1"/>
    <col min="11296" max="11296" width="6.125" style="3552" customWidth="1"/>
    <col min="11297" max="11297" width="6.375" style="3552" customWidth="1"/>
    <col min="11298" max="11298" width="11" style="3552" customWidth="1"/>
    <col min="11299" max="11299" width="3.125" style="3552" customWidth="1"/>
    <col min="11300" max="11301" width="11" style="3552" customWidth="1"/>
    <col min="11302" max="11302" width="3.625" style="3552" customWidth="1"/>
    <col min="11303" max="11520" width="11" style="3552"/>
    <col min="11521" max="11521" width="6.125" style="3552" customWidth="1"/>
    <col min="11522" max="11522" width="13.125" style="3552" customWidth="1"/>
    <col min="11523" max="11523" width="4.875" style="3552" customWidth="1"/>
    <col min="11524" max="11524" width="11" style="3552" customWidth="1"/>
    <col min="11525" max="11525" width="2.625" style="3552" customWidth="1"/>
    <col min="11526" max="11526" width="6.5" style="3552" customWidth="1"/>
    <col min="11527" max="11527" width="16.125" style="3552" customWidth="1"/>
    <col min="11528" max="11528" width="33.375" style="3552" customWidth="1"/>
    <col min="11529" max="11529" width="5.125" style="3552" customWidth="1"/>
    <col min="11530" max="11530" width="11" style="3552" customWidth="1"/>
    <col min="11531" max="11531" width="2.875" style="3552" customWidth="1"/>
    <col min="11532" max="11532" width="20.5" style="3552" customWidth="1"/>
    <col min="11533" max="11533" width="42.125" style="3552" customWidth="1"/>
    <col min="11534" max="11534" width="6.625" style="3552" customWidth="1"/>
    <col min="11535" max="11535" width="5.875" style="3552" customWidth="1"/>
    <col min="11536" max="11536" width="11" style="3552" customWidth="1"/>
    <col min="11537" max="11537" width="3" style="3552" customWidth="1"/>
    <col min="11538" max="11538" width="15.125" style="3552" customWidth="1"/>
    <col min="11539" max="11539" width="29.5" style="3552" customWidth="1"/>
    <col min="11540" max="11540" width="5" style="3552" customWidth="1"/>
    <col min="11541" max="11542" width="11" style="3552" customWidth="1"/>
    <col min="11543" max="11543" width="3.625" style="3552" customWidth="1"/>
    <col min="11544" max="11544" width="11.5" style="3552" customWidth="1"/>
    <col min="11545" max="11545" width="27" style="3552" customWidth="1"/>
    <col min="11546" max="11546" width="5.625" style="3552" customWidth="1"/>
    <col min="11547" max="11547" width="6.875" style="3552" customWidth="1"/>
    <col min="11548" max="11548" width="11" style="3552" customWidth="1"/>
    <col min="11549" max="11549" width="3.125" style="3552" customWidth="1"/>
    <col min="11550" max="11550" width="15.375" style="3552" customWidth="1"/>
    <col min="11551" max="11551" width="16.625" style="3552" customWidth="1"/>
    <col min="11552" max="11552" width="6.125" style="3552" customWidth="1"/>
    <col min="11553" max="11553" width="6.375" style="3552" customWidth="1"/>
    <col min="11554" max="11554" width="11" style="3552" customWidth="1"/>
    <col min="11555" max="11555" width="3.125" style="3552" customWidth="1"/>
    <col min="11556" max="11557" width="11" style="3552" customWidth="1"/>
    <col min="11558" max="11558" width="3.625" style="3552" customWidth="1"/>
    <col min="11559" max="11776" width="11" style="3552"/>
    <col min="11777" max="11777" width="6.125" style="3552" customWidth="1"/>
    <col min="11778" max="11778" width="13.125" style="3552" customWidth="1"/>
    <col min="11779" max="11779" width="4.875" style="3552" customWidth="1"/>
    <col min="11780" max="11780" width="11" style="3552" customWidth="1"/>
    <col min="11781" max="11781" width="2.625" style="3552" customWidth="1"/>
    <col min="11782" max="11782" width="6.5" style="3552" customWidth="1"/>
    <col min="11783" max="11783" width="16.125" style="3552" customWidth="1"/>
    <col min="11784" max="11784" width="33.375" style="3552" customWidth="1"/>
    <col min="11785" max="11785" width="5.125" style="3552" customWidth="1"/>
    <col min="11786" max="11786" width="11" style="3552" customWidth="1"/>
    <col min="11787" max="11787" width="2.875" style="3552" customWidth="1"/>
    <col min="11788" max="11788" width="20.5" style="3552" customWidth="1"/>
    <col min="11789" max="11789" width="42.125" style="3552" customWidth="1"/>
    <col min="11790" max="11790" width="6.625" style="3552" customWidth="1"/>
    <col min="11791" max="11791" width="5.875" style="3552" customWidth="1"/>
    <col min="11792" max="11792" width="11" style="3552" customWidth="1"/>
    <col min="11793" max="11793" width="3" style="3552" customWidth="1"/>
    <col min="11794" max="11794" width="15.125" style="3552" customWidth="1"/>
    <col min="11795" max="11795" width="29.5" style="3552" customWidth="1"/>
    <col min="11796" max="11796" width="5" style="3552" customWidth="1"/>
    <col min="11797" max="11798" width="11" style="3552" customWidth="1"/>
    <col min="11799" max="11799" width="3.625" style="3552" customWidth="1"/>
    <col min="11800" max="11800" width="11.5" style="3552" customWidth="1"/>
    <col min="11801" max="11801" width="27" style="3552" customWidth="1"/>
    <col min="11802" max="11802" width="5.625" style="3552" customWidth="1"/>
    <col min="11803" max="11803" width="6.875" style="3552" customWidth="1"/>
    <col min="11804" max="11804" width="11" style="3552" customWidth="1"/>
    <col min="11805" max="11805" width="3.125" style="3552" customWidth="1"/>
    <col min="11806" max="11806" width="15.375" style="3552" customWidth="1"/>
    <col min="11807" max="11807" width="16.625" style="3552" customWidth="1"/>
    <col min="11808" max="11808" width="6.125" style="3552" customWidth="1"/>
    <col min="11809" max="11809" width="6.375" style="3552" customWidth="1"/>
    <col min="11810" max="11810" width="11" style="3552" customWidth="1"/>
    <col min="11811" max="11811" width="3.125" style="3552" customWidth="1"/>
    <col min="11812" max="11813" width="11" style="3552" customWidth="1"/>
    <col min="11814" max="11814" width="3.625" style="3552" customWidth="1"/>
    <col min="11815" max="12032" width="11" style="3552"/>
    <col min="12033" max="12033" width="6.125" style="3552" customWidth="1"/>
    <col min="12034" max="12034" width="13.125" style="3552" customWidth="1"/>
    <col min="12035" max="12035" width="4.875" style="3552" customWidth="1"/>
    <col min="12036" max="12036" width="11" style="3552" customWidth="1"/>
    <col min="12037" max="12037" width="2.625" style="3552" customWidth="1"/>
    <col min="12038" max="12038" width="6.5" style="3552" customWidth="1"/>
    <col min="12039" max="12039" width="16.125" style="3552" customWidth="1"/>
    <col min="12040" max="12040" width="33.375" style="3552" customWidth="1"/>
    <col min="12041" max="12041" width="5.125" style="3552" customWidth="1"/>
    <col min="12042" max="12042" width="11" style="3552" customWidth="1"/>
    <col min="12043" max="12043" width="2.875" style="3552" customWidth="1"/>
    <col min="12044" max="12044" width="20.5" style="3552" customWidth="1"/>
    <col min="12045" max="12045" width="42.125" style="3552" customWidth="1"/>
    <col min="12046" max="12046" width="6.625" style="3552" customWidth="1"/>
    <col min="12047" max="12047" width="5.875" style="3552" customWidth="1"/>
    <col min="12048" max="12048" width="11" style="3552" customWidth="1"/>
    <col min="12049" max="12049" width="3" style="3552" customWidth="1"/>
    <col min="12050" max="12050" width="15.125" style="3552" customWidth="1"/>
    <col min="12051" max="12051" width="29.5" style="3552" customWidth="1"/>
    <col min="12052" max="12052" width="5" style="3552" customWidth="1"/>
    <col min="12053" max="12054" width="11" style="3552" customWidth="1"/>
    <col min="12055" max="12055" width="3.625" style="3552" customWidth="1"/>
    <col min="12056" max="12056" width="11.5" style="3552" customWidth="1"/>
    <col min="12057" max="12057" width="27" style="3552" customWidth="1"/>
    <col min="12058" max="12058" width="5.625" style="3552" customWidth="1"/>
    <col min="12059" max="12059" width="6.875" style="3552" customWidth="1"/>
    <col min="12060" max="12060" width="11" style="3552" customWidth="1"/>
    <col min="12061" max="12061" width="3.125" style="3552" customWidth="1"/>
    <col min="12062" max="12062" width="15.375" style="3552" customWidth="1"/>
    <col min="12063" max="12063" width="16.625" style="3552" customWidth="1"/>
    <col min="12064" max="12064" width="6.125" style="3552" customWidth="1"/>
    <col min="12065" max="12065" width="6.375" style="3552" customWidth="1"/>
    <col min="12066" max="12066" width="11" style="3552" customWidth="1"/>
    <col min="12067" max="12067" width="3.125" style="3552" customWidth="1"/>
    <col min="12068" max="12069" width="11" style="3552" customWidth="1"/>
    <col min="12070" max="12070" width="3.625" style="3552" customWidth="1"/>
    <col min="12071" max="12288" width="11" style="3552"/>
    <col min="12289" max="12289" width="6.125" style="3552" customWidth="1"/>
    <col min="12290" max="12290" width="13.125" style="3552" customWidth="1"/>
    <col min="12291" max="12291" width="4.875" style="3552" customWidth="1"/>
    <col min="12292" max="12292" width="11" style="3552" customWidth="1"/>
    <col min="12293" max="12293" width="2.625" style="3552" customWidth="1"/>
    <col min="12294" max="12294" width="6.5" style="3552" customWidth="1"/>
    <col min="12295" max="12295" width="16.125" style="3552" customWidth="1"/>
    <col min="12296" max="12296" width="33.375" style="3552" customWidth="1"/>
    <col min="12297" max="12297" width="5.125" style="3552" customWidth="1"/>
    <col min="12298" max="12298" width="11" style="3552" customWidth="1"/>
    <col min="12299" max="12299" width="2.875" style="3552" customWidth="1"/>
    <col min="12300" max="12300" width="20.5" style="3552" customWidth="1"/>
    <col min="12301" max="12301" width="42.125" style="3552" customWidth="1"/>
    <col min="12302" max="12302" width="6.625" style="3552" customWidth="1"/>
    <col min="12303" max="12303" width="5.875" style="3552" customWidth="1"/>
    <col min="12304" max="12304" width="11" style="3552" customWidth="1"/>
    <col min="12305" max="12305" width="3" style="3552" customWidth="1"/>
    <col min="12306" max="12306" width="15.125" style="3552" customWidth="1"/>
    <col min="12307" max="12307" width="29.5" style="3552" customWidth="1"/>
    <col min="12308" max="12308" width="5" style="3552" customWidth="1"/>
    <col min="12309" max="12310" width="11" style="3552" customWidth="1"/>
    <col min="12311" max="12311" width="3.625" style="3552" customWidth="1"/>
    <col min="12312" max="12312" width="11.5" style="3552" customWidth="1"/>
    <col min="12313" max="12313" width="27" style="3552" customWidth="1"/>
    <col min="12314" max="12314" width="5.625" style="3552" customWidth="1"/>
    <col min="12315" max="12315" width="6.875" style="3552" customWidth="1"/>
    <col min="12316" max="12316" width="11" style="3552" customWidth="1"/>
    <col min="12317" max="12317" width="3.125" style="3552" customWidth="1"/>
    <col min="12318" max="12318" width="15.375" style="3552" customWidth="1"/>
    <col min="12319" max="12319" width="16.625" style="3552" customWidth="1"/>
    <col min="12320" max="12320" width="6.125" style="3552" customWidth="1"/>
    <col min="12321" max="12321" width="6.375" style="3552" customWidth="1"/>
    <col min="12322" max="12322" width="11" style="3552" customWidth="1"/>
    <col min="12323" max="12323" width="3.125" style="3552" customWidth="1"/>
    <col min="12324" max="12325" width="11" style="3552" customWidth="1"/>
    <col min="12326" max="12326" width="3.625" style="3552" customWidth="1"/>
    <col min="12327" max="12544" width="11" style="3552"/>
    <col min="12545" max="12545" width="6.125" style="3552" customWidth="1"/>
    <col min="12546" max="12546" width="13.125" style="3552" customWidth="1"/>
    <col min="12547" max="12547" width="4.875" style="3552" customWidth="1"/>
    <col min="12548" max="12548" width="11" style="3552" customWidth="1"/>
    <col min="12549" max="12549" width="2.625" style="3552" customWidth="1"/>
    <col min="12550" max="12550" width="6.5" style="3552" customWidth="1"/>
    <col min="12551" max="12551" width="16.125" style="3552" customWidth="1"/>
    <col min="12552" max="12552" width="33.375" style="3552" customWidth="1"/>
    <col min="12553" max="12553" width="5.125" style="3552" customWidth="1"/>
    <col min="12554" max="12554" width="11" style="3552" customWidth="1"/>
    <col min="12555" max="12555" width="2.875" style="3552" customWidth="1"/>
    <col min="12556" max="12556" width="20.5" style="3552" customWidth="1"/>
    <col min="12557" max="12557" width="42.125" style="3552" customWidth="1"/>
    <col min="12558" max="12558" width="6.625" style="3552" customWidth="1"/>
    <col min="12559" max="12559" width="5.875" style="3552" customWidth="1"/>
    <col min="12560" max="12560" width="11" style="3552" customWidth="1"/>
    <col min="12561" max="12561" width="3" style="3552" customWidth="1"/>
    <col min="12562" max="12562" width="15.125" style="3552" customWidth="1"/>
    <col min="12563" max="12563" width="29.5" style="3552" customWidth="1"/>
    <col min="12564" max="12564" width="5" style="3552" customWidth="1"/>
    <col min="12565" max="12566" width="11" style="3552" customWidth="1"/>
    <col min="12567" max="12567" width="3.625" style="3552" customWidth="1"/>
    <col min="12568" max="12568" width="11.5" style="3552" customWidth="1"/>
    <col min="12569" max="12569" width="27" style="3552" customWidth="1"/>
    <col min="12570" max="12570" width="5.625" style="3552" customWidth="1"/>
    <col min="12571" max="12571" width="6.875" style="3552" customWidth="1"/>
    <col min="12572" max="12572" width="11" style="3552" customWidth="1"/>
    <col min="12573" max="12573" width="3.125" style="3552" customWidth="1"/>
    <col min="12574" max="12574" width="15.375" style="3552" customWidth="1"/>
    <col min="12575" max="12575" width="16.625" style="3552" customWidth="1"/>
    <col min="12576" max="12576" width="6.125" style="3552" customWidth="1"/>
    <col min="12577" max="12577" width="6.375" style="3552" customWidth="1"/>
    <col min="12578" max="12578" width="11" style="3552" customWidth="1"/>
    <col min="12579" max="12579" width="3.125" style="3552" customWidth="1"/>
    <col min="12580" max="12581" width="11" style="3552" customWidth="1"/>
    <col min="12582" max="12582" width="3.625" style="3552" customWidth="1"/>
    <col min="12583" max="12800" width="11" style="3552"/>
    <col min="12801" max="12801" width="6.125" style="3552" customWidth="1"/>
    <col min="12802" max="12802" width="13.125" style="3552" customWidth="1"/>
    <col min="12803" max="12803" width="4.875" style="3552" customWidth="1"/>
    <col min="12804" max="12804" width="11" style="3552" customWidth="1"/>
    <col min="12805" max="12805" width="2.625" style="3552" customWidth="1"/>
    <col min="12806" max="12806" width="6.5" style="3552" customWidth="1"/>
    <col min="12807" max="12807" width="16.125" style="3552" customWidth="1"/>
    <col min="12808" max="12808" width="33.375" style="3552" customWidth="1"/>
    <col min="12809" max="12809" width="5.125" style="3552" customWidth="1"/>
    <col min="12810" max="12810" width="11" style="3552" customWidth="1"/>
    <col min="12811" max="12811" width="2.875" style="3552" customWidth="1"/>
    <col min="12812" max="12812" width="20.5" style="3552" customWidth="1"/>
    <col min="12813" max="12813" width="42.125" style="3552" customWidth="1"/>
    <col min="12814" max="12814" width="6.625" style="3552" customWidth="1"/>
    <col min="12815" max="12815" width="5.875" style="3552" customWidth="1"/>
    <col min="12816" max="12816" width="11" style="3552" customWidth="1"/>
    <col min="12817" max="12817" width="3" style="3552" customWidth="1"/>
    <col min="12818" max="12818" width="15.125" style="3552" customWidth="1"/>
    <col min="12819" max="12819" width="29.5" style="3552" customWidth="1"/>
    <col min="12820" max="12820" width="5" style="3552" customWidth="1"/>
    <col min="12821" max="12822" width="11" style="3552" customWidth="1"/>
    <col min="12823" max="12823" width="3.625" style="3552" customWidth="1"/>
    <col min="12824" max="12824" width="11.5" style="3552" customWidth="1"/>
    <col min="12825" max="12825" width="27" style="3552" customWidth="1"/>
    <col min="12826" max="12826" width="5.625" style="3552" customWidth="1"/>
    <col min="12827" max="12827" width="6.875" style="3552" customWidth="1"/>
    <col min="12828" max="12828" width="11" style="3552" customWidth="1"/>
    <col min="12829" max="12829" width="3.125" style="3552" customWidth="1"/>
    <col min="12830" max="12830" width="15.375" style="3552" customWidth="1"/>
    <col min="12831" max="12831" width="16.625" style="3552" customWidth="1"/>
    <col min="12832" max="12832" width="6.125" style="3552" customWidth="1"/>
    <col min="12833" max="12833" width="6.375" style="3552" customWidth="1"/>
    <col min="12834" max="12834" width="11" style="3552" customWidth="1"/>
    <col min="12835" max="12835" width="3.125" style="3552" customWidth="1"/>
    <col min="12836" max="12837" width="11" style="3552" customWidth="1"/>
    <col min="12838" max="12838" width="3.625" style="3552" customWidth="1"/>
    <col min="12839" max="13056" width="11" style="3552"/>
    <col min="13057" max="13057" width="6.125" style="3552" customWidth="1"/>
    <col min="13058" max="13058" width="13.125" style="3552" customWidth="1"/>
    <col min="13059" max="13059" width="4.875" style="3552" customWidth="1"/>
    <col min="13060" max="13060" width="11" style="3552" customWidth="1"/>
    <col min="13061" max="13061" width="2.625" style="3552" customWidth="1"/>
    <col min="13062" max="13062" width="6.5" style="3552" customWidth="1"/>
    <col min="13063" max="13063" width="16.125" style="3552" customWidth="1"/>
    <col min="13064" max="13064" width="33.375" style="3552" customWidth="1"/>
    <col min="13065" max="13065" width="5.125" style="3552" customWidth="1"/>
    <col min="13066" max="13066" width="11" style="3552" customWidth="1"/>
    <col min="13067" max="13067" width="2.875" style="3552" customWidth="1"/>
    <col min="13068" max="13068" width="20.5" style="3552" customWidth="1"/>
    <col min="13069" max="13069" width="42.125" style="3552" customWidth="1"/>
    <col min="13070" max="13070" width="6.625" style="3552" customWidth="1"/>
    <col min="13071" max="13071" width="5.875" style="3552" customWidth="1"/>
    <col min="13072" max="13072" width="11" style="3552" customWidth="1"/>
    <col min="13073" max="13073" width="3" style="3552" customWidth="1"/>
    <col min="13074" max="13074" width="15.125" style="3552" customWidth="1"/>
    <col min="13075" max="13075" width="29.5" style="3552" customWidth="1"/>
    <col min="13076" max="13076" width="5" style="3552" customWidth="1"/>
    <col min="13077" max="13078" width="11" style="3552" customWidth="1"/>
    <col min="13079" max="13079" width="3.625" style="3552" customWidth="1"/>
    <col min="13080" max="13080" width="11.5" style="3552" customWidth="1"/>
    <col min="13081" max="13081" width="27" style="3552" customWidth="1"/>
    <col min="13082" max="13082" width="5.625" style="3552" customWidth="1"/>
    <col min="13083" max="13083" width="6.875" style="3552" customWidth="1"/>
    <col min="13084" max="13084" width="11" style="3552" customWidth="1"/>
    <col min="13085" max="13085" width="3.125" style="3552" customWidth="1"/>
    <col min="13086" max="13086" width="15.375" style="3552" customWidth="1"/>
    <col min="13087" max="13087" width="16.625" style="3552" customWidth="1"/>
    <col min="13088" max="13088" width="6.125" style="3552" customWidth="1"/>
    <col min="13089" max="13089" width="6.375" style="3552" customWidth="1"/>
    <col min="13090" max="13090" width="11" style="3552" customWidth="1"/>
    <col min="13091" max="13091" width="3.125" style="3552" customWidth="1"/>
    <col min="13092" max="13093" width="11" style="3552" customWidth="1"/>
    <col min="13094" max="13094" width="3.625" style="3552" customWidth="1"/>
    <col min="13095" max="13312" width="11" style="3552"/>
    <col min="13313" max="13313" width="6.125" style="3552" customWidth="1"/>
    <col min="13314" max="13314" width="13.125" style="3552" customWidth="1"/>
    <col min="13315" max="13315" width="4.875" style="3552" customWidth="1"/>
    <col min="13316" max="13316" width="11" style="3552" customWidth="1"/>
    <col min="13317" max="13317" width="2.625" style="3552" customWidth="1"/>
    <col min="13318" max="13318" width="6.5" style="3552" customWidth="1"/>
    <col min="13319" max="13319" width="16.125" style="3552" customWidth="1"/>
    <col min="13320" max="13320" width="33.375" style="3552" customWidth="1"/>
    <col min="13321" max="13321" width="5.125" style="3552" customWidth="1"/>
    <col min="13322" max="13322" width="11" style="3552" customWidth="1"/>
    <col min="13323" max="13323" width="2.875" style="3552" customWidth="1"/>
    <col min="13324" max="13324" width="20.5" style="3552" customWidth="1"/>
    <col min="13325" max="13325" width="42.125" style="3552" customWidth="1"/>
    <col min="13326" max="13326" width="6.625" style="3552" customWidth="1"/>
    <col min="13327" max="13327" width="5.875" style="3552" customWidth="1"/>
    <col min="13328" max="13328" width="11" style="3552" customWidth="1"/>
    <col min="13329" max="13329" width="3" style="3552" customWidth="1"/>
    <col min="13330" max="13330" width="15.125" style="3552" customWidth="1"/>
    <col min="13331" max="13331" width="29.5" style="3552" customWidth="1"/>
    <col min="13332" max="13332" width="5" style="3552" customWidth="1"/>
    <col min="13333" max="13334" width="11" style="3552" customWidth="1"/>
    <col min="13335" max="13335" width="3.625" style="3552" customWidth="1"/>
    <col min="13336" max="13336" width="11.5" style="3552" customWidth="1"/>
    <col min="13337" max="13337" width="27" style="3552" customWidth="1"/>
    <col min="13338" max="13338" width="5.625" style="3552" customWidth="1"/>
    <col min="13339" max="13339" width="6.875" style="3552" customWidth="1"/>
    <col min="13340" max="13340" width="11" style="3552" customWidth="1"/>
    <col min="13341" max="13341" width="3.125" style="3552" customWidth="1"/>
    <col min="13342" max="13342" width="15.375" style="3552" customWidth="1"/>
    <col min="13343" max="13343" width="16.625" style="3552" customWidth="1"/>
    <col min="13344" max="13344" width="6.125" style="3552" customWidth="1"/>
    <col min="13345" max="13345" width="6.375" style="3552" customWidth="1"/>
    <col min="13346" max="13346" width="11" style="3552" customWidth="1"/>
    <col min="13347" max="13347" width="3.125" style="3552" customWidth="1"/>
    <col min="13348" max="13349" width="11" style="3552" customWidth="1"/>
    <col min="13350" max="13350" width="3.625" style="3552" customWidth="1"/>
    <col min="13351" max="13568" width="11" style="3552"/>
    <col min="13569" max="13569" width="6.125" style="3552" customWidth="1"/>
    <col min="13570" max="13570" width="13.125" style="3552" customWidth="1"/>
    <col min="13571" max="13571" width="4.875" style="3552" customWidth="1"/>
    <col min="13572" max="13572" width="11" style="3552" customWidth="1"/>
    <col min="13573" max="13573" width="2.625" style="3552" customWidth="1"/>
    <col min="13574" max="13574" width="6.5" style="3552" customWidth="1"/>
    <col min="13575" max="13575" width="16.125" style="3552" customWidth="1"/>
    <col min="13576" max="13576" width="33.375" style="3552" customWidth="1"/>
    <col min="13577" max="13577" width="5.125" style="3552" customWidth="1"/>
    <col min="13578" max="13578" width="11" style="3552" customWidth="1"/>
    <col min="13579" max="13579" width="2.875" style="3552" customWidth="1"/>
    <col min="13580" max="13580" width="20.5" style="3552" customWidth="1"/>
    <col min="13581" max="13581" width="42.125" style="3552" customWidth="1"/>
    <col min="13582" max="13582" width="6.625" style="3552" customWidth="1"/>
    <col min="13583" max="13583" width="5.875" style="3552" customWidth="1"/>
    <col min="13584" max="13584" width="11" style="3552" customWidth="1"/>
    <col min="13585" max="13585" width="3" style="3552" customWidth="1"/>
    <col min="13586" max="13586" width="15.125" style="3552" customWidth="1"/>
    <col min="13587" max="13587" width="29.5" style="3552" customWidth="1"/>
    <col min="13588" max="13588" width="5" style="3552" customWidth="1"/>
    <col min="13589" max="13590" width="11" style="3552" customWidth="1"/>
    <col min="13591" max="13591" width="3.625" style="3552" customWidth="1"/>
    <col min="13592" max="13592" width="11.5" style="3552" customWidth="1"/>
    <col min="13593" max="13593" width="27" style="3552" customWidth="1"/>
    <col min="13594" max="13594" width="5.625" style="3552" customWidth="1"/>
    <col min="13595" max="13595" width="6.875" style="3552" customWidth="1"/>
    <col min="13596" max="13596" width="11" style="3552" customWidth="1"/>
    <col min="13597" max="13597" width="3.125" style="3552" customWidth="1"/>
    <col min="13598" max="13598" width="15.375" style="3552" customWidth="1"/>
    <col min="13599" max="13599" width="16.625" style="3552" customWidth="1"/>
    <col min="13600" max="13600" width="6.125" style="3552" customWidth="1"/>
    <col min="13601" max="13601" width="6.375" style="3552" customWidth="1"/>
    <col min="13602" max="13602" width="11" style="3552" customWidth="1"/>
    <col min="13603" max="13603" width="3.125" style="3552" customWidth="1"/>
    <col min="13604" max="13605" width="11" style="3552" customWidth="1"/>
    <col min="13606" max="13606" width="3.625" style="3552" customWidth="1"/>
    <col min="13607" max="13824" width="11" style="3552"/>
    <col min="13825" max="13825" width="6.125" style="3552" customWidth="1"/>
    <col min="13826" max="13826" width="13.125" style="3552" customWidth="1"/>
    <col min="13827" max="13827" width="4.875" style="3552" customWidth="1"/>
    <col min="13828" max="13828" width="11" style="3552" customWidth="1"/>
    <col min="13829" max="13829" width="2.625" style="3552" customWidth="1"/>
    <col min="13830" max="13830" width="6.5" style="3552" customWidth="1"/>
    <col min="13831" max="13831" width="16.125" style="3552" customWidth="1"/>
    <col min="13832" max="13832" width="33.375" style="3552" customWidth="1"/>
    <col min="13833" max="13833" width="5.125" style="3552" customWidth="1"/>
    <col min="13834" max="13834" width="11" style="3552" customWidth="1"/>
    <col min="13835" max="13835" width="2.875" style="3552" customWidth="1"/>
    <col min="13836" max="13836" width="20.5" style="3552" customWidth="1"/>
    <col min="13837" max="13837" width="42.125" style="3552" customWidth="1"/>
    <col min="13838" max="13838" width="6.625" style="3552" customWidth="1"/>
    <col min="13839" max="13839" width="5.875" style="3552" customWidth="1"/>
    <col min="13840" max="13840" width="11" style="3552" customWidth="1"/>
    <col min="13841" max="13841" width="3" style="3552" customWidth="1"/>
    <col min="13842" max="13842" width="15.125" style="3552" customWidth="1"/>
    <col min="13843" max="13843" width="29.5" style="3552" customWidth="1"/>
    <col min="13844" max="13844" width="5" style="3552" customWidth="1"/>
    <col min="13845" max="13846" width="11" style="3552" customWidth="1"/>
    <col min="13847" max="13847" width="3.625" style="3552" customWidth="1"/>
    <col min="13848" max="13848" width="11.5" style="3552" customWidth="1"/>
    <col min="13849" max="13849" width="27" style="3552" customWidth="1"/>
    <col min="13850" max="13850" width="5.625" style="3552" customWidth="1"/>
    <col min="13851" max="13851" width="6.875" style="3552" customWidth="1"/>
    <col min="13852" max="13852" width="11" style="3552" customWidth="1"/>
    <col min="13853" max="13853" width="3.125" style="3552" customWidth="1"/>
    <col min="13854" max="13854" width="15.375" style="3552" customWidth="1"/>
    <col min="13855" max="13855" width="16.625" style="3552" customWidth="1"/>
    <col min="13856" max="13856" width="6.125" style="3552" customWidth="1"/>
    <col min="13857" max="13857" width="6.375" style="3552" customWidth="1"/>
    <col min="13858" max="13858" width="11" style="3552" customWidth="1"/>
    <col min="13859" max="13859" width="3.125" style="3552" customWidth="1"/>
    <col min="13860" max="13861" width="11" style="3552" customWidth="1"/>
    <col min="13862" max="13862" width="3.625" style="3552" customWidth="1"/>
    <col min="13863" max="14080" width="11" style="3552"/>
    <col min="14081" max="14081" width="6.125" style="3552" customWidth="1"/>
    <col min="14082" max="14082" width="13.125" style="3552" customWidth="1"/>
    <col min="14083" max="14083" width="4.875" style="3552" customWidth="1"/>
    <col min="14084" max="14084" width="11" style="3552" customWidth="1"/>
    <col min="14085" max="14085" width="2.625" style="3552" customWidth="1"/>
    <col min="14086" max="14086" width="6.5" style="3552" customWidth="1"/>
    <col min="14087" max="14087" width="16.125" style="3552" customWidth="1"/>
    <col min="14088" max="14088" width="33.375" style="3552" customWidth="1"/>
    <col min="14089" max="14089" width="5.125" style="3552" customWidth="1"/>
    <col min="14090" max="14090" width="11" style="3552" customWidth="1"/>
    <col min="14091" max="14091" width="2.875" style="3552" customWidth="1"/>
    <col min="14092" max="14092" width="20.5" style="3552" customWidth="1"/>
    <col min="14093" max="14093" width="42.125" style="3552" customWidth="1"/>
    <col min="14094" max="14094" width="6.625" style="3552" customWidth="1"/>
    <col min="14095" max="14095" width="5.875" style="3552" customWidth="1"/>
    <col min="14096" max="14096" width="11" style="3552" customWidth="1"/>
    <col min="14097" max="14097" width="3" style="3552" customWidth="1"/>
    <col min="14098" max="14098" width="15.125" style="3552" customWidth="1"/>
    <col min="14099" max="14099" width="29.5" style="3552" customWidth="1"/>
    <col min="14100" max="14100" width="5" style="3552" customWidth="1"/>
    <col min="14101" max="14102" width="11" style="3552" customWidth="1"/>
    <col min="14103" max="14103" width="3.625" style="3552" customWidth="1"/>
    <col min="14104" max="14104" width="11.5" style="3552" customWidth="1"/>
    <col min="14105" max="14105" width="27" style="3552" customWidth="1"/>
    <col min="14106" max="14106" width="5.625" style="3552" customWidth="1"/>
    <col min="14107" max="14107" width="6.875" style="3552" customWidth="1"/>
    <col min="14108" max="14108" width="11" style="3552" customWidth="1"/>
    <col min="14109" max="14109" width="3.125" style="3552" customWidth="1"/>
    <col min="14110" max="14110" width="15.375" style="3552" customWidth="1"/>
    <col min="14111" max="14111" width="16.625" style="3552" customWidth="1"/>
    <col min="14112" max="14112" width="6.125" style="3552" customWidth="1"/>
    <col min="14113" max="14113" width="6.375" style="3552" customWidth="1"/>
    <col min="14114" max="14114" width="11" style="3552" customWidth="1"/>
    <col min="14115" max="14115" width="3.125" style="3552" customWidth="1"/>
    <col min="14116" max="14117" width="11" style="3552" customWidth="1"/>
    <col min="14118" max="14118" width="3.625" style="3552" customWidth="1"/>
    <col min="14119" max="14336" width="11" style="3552"/>
    <col min="14337" max="14337" width="6.125" style="3552" customWidth="1"/>
    <col min="14338" max="14338" width="13.125" style="3552" customWidth="1"/>
    <col min="14339" max="14339" width="4.875" style="3552" customWidth="1"/>
    <col min="14340" max="14340" width="11" style="3552" customWidth="1"/>
    <col min="14341" max="14341" width="2.625" style="3552" customWidth="1"/>
    <col min="14342" max="14342" width="6.5" style="3552" customWidth="1"/>
    <col min="14343" max="14343" width="16.125" style="3552" customWidth="1"/>
    <col min="14344" max="14344" width="33.375" style="3552" customWidth="1"/>
    <col min="14345" max="14345" width="5.125" style="3552" customWidth="1"/>
    <col min="14346" max="14346" width="11" style="3552" customWidth="1"/>
    <col min="14347" max="14347" width="2.875" style="3552" customWidth="1"/>
    <col min="14348" max="14348" width="20.5" style="3552" customWidth="1"/>
    <col min="14349" max="14349" width="42.125" style="3552" customWidth="1"/>
    <col min="14350" max="14350" width="6.625" style="3552" customWidth="1"/>
    <col min="14351" max="14351" width="5.875" style="3552" customWidth="1"/>
    <col min="14352" max="14352" width="11" style="3552" customWidth="1"/>
    <col min="14353" max="14353" width="3" style="3552" customWidth="1"/>
    <col min="14354" max="14354" width="15.125" style="3552" customWidth="1"/>
    <col min="14355" max="14355" width="29.5" style="3552" customWidth="1"/>
    <col min="14356" max="14356" width="5" style="3552" customWidth="1"/>
    <col min="14357" max="14358" width="11" style="3552" customWidth="1"/>
    <col min="14359" max="14359" width="3.625" style="3552" customWidth="1"/>
    <col min="14360" max="14360" width="11.5" style="3552" customWidth="1"/>
    <col min="14361" max="14361" width="27" style="3552" customWidth="1"/>
    <col min="14362" max="14362" width="5.625" style="3552" customWidth="1"/>
    <col min="14363" max="14363" width="6.875" style="3552" customWidth="1"/>
    <col min="14364" max="14364" width="11" style="3552" customWidth="1"/>
    <col min="14365" max="14365" width="3.125" style="3552" customWidth="1"/>
    <col min="14366" max="14366" width="15.375" style="3552" customWidth="1"/>
    <col min="14367" max="14367" width="16.625" style="3552" customWidth="1"/>
    <col min="14368" max="14368" width="6.125" style="3552" customWidth="1"/>
    <col min="14369" max="14369" width="6.375" style="3552" customWidth="1"/>
    <col min="14370" max="14370" width="11" style="3552" customWidth="1"/>
    <col min="14371" max="14371" width="3.125" style="3552" customWidth="1"/>
    <col min="14372" max="14373" width="11" style="3552" customWidth="1"/>
    <col min="14374" max="14374" width="3.625" style="3552" customWidth="1"/>
    <col min="14375" max="14592" width="11" style="3552"/>
    <col min="14593" max="14593" width="6.125" style="3552" customWidth="1"/>
    <col min="14594" max="14594" width="13.125" style="3552" customWidth="1"/>
    <col min="14595" max="14595" width="4.875" style="3552" customWidth="1"/>
    <col min="14596" max="14596" width="11" style="3552" customWidth="1"/>
    <col min="14597" max="14597" width="2.625" style="3552" customWidth="1"/>
    <col min="14598" max="14598" width="6.5" style="3552" customWidth="1"/>
    <col min="14599" max="14599" width="16.125" style="3552" customWidth="1"/>
    <col min="14600" max="14600" width="33.375" style="3552" customWidth="1"/>
    <col min="14601" max="14601" width="5.125" style="3552" customWidth="1"/>
    <col min="14602" max="14602" width="11" style="3552" customWidth="1"/>
    <col min="14603" max="14603" width="2.875" style="3552" customWidth="1"/>
    <col min="14604" max="14604" width="20.5" style="3552" customWidth="1"/>
    <col min="14605" max="14605" width="42.125" style="3552" customWidth="1"/>
    <col min="14606" max="14606" width="6.625" style="3552" customWidth="1"/>
    <col min="14607" max="14607" width="5.875" style="3552" customWidth="1"/>
    <col min="14608" max="14608" width="11" style="3552" customWidth="1"/>
    <col min="14609" max="14609" width="3" style="3552" customWidth="1"/>
    <col min="14610" max="14610" width="15.125" style="3552" customWidth="1"/>
    <col min="14611" max="14611" width="29.5" style="3552" customWidth="1"/>
    <col min="14612" max="14612" width="5" style="3552" customWidth="1"/>
    <col min="14613" max="14614" width="11" style="3552" customWidth="1"/>
    <col min="14615" max="14615" width="3.625" style="3552" customWidth="1"/>
    <col min="14616" max="14616" width="11.5" style="3552" customWidth="1"/>
    <col min="14617" max="14617" width="27" style="3552" customWidth="1"/>
    <col min="14618" max="14618" width="5.625" style="3552" customWidth="1"/>
    <col min="14619" max="14619" width="6.875" style="3552" customWidth="1"/>
    <col min="14620" max="14620" width="11" style="3552" customWidth="1"/>
    <col min="14621" max="14621" width="3.125" style="3552" customWidth="1"/>
    <col min="14622" max="14622" width="15.375" style="3552" customWidth="1"/>
    <col min="14623" max="14623" width="16.625" style="3552" customWidth="1"/>
    <col min="14624" max="14624" width="6.125" style="3552" customWidth="1"/>
    <col min="14625" max="14625" width="6.375" style="3552" customWidth="1"/>
    <col min="14626" max="14626" width="11" style="3552" customWidth="1"/>
    <col min="14627" max="14627" width="3.125" style="3552" customWidth="1"/>
    <col min="14628" max="14629" width="11" style="3552" customWidth="1"/>
    <col min="14630" max="14630" width="3.625" style="3552" customWidth="1"/>
    <col min="14631" max="14848" width="11" style="3552"/>
    <col min="14849" max="14849" width="6.125" style="3552" customWidth="1"/>
    <col min="14850" max="14850" width="13.125" style="3552" customWidth="1"/>
    <col min="14851" max="14851" width="4.875" style="3552" customWidth="1"/>
    <col min="14852" max="14852" width="11" style="3552" customWidth="1"/>
    <col min="14853" max="14853" width="2.625" style="3552" customWidth="1"/>
    <col min="14854" max="14854" width="6.5" style="3552" customWidth="1"/>
    <col min="14855" max="14855" width="16.125" style="3552" customWidth="1"/>
    <col min="14856" max="14856" width="33.375" style="3552" customWidth="1"/>
    <col min="14857" max="14857" width="5.125" style="3552" customWidth="1"/>
    <col min="14858" max="14858" width="11" style="3552" customWidth="1"/>
    <col min="14859" max="14859" width="2.875" style="3552" customWidth="1"/>
    <col min="14860" max="14860" width="20.5" style="3552" customWidth="1"/>
    <col min="14861" max="14861" width="42.125" style="3552" customWidth="1"/>
    <col min="14862" max="14862" width="6.625" style="3552" customWidth="1"/>
    <col min="14863" max="14863" width="5.875" style="3552" customWidth="1"/>
    <col min="14864" max="14864" width="11" style="3552" customWidth="1"/>
    <col min="14865" max="14865" width="3" style="3552" customWidth="1"/>
    <col min="14866" max="14866" width="15.125" style="3552" customWidth="1"/>
    <col min="14867" max="14867" width="29.5" style="3552" customWidth="1"/>
    <col min="14868" max="14868" width="5" style="3552" customWidth="1"/>
    <col min="14869" max="14870" width="11" style="3552" customWidth="1"/>
    <col min="14871" max="14871" width="3.625" style="3552" customWidth="1"/>
    <col min="14872" max="14872" width="11.5" style="3552" customWidth="1"/>
    <col min="14873" max="14873" width="27" style="3552" customWidth="1"/>
    <col min="14874" max="14874" width="5.625" style="3552" customWidth="1"/>
    <col min="14875" max="14875" width="6.875" style="3552" customWidth="1"/>
    <col min="14876" max="14876" width="11" style="3552" customWidth="1"/>
    <col min="14877" max="14877" width="3.125" style="3552" customWidth="1"/>
    <col min="14878" max="14878" width="15.375" style="3552" customWidth="1"/>
    <col min="14879" max="14879" width="16.625" style="3552" customWidth="1"/>
    <col min="14880" max="14880" width="6.125" style="3552" customWidth="1"/>
    <col min="14881" max="14881" width="6.375" style="3552" customWidth="1"/>
    <col min="14882" max="14882" width="11" style="3552" customWidth="1"/>
    <col min="14883" max="14883" width="3.125" style="3552" customWidth="1"/>
    <col min="14884" max="14885" width="11" style="3552" customWidth="1"/>
    <col min="14886" max="14886" width="3.625" style="3552" customWidth="1"/>
    <col min="14887" max="15104" width="11" style="3552"/>
    <col min="15105" max="15105" width="6.125" style="3552" customWidth="1"/>
    <col min="15106" max="15106" width="13.125" style="3552" customWidth="1"/>
    <col min="15107" max="15107" width="4.875" style="3552" customWidth="1"/>
    <col min="15108" max="15108" width="11" style="3552" customWidth="1"/>
    <col min="15109" max="15109" width="2.625" style="3552" customWidth="1"/>
    <col min="15110" max="15110" width="6.5" style="3552" customWidth="1"/>
    <col min="15111" max="15111" width="16.125" style="3552" customWidth="1"/>
    <col min="15112" max="15112" width="33.375" style="3552" customWidth="1"/>
    <col min="15113" max="15113" width="5.125" style="3552" customWidth="1"/>
    <col min="15114" max="15114" width="11" style="3552" customWidth="1"/>
    <col min="15115" max="15115" width="2.875" style="3552" customWidth="1"/>
    <col min="15116" max="15116" width="20.5" style="3552" customWidth="1"/>
    <col min="15117" max="15117" width="42.125" style="3552" customWidth="1"/>
    <col min="15118" max="15118" width="6.625" style="3552" customWidth="1"/>
    <col min="15119" max="15119" width="5.875" style="3552" customWidth="1"/>
    <col min="15120" max="15120" width="11" style="3552" customWidth="1"/>
    <col min="15121" max="15121" width="3" style="3552" customWidth="1"/>
    <col min="15122" max="15122" width="15.125" style="3552" customWidth="1"/>
    <col min="15123" max="15123" width="29.5" style="3552" customWidth="1"/>
    <col min="15124" max="15124" width="5" style="3552" customWidth="1"/>
    <col min="15125" max="15126" width="11" style="3552" customWidth="1"/>
    <col min="15127" max="15127" width="3.625" style="3552" customWidth="1"/>
    <col min="15128" max="15128" width="11.5" style="3552" customWidth="1"/>
    <col min="15129" max="15129" width="27" style="3552" customWidth="1"/>
    <col min="15130" max="15130" width="5.625" style="3552" customWidth="1"/>
    <col min="15131" max="15131" width="6.875" style="3552" customWidth="1"/>
    <col min="15132" max="15132" width="11" style="3552" customWidth="1"/>
    <col min="15133" max="15133" width="3.125" style="3552" customWidth="1"/>
    <col min="15134" max="15134" width="15.375" style="3552" customWidth="1"/>
    <col min="15135" max="15135" width="16.625" style="3552" customWidth="1"/>
    <col min="15136" max="15136" width="6.125" style="3552" customWidth="1"/>
    <col min="15137" max="15137" width="6.375" style="3552" customWidth="1"/>
    <col min="15138" max="15138" width="11" style="3552" customWidth="1"/>
    <col min="15139" max="15139" width="3.125" style="3552" customWidth="1"/>
    <col min="15140" max="15141" width="11" style="3552" customWidth="1"/>
    <col min="15142" max="15142" width="3.625" style="3552" customWidth="1"/>
    <col min="15143" max="15360" width="11" style="3552"/>
    <col min="15361" max="15361" width="6.125" style="3552" customWidth="1"/>
    <col min="15362" max="15362" width="13.125" style="3552" customWidth="1"/>
    <col min="15363" max="15363" width="4.875" style="3552" customWidth="1"/>
    <col min="15364" max="15364" width="11" style="3552" customWidth="1"/>
    <col min="15365" max="15365" width="2.625" style="3552" customWidth="1"/>
    <col min="15366" max="15366" width="6.5" style="3552" customWidth="1"/>
    <col min="15367" max="15367" width="16.125" style="3552" customWidth="1"/>
    <col min="15368" max="15368" width="33.375" style="3552" customWidth="1"/>
    <col min="15369" max="15369" width="5.125" style="3552" customWidth="1"/>
    <col min="15370" max="15370" width="11" style="3552" customWidth="1"/>
    <col min="15371" max="15371" width="2.875" style="3552" customWidth="1"/>
    <col min="15372" max="15372" width="20.5" style="3552" customWidth="1"/>
    <col min="15373" max="15373" width="42.125" style="3552" customWidth="1"/>
    <col min="15374" max="15374" width="6.625" style="3552" customWidth="1"/>
    <col min="15375" max="15375" width="5.875" style="3552" customWidth="1"/>
    <col min="15376" max="15376" width="11" style="3552" customWidth="1"/>
    <col min="15377" max="15377" width="3" style="3552" customWidth="1"/>
    <col min="15378" max="15378" width="15.125" style="3552" customWidth="1"/>
    <col min="15379" max="15379" width="29.5" style="3552" customWidth="1"/>
    <col min="15380" max="15380" width="5" style="3552" customWidth="1"/>
    <col min="15381" max="15382" width="11" style="3552" customWidth="1"/>
    <col min="15383" max="15383" width="3.625" style="3552" customWidth="1"/>
    <col min="15384" max="15384" width="11.5" style="3552" customWidth="1"/>
    <col min="15385" max="15385" width="27" style="3552" customWidth="1"/>
    <col min="15386" max="15386" width="5.625" style="3552" customWidth="1"/>
    <col min="15387" max="15387" width="6.875" style="3552" customWidth="1"/>
    <col min="15388" max="15388" width="11" style="3552" customWidth="1"/>
    <col min="15389" max="15389" width="3.125" style="3552" customWidth="1"/>
    <col min="15390" max="15390" width="15.375" style="3552" customWidth="1"/>
    <col min="15391" max="15391" width="16.625" style="3552" customWidth="1"/>
    <col min="15392" max="15392" width="6.125" style="3552" customWidth="1"/>
    <col min="15393" max="15393" width="6.375" style="3552" customWidth="1"/>
    <col min="15394" max="15394" width="11" style="3552" customWidth="1"/>
    <col min="15395" max="15395" width="3.125" style="3552" customWidth="1"/>
    <col min="15396" max="15397" width="11" style="3552" customWidth="1"/>
    <col min="15398" max="15398" width="3.625" style="3552" customWidth="1"/>
    <col min="15399" max="15616" width="11" style="3552"/>
    <col min="15617" max="15617" width="6.125" style="3552" customWidth="1"/>
    <col min="15618" max="15618" width="13.125" style="3552" customWidth="1"/>
    <col min="15619" max="15619" width="4.875" style="3552" customWidth="1"/>
    <col min="15620" max="15620" width="11" style="3552" customWidth="1"/>
    <col min="15621" max="15621" width="2.625" style="3552" customWidth="1"/>
    <col min="15622" max="15622" width="6.5" style="3552" customWidth="1"/>
    <col min="15623" max="15623" width="16.125" style="3552" customWidth="1"/>
    <col min="15624" max="15624" width="33.375" style="3552" customWidth="1"/>
    <col min="15625" max="15625" width="5.125" style="3552" customWidth="1"/>
    <col min="15626" max="15626" width="11" style="3552" customWidth="1"/>
    <col min="15627" max="15627" width="2.875" style="3552" customWidth="1"/>
    <col min="15628" max="15628" width="20.5" style="3552" customWidth="1"/>
    <col min="15629" max="15629" width="42.125" style="3552" customWidth="1"/>
    <col min="15630" max="15630" width="6.625" style="3552" customWidth="1"/>
    <col min="15631" max="15631" width="5.875" style="3552" customWidth="1"/>
    <col min="15632" max="15632" width="11" style="3552" customWidth="1"/>
    <col min="15633" max="15633" width="3" style="3552" customWidth="1"/>
    <col min="15634" max="15634" width="15.125" style="3552" customWidth="1"/>
    <col min="15635" max="15635" width="29.5" style="3552" customWidth="1"/>
    <col min="15636" max="15636" width="5" style="3552" customWidth="1"/>
    <col min="15637" max="15638" width="11" style="3552" customWidth="1"/>
    <col min="15639" max="15639" width="3.625" style="3552" customWidth="1"/>
    <col min="15640" max="15640" width="11.5" style="3552" customWidth="1"/>
    <col min="15641" max="15641" width="27" style="3552" customWidth="1"/>
    <col min="15642" max="15642" width="5.625" style="3552" customWidth="1"/>
    <col min="15643" max="15643" width="6.875" style="3552" customWidth="1"/>
    <col min="15644" max="15644" width="11" style="3552" customWidth="1"/>
    <col min="15645" max="15645" width="3.125" style="3552" customWidth="1"/>
    <col min="15646" max="15646" width="15.375" style="3552" customWidth="1"/>
    <col min="15647" max="15647" width="16.625" style="3552" customWidth="1"/>
    <col min="15648" max="15648" width="6.125" style="3552" customWidth="1"/>
    <col min="15649" max="15649" width="6.375" style="3552" customWidth="1"/>
    <col min="15650" max="15650" width="11" style="3552" customWidth="1"/>
    <col min="15651" max="15651" width="3.125" style="3552" customWidth="1"/>
    <col min="15652" max="15653" width="11" style="3552" customWidth="1"/>
    <col min="15654" max="15654" width="3.625" style="3552" customWidth="1"/>
    <col min="15655" max="15872" width="11" style="3552"/>
    <col min="15873" max="15873" width="6.125" style="3552" customWidth="1"/>
    <col min="15874" max="15874" width="13.125" style="3552" customWidth="1"/>
    <col min="15875" max="15875" width="4.875" style="3552" customWidth="1"/>
    <col min="15876" max="15876" width="11" style="3552" customWidth="1"/>
    <col min="15877" max="15877" width="2.625" style="3552" customWidth="1"/>
    <col min="15878" max="15878" width="6.5" style="3552" customWidth="1"/>
    <col min="15879" max="15879" width="16.125" style="3552" customWidth="1"/>
    <col min="15880" max="15880" width="33.375" style="3552" customWidth="1"/>
    <col min="15881" max="15881" width="5.125" style="3552" customWidth="1"/>
    <col min="15882" max="15882" width="11" style="3552" customWidth="1"/>
    <col min="15883" max="15883" width="2.875" style="3552" customWidth="1"/>
    <col min="15884" max="15884" width="20.5" style="3552" customWidth="1"/>
    <col min="15885" max="15885" width="42.125" style="3552" customWidth="1"/>
    <col min="15886" max="15886" width="6.625" style="3552" customWidth="1"/>
    <col min="15887" max="15887" width="5.875" style="3552" customWidth="1"/>
    <col min="15888" max="15888" width="11" style="3552" customWidth="1"/>
    <col min="15889" max="15889" width="3" style="3552" customWidth="1"/>
    <col min="15890" max="15890" width="15.125" style="3552" customWidth="1"/>
    <col min="15891" max="15891" width="29.5" style="3552" customWidth="1"/>
    <col min="15892" max="15892" width="5" style="3552" customWidth="1"/>
    <col min="15893" max="15894" width="11" style="3552" customWidth="1"/>
    <col min="15895" max="15895" width="3.625" style="3552" customWidth="1"/>
    <col min="15896" max="15896" width="11.5" style="3552" customWidth="1"/>
    <col min="15897" max="15897" width="27" style="3552" customWidth="1"/>
    <col min="15898" max="15898" width="5.625" style="3552" customWidth="1"/>
    <col min="15899" max="15899" width="6.875" style="3552" customWidth="1"/>
    <col min="15900" max="15900" width="11" style="3552" customWidth="1"/>
    <col min="15901" max="15901" width="3.125" style="3552" customWidth="1"/>
    <col min="15902" max="15902" width="15.375" style="3552" customWidth="1"/>
    <col min="15903" max="15903" width="16.625" style="3552" customWidth="1"/>
    <col min="15904" max="15904" width="6.125" style="3552" customWidth="1"/>
    <col min="15905" max="15905" width="6.375" style="3552" customWidth="1"/>
    <col min="15906" max="15906" width="11" style="3552" customWidth="1"/>
    <col min="15907" max="15907" width="3.125" style="3552" customWidth="1"/>
    <col min="15908" max="15909" width="11" style="3552" customWidth="1"/>
    <col min="15910" max="15910" width="3.625" style="3552" customWidth="1"/>
    <col min="15911" max="16128" width="11" style="3552"/>
    <col min="16129" max="16129" width="6.125" style="3552" customWidth="1"/>
    <col min="16130" max="16130" width="13.125" style="3552" customWidth="1"/>
    <col min="16131" max="16131" width="4.875" style="3552" customWidth="1"/>
    <col min="16132" max="16132" width="11" style="3552" customWidth="1"/>
    <col min="16133" max="16133" width="2.625" style="3552" customWidth="1"/>
    <col min="16134" max="16134" width="6.5" style="3552" customWidth="1"/>
    <col min="16135" max="16135" width="16.125" style="3552" customWidth="1"/>
    <col min="16136" max="16136" width="33.375" style="3552" customWidth="1"/>
    <col min="16137" max="16137" width="5.125" style="3552" customWidth="1"/>
    <col min="16138" max="16138" width="11" style="3552" customWidth="1"/>
    <col min="16139" max="16139" width="2.875" style="3552" customWidth="1"/>
    <col min="16140" max="16140" width="20.5" style="3552" customWidth="1"/>
    <col min="16141" max="16141" width="42.125" style="3552" customWidth="1"/>
    <col min="16142" max="16142" width="6.625" style="3552" customWidth="1"/>
    <col min="16143" max="16143" width="5.875" style="3552" customWidth="1"/>
    <col min="16144" max="16144" width="11" style="3552" customWidth="1"/>
    <col min="16145" max="16145" width="3" style="3552" customWidth="1"/>
    <col min="16146" max="16146" width="15.125" style="3552" customWidth="1"/>
    <col min="16147" max="16147" width="29.5" style="3552" customWidth="1"/>
    <col min="16148" max="16148" width="5" style="3552" customWidth="1"/>
    <col min="16149" max="16150" width="11" style="3552" customWidth="1"/>
    <col min="16151" max="16151" width="3.625" style="3552" customWidth="1"/>
    <col min="16152" max="16152" width="11.5" style="3552" customWidth="1"/>
    <col min="16153" max="16153" width="27" style="3552" customWidth="1"/>
    <col min="16154" max="16154" width="5.625" style="3552" customWidth="1"/>
    <col min="16155" max="16155" width="6.875" style="3552" customWidth="1"/>
    <col min="16156" max="16156" width="11" style="3552" customWidth="1"/>
    <col min="16157" max="16157" width="3.125" style="3552" customWidth="1"/>
    <col min="16158" max="16158" width="15.375" style="3552" customWidth="1"/>
    <col min="16159" max="16159" width="16.625" style="3552" customWidth="1"/>
    <col min="16160" max="16160" width="6.125" style="3552" customWidth="1"/>
    <col min="16161" max="16161" width="6.375" style="3552" customWidth="1"/>
    <col min="16162" max="16162" width="11" style="3552" customWidth="1"/>
    <col min="16163" max="16163" width="3.125" style="3552" customWidth="1"/>
    <col min="16164" max="16165" width="11" style="3552" customWidth="1"/>
    <col min="16166" max="16166" width="3.625" style="3552" customWidth="1"/>
    <col min="16167" max="16384" width="11" style="3552"/>
  </cols>
  <sheetData>
    <row r="1" spans="1:42" ht="19.5" thickBot="1">
      <c r="A1" s="4376" t="s">
        <v>3435</v>
      </c>
      <c r="B1" s="4377"/>
      <c r="C1" s="4377"/>
      <c r="D1" s="4378"/>
      <c r="F1" s="4379" t="s">
        <v>3436</v>
      </c>
      <c r="G1" s="4380"/>
      <c r="H1" s="4380"/>
      <c r="I1" s="4380"/>
      <c r="J1" s="4381"/>
      <c r="K1" s="3553"/>
      <c r="L1" s="4382" t="s">
        <v>3437</v>
      </c>
      <c r="M1" s="4383"/>
      <c r="N1" s="4383"/>
      <c r="O1" s="4383"/>
      <c r="P1" s="4384"/>
      <c r="R1" s="4385" t="s">
        <v>3438</v>
      </c>
      <c r="S1" s="4386"/>
      <c r="T1" s="4386"/>
      <c r="U1" s="4386"/>
      <c r="V1" s="4387"/>
      <c r="X1" s="4388" t="s">
        <v>3439</v>
      </c>
      <c r="Y1" s="4389"/>
      <c r="Z1" s="4389"/>
      <c r="AA1" s="4389"/>
      <c r="AB1" s="4390"/>
      <c r="AD1" s="4355" t="s">
        <v>3440</v>
      </c>
      <c r="AE1" s="4356"/>
      <c r="AF1" s="4356"/>
      <c r="AG1" s="4356"/>
      <c r="AH1" s="4357"/>
      <c r="AJ1" s="4361" t="s">
        <v>3325</v>
      </c>
      <c r="AK1" s="4362"/>
      <c r="AL1" s="3554"/>
      <c r="AM1" s="4363" t="s">
        <v>3441</v>
      </c>
      <c r="AN1" s="4364"/>
      <c r="AO1" s="4364"/>
      <c r="AP1" s="4365"/>
    </row>
    <row r="2" spans="1:42" ht="15" thickBot="1">
      <c r="A2" s="4366" t="s">
        <v>3442</v>
      </c>
      <c r="B2" s="4367"/>
      <c r="C2" s="3555" t="s">
        <v>3350</v>
      </c>
      <c r="D2" s="3556" t="s">
        <v>3443</v>
      </c>
      <c r="F2" s="4368" t="s">
        <v>3442</v>
      </c>
      <c r="G2" s="4369"/>
      <c r="H2" s="3557" t="s">
        <v>3444</v>
      </c>
      <c r="I2" s="3558" t="s">
        <v>3445</v>
      </c>
      <c r="J2" s="3559" t="s">
        <v>3443</v>
      </c>
      <c r="K2" s="3553"/>
      <c r="L2" s="3557" t="s">
        <v>3442</v>
      </c>
      <c r="M2" s="3560" t="s">
        <v>3446</v>
      </c>
      <c r="N2" s="3561" t="s">
        <v>3447</v>
      </c>
      <c r="O2" s="3562" t="s">
        <v>3445</v>
      </c>
      <c r="P2" s="3563" t="s">
        <v>3448</v>
      </c>
      <c r="R2" s="3564" t="s">
        <v>3449</v>
      </c>
      <c r="S2" s="3565" t="s">
        <v>3446</v>
      </c>
      <c r="T2" s="3565" t="s">
        <v>3447</v>
      </c>
      <c r="U2" s="3560" t="s">
        <v>3350</v>
      </c>
      <c r="V2" s="3566" t="s">
        <v>3443</v>
      </c>
      <c r="X2" s="3567" t="s">
        <v>3442</v>
      </c>
      <c r="Y2" s="3557" t="s">
        <v>3446</v>
      </c>
      <c r="Z2" s="3568" t="s">
        <v>3447</v>
      </c>
      <c r="AA2" s="3558" t="s">
        <v>3445</v>
      </c>
      <c r="AB2" s="3559" t="s">
        <v>3443</v>
      </c>
      <c r="AD2" s="3569" t="s">
        <v>2361</v>
      </c>
      <c r="AE2" s="3569" t="s">
        <v>3450</v>
      </c>
      <c r="AF2" s="3569" t="s">
        <v>3451</v>
      </c>
      <c r="AG2" s="3570" t="s">
        <v>3350</v>
      </c>
      <c r="AH2" s="3571" t="s">
        <v>3452</v>
      </c>
      <c r="AJ2" s="3572" t="s">
        <v>3324</v>
      </c>
      <c r="AK2" s="3573" t="s">
        <v>3325</v>
      </c>
      <c r="AL2" s="3554"/>
      <c r="AM2" s="3574" t="s">
        <v>3334</v>
      </c>
      <c r="AN2" s="3572" t="s">
        <v>3453</v>
      </c>
      <c r="AO2" s="3572" t="s">
        <v>3454</v>
      </c>
      <c r="AP2" s="3573" t="s">
        <v>3455</v>
      </c>
    </row>
    <row r="3" spans="1:42" ht="15" customHeight="1" thickBot="1">
      <c r="A3" s="4370" t="s">
        <v>3456</v>
      </c>
      <c r="B3" s="3575" t="s">
        <v>3457</v>
      </c>
      <c r="C3" s="3576" t="s">
        <v>3458</v>
      </c>
      <c r="D3" s="3577">
        <v>67.81</v>
      </c>
      <c r="F3" s="3578"/>
      <c r="G3" s="3579" t="s">
        <v>3459</v>
      </c>
      <c r="H3" s="3580" t="s">
        <v>3460</v>
      </c>
      <c r="I3" s="3579" t="s">
        <v>3458</v>
      </c>
      <c r="J3" s="3581">
        <v>38.97</v>
      </c>
      <c r="K3" s="3553"/>
      <c r="L3" s="3582" t="s">
        <v>3461</v>
      </c>
      <c r="M3" s="3583" t="s">
        <v>3462</v>
      </c>
      <c r="N3" s="3584" t="s">
        <v>3463</v>
      </c>
      <c r="O3" s="3585" t="s">
        <v>3458</v>
      </c>
      <c r="P3" s="3586">
        <v>122.73</v>
      </c>
      <c r="R3" s="3587" t="s">
        <v>3464</v>
      </c>
      <c r="S3" s="3588" t="s">
        <v>3465</v>
      </c>
      <c r="T3" s="3589" t="s">
        <v>3466</v>
      </c>
      <c r="U3" s="3590" t="s">
        <v>3458</v>
      </c>
      <c r="V3" s="3591">
        <v>14.27</v>
      </c>
      <c r="X3" s="3592" t="s">
        <v>3467</v>
      </c>
      <c r="Y3" s="3593" t="s">
        <v>3468</v>
      </c>
      <c r="Z3" s="3594" t="s">
        <v>3469</v>
      </c>
      <c r="AA3" s="3579" t="s">
        <v>3458</v>
      </c>
      <c r="AB3" s="3595">
        <v>44.26</v>
      </c>
      <c r="AD3" s="3596" t="s">
        <v>3330</v>
      </c>
      <c r="AE3" s="3596" t="s">
        <v>3330</v>
      </c>
      <c r="AF3" s="3597" t="s">
        <v>3470</v>
      </c>
      <c r="AG3" s="3598" t="s">
        <v>3369</v>
      </c>
      <c r="AH3" s="3599">
        <v>1.3</v>
      </c>
      <c r="AJ3" s="3600">
        <v>2</v>
      </c>
      <c r="AK3" s="3601">
        <v>0.63</v>
      </c>
      <c r="AL3" s="3554"/>
      <c r="AM3" s="3602">
        <v>0.5</v>
      </c>
      <c r="AN3" s="3603">
        <v>0.107</v>
      </c>
      <c r="AO3" s="3603">
        <v>8.7999999999999995E-2</v>
      </c>
      <c r="AP3" s="3601">
        <v>7.9000000000000001E-2</v>
      </c>
    </row>
    <row r="4" spans="1:42" ht="12" customHeight="1" thickBot="1">
      <c r="A4" s="4371"/>
      <c r="B4" s="3604" t="s">
        <v>3471</v>
      </c>
      <c r="C4" s="3605" t="s">
        <v>3458</v>
      </c>
      <c r="D4" s="3606">
        <v>46.08</v>
      </c>
      <c r="F4" s="3607"/>
      <c r="G4" s="3608" t="s">
        <v>3459</v>
      </c>
      <c r="H4" s="3609" t="s">
        <v>3472</v>
      </c>
      <c r="I4" s="3594" t="s">
        <v>3458</v>
      </c>
      <c r="J4" s="3594">
        <v>19.739999999999998</v>
      </c>
      <c r="K4" s="3553"/>
      <c r="L4" s="3608" t="s">
        <v>3473</v>
      </c>
      <c r="M4" s="3610" t="s">
        <v>3474</v>
      </c>
      <c r="N4" s="3611" t="s">
        <v>3475</v>
      </c>
      <c r="O4" s="3594" t="s">
        <v>3458</v>
      </c>
      <c r="P4" s="3612">
        <v>60.42</v>
      </c>
      <c r="R4" s="3613" t="s">
        <v>3464</v>
      </c>
      <c r="S4" s="3614" t="s">
        <v>3476</v>
      </c>
      <c r="T4" s="3615" t="s">
        <v>3477</v>
      </c>
      <c r="U4" s="3615" t="s">
        <v>3458</v>
      </c>
      <c r="V4" s="3616">
        <v>9.59</v>
      </c>
      <c r="X4" s="3617" t="s">
        <v>3478</v>
      </c>
      <c r="Y4" s="3618" t="s">
        <v>3479</v>
      </c>
      <c r="Z4" s="3578" t="s">
        <v>3480</v>
      </c>
      <c r="AA4" s="3579" t="s">
        <v>3458</v>
      </c>
      <c r="AB4" s="3619">
        <v>22.78</v>
      </c>
      <c r="AD4" s="3596" t="s">
        <v>3429</v>
      </c>
      <c r="AE4" s="3596" t="s">
        <v>3429</v>
      </c>
      <c r="AF4" s="3597" t="s">
        <v>3481</v>
      </c>
      <c r="AG4" s="3598" t="s">
        <v>3369</v>
      </c>
      <c r="AH4" s="3599">
        <v>0.83</v>
      </c>
      <c r="AJ4" s="3620">
        <v>2.1</v>
      </c>
      <c r="AK4" s="3621">
        <v>0.66</v>
      </c>
      <c r="AL4" s="3554"/>
      <c r="AM4" s="3622">
        <v>1</v>
      </c>
      <c r="AN4" s="3623">
        <v>0.154</v>
      </c>
      <c r="AO4" s="3623">
        <v>0.13600000000000001</v>
      </c>
      <c r="AP4" s="3624">
        <v>0.127</v>
      </c>
    </row>
    <row r="5" spans="1:42" ht="14.25" customHeight="1" thickBot="1">
      <c r="A5" s="4371"/>
      <c r="B5" s="3604" t="s">
        <v>3482</v>
      </c>
      <c r="C5" s="3605" t="s">
        <v>3458</v>
      </c>
      <c r="D5" s="3606">
        <v>39.21</v>
      </c>
      <c r="F5" s="3607" t="s">
        <v>3483</v>
      </c>
      <c r="G5" s="3608" t="s">
        <v>3459</v>
      </c>
      <c r="H5" s="3625" t="s">
        <v>3484</v>
      </c>
      <c r="I5" s="3594" t="s">
        <v>3458</v>
      </c>
      <c r="J5" s="3594">
        <v>12.56</v>
      </c>
      <c r="K5" s="3553"/>
      <c r="L5" s="3608" t="s">
        <v>3485</v>
      </c>
      <c r="M5" s="3610" t="s">
        <v>3486</v>
      </c>
      <c r="N5" s="3611" t="s">
        <v>3487</v>
      </c>
      <c r="O5" s="3594" t="s">
        <v>3458</v>
      </c>
      <c r="P5" s="3612">
        <v>83.98</v>
      </c>
      <c r="R5" s="4373" t="s">
        <v>3488</v>
      </c>
      <c r="S5" s="4373" t="s">
        <v>3489</v>
      </c>
      <c r="T5" s="4373" t="s">
        <v>3490</v>
      </c>
      <c r="U5" s="4373" t="s">
        <v>3458</v>
      </c>
      <c r="V5" s="4373">
        <v>6.96</v>
      </c>
      <c r="X5" s="3626" t="s">
        <v>3491</v>
      </c>
      <c r="Y5" s="3627" t="s">
        <v>3492</v>
      </c>
      <c r="Z5" s="3578" t="s">
        <v>3493</v>
      </c>
      <c r="AA5" s="3594" t="s">
        <v>3458</v>
      </c>
      <c r="AB5" s="3612">
        <v>18.87</v>
      </c>
      <c r="AD5" s="3596" t="s">
        <v>3430</v>
      </c>
      <c r="AE5" s="3596" t="s">
        <v>3430</v>
      </c>
      <c r="AF5" s="3597" t="s">
        <v>3494</v>
      </c>
      <c r="AG5" s="3598" t="s">
        <v>3369</v>
      </c>
      <c r="AH5" s="3599">
        <v>0.75</v>
      </c>
      <c r="AJ5" s="3620">
        <v>2.2000000000000002</v>
      </c>
      <c r="AK5" s="3621">
        <v>0.69099999999999995</v>
      </c>
      <c r="AL5" s="3554"/>
      <c r="AM5" s="3628">
        <v>1.1000000000000001</v>
      </c>
      <c r="AN5" s="3629">
        <f>AN4+(AN9-AN4)/5</f>
        <v>0.16339999999999999</v>
      </c>
      <c r="AO5" s="3629">
        <f>AO4+(AO9-AO4)/5</f>
        <v>0.14560000000000001</v>
      </c>
      <c r="AP5" s="3630">
        <f>AP4+(AP9-AP4)/5</f>
        <v>0.1368</v>
      </c>
    </row>
    <row r="6" spans="1:42" ht="14.25" customHeight="1" thickBot="1">
      <c r="A6" s="4371"/>
      <c r="B6" s="3604" t="s">
        <v>3495</v>
      </c>
      <c r="C6" s="3605" t="s">
        <v>3458</v>
      </c>
      <c r="D6" s="3606">
        <v>33.78</v>
      </c>
      <c r="F6" s="3607"/>
      <c r="G6" s="3608" t="s">
        <v>3496</v>
      </c>
      <c r="H6" s="3609" t="s">
        <v>3460</v>
      </c>
      <c r="I6" s="3594" t="s">
        <v>3458</v>
      </c>
      <c r="J6" s="3594">
        <v>36.479999999999997</v>
      </c>
      <c r="K6" s="3553"/>
      <c r="L6" s="3608" t="s">
        <v>3497</v>
      </c>
      <c r="M6" s="3610" t="s">
        <v>3498</v>
      </c>
      <c r="N6" s="3611" t="s">
        <v>3499</v>
      </c>
      <c r="O6" s="3594" t="s">
        <v>3458</v>
      </c>
      <c r="P6" s="3612">
        <v>39.35</v>
      </c>
      <c r="R6" s="4374"/>
      <c r="S6" s="4374"/>
      <c r="T6" s="4374"/>
      <c r="U6" s="4375"/>
      <c r="V6" s="4374"/>
      <c r="X6" s="3626" t="s">
        <v>3500</v>
      </c>
      <c r="Y6" s="3627" t="s">
        <v>3501</v>
      </c>
      <c r="Z6" s="3578" t="s">
        <v>3502</v>
      </c>
      <c r="AA6" s="3594" t="s">
        <v>3458</v>
      </c>
      <c r="AB6" s="3612">
        <v>12.96</v>
      </c>
      <c r="AD6" s="3596" t="s">
        <v>3431</v>
      </c>
      <c r="AE6" s="3596" t="s">
        <v>3431</v>
      </c>
      <c r="AF6" s="3597" t="s">
        <v>3503</v>
      </c>
      <c r="AG6" s="3598" t="s">
        <v>3369</v>
      </c>
      <c r="AH6" s="3599">
        <v>0.56000000000000005</v>
      </c>
      <c r="AJ6" s="3620">
        <v>2.2999999999999998</v>
      </c>
      <c r="AK6" s="3621">
        <v>0.72399999999999998</v>
      </c>
      <c r="AL6" s="3554"/>
      <c r="AM6" s="3628">
        <v>1.2</v>
      </c>
      <c r="AN6" s="3631">
        <f>AN4+2*(AN9-AN4)/5</f>
        <v>0.17280000000000001</v>
      </c>
      <c r="AO6" s="3631">
        <f>AO4+2*(AO9-AO4)/5</f>
        <v>0.1552</v>
      </c>
      <c r="AP6" s="3632">
        <f>AP4+2*(AP9-AP4)/5</f>
        <v>0.14660000000000001</v>
      </c>
    </row>
    <row r="7" spans="1:42" ht="14.25" customHeight="1" thickBot="1">
      <c r="A7" s="4372"/>
      <c r="B7" s="3604" t="s">
        <v>3504</v>
      </c>
      <c r="C7" s="3605" t="s">
        <v>3458</v>
      </c>
      <c r="D7" s="3606">
        <v>17.37</v>
      </c>
      <c r="F7" s="3607" t="s">
        <v>3505</v>
      </c>
      <c r="G7" s="3608" t="s">
        <v>3496</v>
      </c>
      <c r="H7" s="3609" t="s">
        <v>3472</v>
      </c>
      <c r="I7" s="3594" t="s">
        <v>3458</v>
      </c>
      <c r="J7" s="3594">
        <v>17.21</v>
      </c>
      <c r="K7" s="3553"/>
      <c r="L7" s="3608" t="s">
        <v>3497</v>
      </c>
      <c r="M7" s="3610" t="s">
        <v>3506</v>
      </c>
      <c r="N7" s="3611" t="s">
        <v>3507</v>
      </c>
      <c r="O7" s="3594" t="s">
        <v>3458</v>
      </c>
      <c r="P7" s="3612">
        <v>40.1</v>
      </c>
      <c r="Q7" s="3553"/>
      <c r="R7" s="4373" t="s">
        <v>3488</v>
      </c>
      <c r="S7" s="3590" t="s">
        <v>3508</v>
      </c>
      <c r="T7" s="3633" t="s">
        <v>3509</v>
      </c>
      <c r="U7" s="3634" t="s">
        <v>3458</v>
      </c>
      <c r="V7" s="3616">
        <v>5.16</v>
      </c>
      <c r="X7" s="3626" t="s">
        <v>3510</v>
      </c>
      <c r="Y7" s="3625" t="s">
        <v>3511</v>
      </c>
      <c r="Z7" s="3578" t="s">
        <v>3512</v>
      </c>
      <c r="AA7" s="3594" t="s">
        <v>3458</v>
      </c>
      <c r="AB7" s="3612">
        <v>11.9</v>
      </c>
      <c r="AD7" s="3596" t="s">
        <v>3328</v>
      </c>
      <c r="AE7" s="3596" t="s">
        <v>3328</v>
      </c>
      <c r="AF7" s="3597" t="s">
        <v>3513</v>
      </c>
      <c r="AG7" s="3598" t="s">
        <v>3369</v>
      </c>
      <c r="AH7" s="3599">
        <v>1.2</v>
      </c>
      <c r="AJ7" s="3620">
        <v>2.4</v>
      </c>
      <c r="AK7" s="3621">
        <v>0.75800000000000001</v>
      </c>
      <c r="AL7" s="3554"/>
      <c r="AM7" s="3628">
        <v>1.3</v>
      </c>
      <c r="AN7" s="3631">
        <f>AN4+3*(AN9-AN4)/5</f>
        <v>0.1822</v>
      </c>
      <c r="AO7" s="3631">
        <f>AO4+3*(AO9-AO4)/5</f>
        <v>0.1648</v>
      </c>
      <c r="AP7" s="3632">
        <f>AP4+3*(AP9-AP4)/5</f>
        <v>0.15639999999999998</v>
      </c>
    </row>
    <row r="8" spans="1:42" ht="27" customHeight="1">
      <c r="A8" s="3635" t="s">
        <v>3514</v>
      </c>
      <c r="B8" s="3575" t="s">
        <v>3515</v>
      </c>
      <c r="C8" s="3576" t="s">
        <v>3458</v>
      </c>
      <c r="D8" s="3577">
        <v>26.23</v>
      </c>
      <c r="F8" s="3607"/>
      <c r="G8" s="3608" t="s">
        <v>3496</v>
      </c>
      <c r="H8" s="3625" t="s">
        <v>3484</v>
      </c>
      <c r="I8" s="3594" t="s">
        <v>3458</v>
      </c>
      <c r="J8" s="3594">
        <v>10.41</v>
      </c>
      <c r="K8" s="3553"/>
      <c r="L8" s="3608" t="s">
        <v>3516</v>
      </c>
      <c r="M8" s="3610" t="s">
        <v>3517</v>
      </c>
      <c r="N8" s="3611" t="s">
        <v>3518</v>
      </c>
      <c r="O8" s="3594" t="s">
        <v>3458</v>
      </c>
      <c r="P8" s="3612">
        <v>48.3</v>
      </c>
      <c r="Q8" s="3553"/>
      <c r="R8" s="4374"/>
      <c r="S8" s="3636" t="s">
        <v>3519</v>
      </c>
      <c r="T8" s="3637" t="s">
        <v>3520</v>
      </c>
      <c r="U8" s="3638" t="s">
        <v>3458</v>
      </c>
      <c r="V8" s="3616">
        <v>5.8</v>
      </c>
      <c r="X8" s="3626" t="s">
        <v>3521</v>
      </c>
      <c r="Y8" s="3614" t="s">
        <v>3522</v>
      </c>
      <c r="Z8" s="3594" t="s">
        <v>3523</v>
      </c>
      <c r="AA8" s="3594" t="s">
        <v>3458</v>
      </c>
      <c r="AB8" s="3612">
        <v>23.93</v>
      </c>
      <c r="AD8" s="3596" t="s">
        <v>3331</v>
      </c>
      <c r="AE8" s="3596" t="s">
        <v>3331</v>
      </c>
      <c r="AF8" s="3597" t="s">
        <v>3524</v>
      </c>
      <c r="AG8" s="3598" t="s">
        <v>3369</v>
      </c>
      <c r="AH8" s="3599">
        <v>0.53</v>
      </c>
      <c r="AJ8" s="3620">
        <v>2.5</v>
      </c>
      <c r="AK8" s="3621">
        <v>0.79400000000000004</v>
      </c>
      <c r="AL8" s="3554"/>
      <c r="AM8" s="3628">
        <v>1.4</v>
      </c>
      <c r="AN8" s="3631">
        <f>AN4+4*(AN9-AN4)/5</f>
        <v>0.19159999999999999</v>
      </c>
      <c r="AO8" s="3631">
        <f>AO4+4*(AO9-AO4)/5</f>
        <v>0.1744</v>
      </c>
      <c r="AP8" s="3632">
        <f>AP4+4*(AP9-AP4)/5</f>
        <v>0.16619999999999999</v>
      </c>
    </row>
    <row r="9" spans="1:42" ht="24" customHeight="1">
      <c r="A9" s="3639" t="s">
        <v>3525</v>
      </c>
      <c r="B9" s="3604" t="s">
        <v>3526</v>
      </c>
      <c r="C9" s="3605" t="s">
        <v>3458</v>
      </c>
      <c r="D9" s="3606">
        <v>27.03</v>
      </c>
      <c r="F9" s="3607" t="s">
        <v>3527</v>
      </c>
      <c r="G9" s="3608" t="s">
        <v>3528</v>
      </c>
      <c r="H9" s="3625" t="s">
        <v>3529</v>
      </c>
      <c r="I9" s="3594" t="s">
        <v>3458</v>
      </c>
      <c r="J9" s="3594">
        <v>27.29</v>
      </c>
      <c r="K9" s="3553"/>
      <c r="L9" s="3608" t="s">
        <v>3516</v>
      </c>
      <c r="M9" s="3610" t="s">
        <v>3530</v>
      </c>
      <c r="N9" s="3611" t="s">
        <v>3531</v>
      </c>
      <c r="O9" s="3594" t="s">
        <v>3458</v>
      </c>
      <c r="P9" s="3612">
        <v>49.64</v>
      </c>
      <c r="Q9" s="3553"/>
      <c r="R9" s="3615" t="s">
        <v>3532</v>
      </c>
      <c r="S9" s="3640" t="s">
        <v>3533</v>
      </c>
      <c r="T9" s="3615" t="s">
        <v>3534</v>
      </c>
      <c r="U9" s="3615" t="s">
        <v>3458</v>
      </c>
      <c r="V9" s="3616">
        <v>5.04</v>
      </c>
      <c r="X9" s="3626" t="s">
        <v>3521</v>
      </c>
      <c r="Y9" s="3614" t="s">
        <v>3535</v>
      </c>
      <c r="Z9" s="3594" t="s">
        <v>3536</v>
      </c>
      <c r="AA9" s="3594" t="s">
        <v>3458</v>
      </c>
      <c r="AB9" s="3612">
        <v>20.72</v>
      </c>
      <c r="AD9" s="3596" t="s">
        <v>3432</v>
      </c>
      <c r="AE9" s="3596" t="s">
        <v>3432</v>
      </c>
      <c r="AF9" s="3597" t="s">
        <v>3537</v>
      </c>
      <c r="AG9" s="3598" t="s">
        <v>3369</v>
      </c>
      <c r="AH9" s="3599">
        <v>0.5</v>
      </c>
      <c r="AJ9" s="3620">
        <v>2.6</v>
      </c>
      <c r="AK9" s="3621">
        <v>0.83099999999999996</v>
      </c>
      <c r="AL9" s="3554"/>
      <c r="AM9" s="3622">
        <v>1.5</v>
      </c>
      <c r="AN9" s="3623">
        <v>0.20100000000000001</v>
      </c>
      <c r="AO9" s="3623">
        <v>0.184</v>
      </c>
      <c r="AP9" s="3624">
        <v>0.17599999999999999</v>
      </c>
    </row>
    <row r="10" spans="1:42" ht="14.25" customHeight="1">
      <c r="A10" s="3639" t="s">
        <v>3527</v>
      </c>
      <c r="B10" s="3604" t="s">
        <v>3538</v>
      </c>
      <c r="C10" s="3605" t="s">
        <v>3458</v>
      </c>
      <c r="D10" s="3606">
        <v>30.16</v>
      </c>
      <c r="F10" s="3607"/>
      <c r="G10" s="3608" t="s">
        <v>3528</v>
      </c>
      <c r="H10" s="3625" t="s">
        <v>3539</v>
      </c>
      <c r="I10" s="3594" t="s">
        <v>3458</v>
      </c>
      <c r="J10" s="3594">
        <v>13.68</v>
      </c>
      <c r="K10" s="3553"/>
      <c r="L10" s="3608" t="s">
        <v>3540</v>
      </c>
      <c r="M10" s="3610" t="s">
        <v>3541</v>
      </c>
      <c r="N10" s="3611" t="s">
        <v>3542</v>
      </c>
      <c r="O10" s="3594" t="s">
        <v>3458</v>
      </c>
      <c r="P10" s="3612">
        <v>39.03</v>
      </c>
      <c r="Q10" s="3553"/>
      <c r="R10" s="3615" t="s">
        <v>3330</v>
      </c>
      <c r="S10" s="3640" t="s">
        <v>3543</v>
      </c>
      <c r="T10" s="3615" t="s">
        <v>3544</v>
      </c>
      <c r="U10" s="3615" t="s">
        <v>3458</v>
      </c>
      <c r="V10" s="3616">
        <v>7.32</v>
      </c>
      <c r="X10" s="3626" t="s">
        <v>3521</v>
      </c>
      <c r="Y10" s="3627" t="s">
        <v>3545</v>
      </c>
      <c r="Z10" s="3594" t="s">
        <v>3546</v>
      </c>
      <c r="AA10" s="3594" t="s">
        <v>3458</v>
      </c>
      <c r="AB10" s="3612">
        <v>16.010000000000002</v>
      </c>
      <c r="AD10" s="3596" t="s">
        <v>3433</v>
      </c>
      <c r="AE10" s="3596" t="s">
        <v>3433</v>
      </c>
      <c r="AF10" s="3597" t="s">
        <v>3547</v>
      </c>
      <c r="AG10" s="3598" t="s">
        <v>3369</v>
      </c>
      <c r="AH10" s="3599">
        <v>0.31</v>
      </c>
      <c r="AJ10" s="3620">
        <v>2.7</v>
      </c>
      <c r="AK10" s="3621">
        <v>0.871</v>
      </c>
      <c r="AL10" s="3554"/>
      <c r="AM10" s="3628">
        <v>1.6</v>
      </c>
      <c r="AN10" s="3629">
        <f>AN9+(AN14-AN9)/5</f>
        <v>0.2104</v>
      </c>
      <c r="AO10" s="3629">
        <f>AO9+(AO14-AO9)/5</f>
        <v>0.19359999999999999</v>
      </c>
      <c r="AP10" s="3630">
        <f>AP9+(AP14-AP9)/5</f>
        <v>0.18559999999999999</v>
      </c>
    </row>
    <row r="11" spans="1:42" ht="16.5" customHeight="1" thickBot="1">
      <c r="A11" s="3641" t="s">
        <v>3548</v>
      </c>
      <c r="B11" s="3642" t="s">
        <v>3549</v>
      </c>
      <c r="C11" s="3605" t="s">
        <v>3458</v>
      </c>
      <c r="D11" s="3643">
        <v>21.09</v>
      </c>
      <c r="F11" s="3607" t="s">
        <v>3550</v>
      </c>
      <c r="G11" s="3608" t="s">
        <v>3528</v>
      </c>
      <c r="H11" s="3625" t="s">
        <v>3484</v>
      </c>
      <c r="I11" s="3594" t="s">
        <v>3458</v>
      </c>
      <c r="J11" s="3594">
        <v>9.5299999999999994</v>
      </c>
      <c r="K11" s="3553"/>
      <c r="L11" s="3608" t="s">
        <v>3551</v>
      </c>
      <c r="M11" s="3610" t="s">
        <v>3552</v>
      </c>
      <c r="N11" s="3611" t="s">
        <v>3553</v>
      </c>
      <c r="O11" s="3594" t="s">
        <v>3458</v>
      </c>
      <c r="P11" s="3612">
        <v>43.11</v>
      </c>
      <c r="Q11" s="3553"/>
      <c r="R11" s="3644" t="s">
        <v>3330</v>
      </c>
      <c r="S11" s="3645" t="s">
        <v>3554</v>
      </c>
      <c r="T11" s="3644" t="s">
        <v>3555</v>
      </c>
      <c r="U11" s="3644" t="s">
        <v>3458</v>
      </c>
      <c r="V11" s="3646">
        <v>6.13</v>
      </c>
      <c r="X11" s="3626" t="s">
        <v>3556</v>
      </c>
      <c r="Y11" s="3627" t="s">
        <v>3557</v>
      </c>
      <c r="Z11" s="3594" t="s">
        <v>3463</v>
      </c>
      <c r="AA11" s="3594" t="s">
        <v>3458</v>
      </c>
      <c r="AB11" s="3612">
        <v>11.21</v>
      </c>
      <c r="AD11" s="3647" t="s">
        <v>3434</v>
      </c>
      <c r="AE11" s="3647" t="s">
        <v>3434</v>
      </c>
      <c r="AF11" s="3597" t="s">
        <v>3558</v>
      </c>
      <c r="AG11" s="3598" t="s">
        <v>3369</v>
      </c>
      <c r="AH11" s="3648">
        <v>0.56999999999999995</v>
      </c>
      <c r="AJ11" s="3620">
        <v>2.8</v>
      </c>
      <c r="AK11" s="3621">
        <v>0.91200000000000003</v>
      </c>
      <c r="AL11" s="3554"/>
      <c r="AM11" s="3628">
        <v>1.7</v>
      </c>
      <c r="AN11" s="3631">
        <f>AN9+2*(AN14-AN9)/5</f>
        <v>0.2198</v>
      </c>
      <c r="AO11" s="3631">
        <f>AO9+2*(AO14-AO9)/5</f>
        <v>0.20319999999999999</v>
      </c>
      <c r="AP11" s="3632">
        <f>AP9+2*(AP14-AP9)/5</f>
        <v>0.19519999999999998</v>
      </c>
    </row>
    <row r="12" spans="1:42" ht="14.25" customHeight="1" thickBot="1">
      <c r="A12" s="4391" t="s">
        <v>3559</v>
      </c>
      <c r="B12" s="4391" t="s">
        <v>3560</v>
      </c>
      <c r="C12" s="4370" t="s">
        <v>3458</v>
      </c>
      <c r="D12" s="4370">
        <v>10.24</v>
      </c>
      <c r="F12" s="3607"/>
      <c r="G12" s="3608" t="s">
        <v>3561</v>
      </c>
      <c r="H12" s="3625" t="s">
        <v>3562</v>
      </c>
      <c r="I12" s="3594" t="s">
        <v>3458</v>
      </c>
      <c r="J12" s="3594">
        <v>3.08</v>
      </c>
      <c r="K12" s="3553"/>
      <c r="L12" s="3608" t="s">
        <v>3551</v>
      </c>
      <c r="M12" s="3610" t="s">
        <v>3563</v>
      </c>
      <c r="N12" s="3611" t="s">
        <v>3564</v>
      </c>
      <c r="O12" s="3594" t="s">
        <v>3458</v>
      </c>
      <c r="P12" s="3612">
        <v>44.11</v>
      </c>
      <c r="Q12" s="3649"/>
      <c r="R12" s="3650"/>
      <c r="S12" s="3651"/>
      <c r="T12" s="3650"/>
      <c r="U12" s="3650"/>
      <c r="V12" s="3650"/>
      <c r="X12" s="3626" t="s">
        <v>3565</v>
      </c>
      <c r="Y12" s="3627" t="s">
        <v>3566</v>
      </c>
      <c r="Z12" s="3594" t="s">
        <v>3567</v>
      </c>
      <c r="AA12" s="3594" t="s">
        <v>3458</v>
      </c>
      <c r="AB12" s="3612">
        <v>10.98</v>
      </c>
      <c r="AD12" s="3652" t="s">
        <v>3329</v>
      </c>
      <c r="AE12" s="3652" t="s">
        <v>3329</v>
      </c>
      <c r="AF12" s="3653" t="s">
        <v>3568</v>
      </c>
      <c r="AG12" s="3654" t="s">
        <v>3369</v>
      </c>
      <c r="AH12" s="3655">
        <v>0.39</v>
      </c>
      <c r="AJ12" s="3620">
        <v>2.9</v>
      </c>
      <c r="AK12" s="3621">
        <v>0.95499999999999996</v>
      </c>
      <c r="AL12" s="3554"/>
      <c r="AM12" s="3628">
        <v>1.8</v>
      </c>
      <c r="AN12" s="3631">
        <f>AN9+3*(AN14-AN9)/5</f>
        <v>0.22920000000000001</v>
      </c>
      <c r="AO12" s="3631">
        <f>AO9+3*(AO14-AO9)/5</f>
        <v>0.21280000000000002</v>
      </c>
      <c r="AP12" s="3632">
        <f>AP9+3*(AP14-AP9)/5</f>
        <v>0.20480000000000001</v>
      </c>
    </row>
    <row r="13" spans="1:42" ht="14.25" customHeight="1" thickBot="1">
      <c r="A13" s="4392"/>
      <c r="B13" s="4372"/>
      <c r="C13" s="4372"/>
      <c r="D13" s="4372"/>
      <c r="F13" s="3607"/>
      <c r="G13" s="3608" t="s">
        <v>3561</v>
      </c>
      <c r="H13" s="3609" t="s">
        <v>3569</v>
      </c>
      <c r="I13" s="3594" t="s">
        <v>3458</v>
      </c>
      <c r="J13" s="3594">
        <v>5.42</v>
      </c>
      <c r="K13" s="3553"/>
      <c r="L13" s="3608" t="s">
        <v>3570</v>
      </c>
      <c r="M13" s="3610" t="s">
        <v>3571</v>
      </c>
      <c r="N13" s="3611" t="s">
        <v>3572</v>
      </c>
      <c r="O13" s="3594" t="s">
        <v>3458</v>
      </c>
      <c r="P13" s="3612">
        <v>22.02</v>
      </c>
      <c r="Q13" s="3649"/>
      <c r="R13" s="3656"/>
      <c r="S13" s="3656"/>
      <c r="T13" s="3656"/>
      <c r="U13" s="3656"/>
      <c r="V13" s="3656"/>
      <c r="X13" s="3626" t="s">
        <v>3573</v>
      </c>
      <c r="Y13" s="3627" t="s">
        <v>3574</v>
      </c>
      <c r="Z13" s="3594" t="s">
        <v>3575</v>
      </c>
      <c r="AA13" s="3594" t="s">
        <v>3458</v>
      </c>
      <c r="AB13" s="3612">
        <v>14.11</v>
      </c>
      <c r="AD13" s="3657"/>
      <c r="AE13" s="3658"/>
      <c r="AF13" s="3659"/>
      <c r="AG13" s="3660"/>
      <c r="AH13" s="3661"/>
      <c r="AJ13" s="3620">
        <v>3</v>
      </c>
      <c r="AK13" s="3662">
        <v>1</v>
      </c>
      <c r="AL13" s="3554"/>
      <c r="AM13" s="3628">
        <v>1.9</v>
      </c>
      <c r="AN13" s="3631">
        <f>AN9+4*(AN14-AN9)/5</f>
        <v>0.23860000000000001</v>
      </c>
      <c r="AO13" s="3631">
        <f>AO9+4*(AO14-AO9)/5</f>
        <v>0.22240000000000001</v>
      </c>
      <c r="AP13" s="3632">
        <f>AP9+4*(AP14-AP9)/5</f>
        <v>0.21440000000000001</v>
      </c>
    </row>
    <row r="14" spans="1:42" ht="14.25" customHeight="1" thickBot="1">
      <c r="A14" s="3635" t="s">
        <v>3576</v>
      </c>
      <c r="B14" s="3663" t="s">
        <v>3577</v>
      </c>
      <c r="C14" s="3576" t="s">
        <v>3458</v>
      </c>
      <c r="D14" s="3577">
        <v>25.57</v>
      </c>
      <c r="F14" s="3664"/>
      <c r="G14" s="3608" t="s">
        <v>3561</v>
      </c>
      <c r="H14" s="3609" t="s">
        <v>3578</v>
      </c>
      <c r="I14" s="3594" t="s">
        <v>3458</v>
      </c>
      <c r="J14" s="3594">
        <v>6.29</v>
      </c>
      <c r="K14" s="3553"/>
      <c r="L14" s="3665" t="s">
        <v>3570</v>
      </c>
      <c r="M14" s="3666" t="s">
        <v>3579</v>
      </c>
      <c r="N14" s="3667" t="s">
        <v>3580</v>
      </c>
      <c r="O14" s="3668" t="s">
        <v>3458</v>
      </c>
      <c r="P14" s="3669">
        <v>13.76</v>
      </c>
      <c r="Q14" s="3553"/>
      <c r="R14" s="4358" t="s">
        <v>3581</v>
      </c>
      <c r="S14" s="4359"/>
      <c r="T14" s="4359"/>
      <c r="U14" s="4359"/>
      <c r="V14" s="4360"/>
      <c r="X14" s="3626" t="s">
        <v>3573</v>
      </c>
      <c r="Y14" s="3627" t="s">
        <v>3582</v>
      </c>
      <c r="Z14" s="3594" t="s">
        <v>3583</v>
      </c>
      <c r="AA14" s="3594" t="s">
        <v>3458</v>
      </c>
      <c r="AB14" s="3612">
        <v>11.04</v>
      </c>
      <c r="AJ14" s="3620">
        <v>3.1</v>
      </c>
      <c r="AK14" s="3621">
        <v>1.0469999999999999</v>
      </c>
      <c r="AL14" s="3554"/>
      <c r="AM14" s="3622">
        <v>2</v>
      </c>
      <c r="AN14" s="3623">
        <v>0.248</v>
      </c>
      <c r="AO14" s="3623">
        <v>0.23200000000000001</v>
      </c>
      <c r="AP14" s="3624">
        <v>0.224</v>
      </c>
    </row>
    <row r="15" spans="1:42" ht="15" customHeight="1" thickBot="1">
      <c r="A15" s="3639" t="s">
        <v>3584</v>
      </c>
      <c r="B15" s="3604" t="s">
        <v>3585</v>
      </c>
      <c r="C15" s="3605" t="s">
        <v>3458</v>
      </c>
      <c r="D15" s="3606">
        <v>36.46</v>
      </c>
      <c r="F15" s="3670" t="s">
        <v>3586</v>
      </c>
      <c r="G15" s="3594" t="s">
        <v>3587</v>
      </c>
      <c r="H15" s="3609" t="s">
        <v>3588</v>
      </c>
      <c r="I15" s="3594" t="s">
        <v>3458</v>
      </c>
      <c r="J15" s="3594">
        <v>8.3800000000000008</v>
      </c>
      <c r="K15" s="3649"/>
      <c r="L15" s="3656"/>
      <c r="M15" s="3656"/>
      <c r="N15" s="3656"/>
      <c r="O15" s="3656"/>
      <c r="P15" s="3656"/>
      <c r="Q15" s="3554"/>
      <c r="R15" s="3671" t="s">
        <v>3589</v>
      </c>
      <c r="S15" s="3568" t="s">
        <v>3446</v>
      </c>
      <c r="T15" s="3568" t="s">
        <v>3447</v>
      </c>
      <c r="U15" s="3558" t="s">
        <v>3350</v>
      </c>
      <c r="V15" s="3559" t="s">
        <v>3443</v>
      </c>
      <c r="X15" s="3626" t="s">
        <v>3590</v>
      </c>
      <c r="Y15" s="3627"/>
      <c r="Z15" s="3594" t="s">
        <v>3591</v>
      </c>
      <c r="AA15" s="3594" t="s">
        <v>3458</v>
      </c>
      <c r="AB15" s="3612">
        <v>8.48</v>
      </c>
      <c r="AJ15" s="3620">
        <v>3.2</v>
      </c>
      <c r="AK15" s="3621">
        <v>1.097</v>
      </c>
      <c r="AL15" s="3554"/>
      <c r="AM15" s="3628">
        <v>2.1</v>
      </c>
      <c r="AN15" s="3629">
        <f>AN14+(AN19-AN14)/5</f>
        <v>0.25740000000000002</v>
      </c>
      <c r="AO15" s="3629">
        <f>AO14+(AO19-AO14)/5</f>
        <v>0.24160000000000001</v>
      </c>
      <c r="AP15" s="3630">
        <f>AP14+(AP19-AP14)/5</f>
        <v>0.23380000000000001</v>
      </c>
    </row>
    <row r="16" spans="1:42" ht="14.25" customHeight="1" thickBot="1">
      <c r="A16" s="3639" t="s">
        <v>3592</v>
      </c>
      <c r="B16" s="4396" t="s">
        <v>3593</v>
      </c>
      <c r="C16" s="4397" t="s">
        <v>3458</v>
      </c>
      <c r="D16" s="4397">
        <v>28.83</v>
      </c>
      <c r="F16" s="3672" t="s">
        <v>3594</v>
      </c>
      <c r="G16" s="3594" t="s">
        <v>3587</v>
      </c>
      <c r="H16" s="3673" t="s">
        <v>3595</v>
      </c>
      <c r="I16" s="3585" t="s">
        <v>3458</v>
      </c>
      <c r="J16" s="3674">
        <v>9.2799999999999994</v>
      </c>
      <c r="K16" s="3649"/>
      <c r="L16" s="4398"/>
      <c r="M16" s="4398"/>
      <c r="R16" s="3675" t="s">
        <v>3596</v>
      </c>
      <c r="S16" s="3676" t="s">
        <v>3597</v>
      </c>
      <c r="T16" s="3579" t="s">
        <v>3598</v>
      </c>
      <c r="U16" s="3579" t="s">
        <v>3458</v>
      </c>
      <c r="V16" s="3581">
        <v>6.79</v>
      </c>
      <c r="X16" s="3626" t="s">
        <v>3599</v>
      </c>
      <c r="Y16" s="3627" t="s">
        <v>3600</v>
      </c>
      <c r="Z16" s="3594" t="s">
        <v>3601</v>
      </c>
      <c r="AA16" s="3594" t="s">
        <v>3458</v>
      </c>
      <c r="AB16" s="3612">
        <v>10.5</v>
      </c>
      <c r="AJ16" s="3620">
        <v>3.3</v>
      </c>
      <c r="AK16" s="3621">
        <v>1.149</v>
      </c>
      <c r="AL16" s="3554"/>
      <c r="AM16" s="3628">
        <v>2.2000000000000002</v>
      </c>
      <c r="AN16" s="3631">
        <f>AN14+2*(AN19-AN14)/5</f>
        <v>0.26679999999999998</v>
      </c>
      <c r="AO16" s="3631">
        <f>AO14+2*(AO19-AO14)/5</f>
        <v>0.25120000000000003</v>
      </c>
      <c r="AP16" s="3632">
        <f>AP14+2*(AP19-AP14)/5</f>
        <v>0.24360000000000001</v>
      </c>
    </row>
    <row r="17" spans="1:42" ht="15" customHeight="1" thickBot="1">
      <c r="A17" s="3641" t="s">
        <v>3313</v>
      </c>
      <c r="B17" s="4372"/>
      <c r="C17" s="4372"/>
      <c r="D17" s="4372"/>
      <c r="F17" s="3677" t="s">
        <v>3550</v>
      </c>
      <c r="G17" s="3594" t="s">
        <v>3587</v>
      </c>
      <c r="H17" s="3609" t="s">
        <v>3602</v>
      </c>
      <c r="I17" s="3594" t="s">
        <v>3458</v>
      </c>
      <c r="J17" s="3586">
        <v>12.75</v>
      </c>
      <c r="K17" s="3649"/>
      <c r="L17" s="4399" t="s">
        <v>3603</v>
      </c>
      <c r="M17" s="4400"/>
      <c r="R17" s="3675" t="s">
        <v>3431</v>
      </c>
      <c r="S17" s="3625" t="s">
        <v>3604</v>
      </c>
      <c r="T17" s="3594" t="s">
        <v>3605</v>
      </c>
      <c r="U17" s="3594" t="s">
        <v>3458</v>
      </c>
      <c r="V17" s="3678">
        <v>8.75</v>
      </c>
      <c r="X17" s="3626" t="s">
        <v>3606</v>
      </c>
      <c r="Y17" s="3627" t="s">
        <v>3607</v>
      </c>
      <c r="Z17" s="3594" t="s">
        <v>3608</v>
      </c>
      <c r="AA17" s="3594" t="s">
        <v>3458</v>
      </c>
      <c r="AB17" s="3612">
        <v>5.28</v>
      </c>
      <c r="AJ17" s="3620">
        <v>3.4</v>
      </c>
      <c r="AK17" s="3621">
        <v>1.2030000000000001</v>
      </c>
      <c r="AL17" s="3554"/>
      <c r="AM17" s="3628">
        <v>2.2999999999999998</v>
      </c>
      <c r="AN17" s="3631">
        <f>AN14+3*(AN19-AN14)/5</f>
        <v>0.2762</v>
      </c>
      <c r="AO17" s="3631">
        <f>AO14+3*(AO19-AO14)/5</f>
        <v>0.26080000000000003</v>
      </c>
      <c r="AP17" s="3632">
        <f>AP14+3*(AP19-AP14)/5</f>
        <v>0.25340000000000001</v>
      </c>
    </row>
    <row r="18" spans="1:42" ht="14.25" customHeight="1" thickBot="1">
      <c r="A18" s="3679"/>
      <c r="B18" s="3680" t="s">
        <v>3609</v>
      </c>
      <c r="C18" s="3576" t="s">
        <v>3458</v>
      </c>
      <c r="D18" s="3577">
        <v>11.97</v>
      </c>
      <c r="F18" s="3681"/>
      <c r="G18" s="3682" t="s">
        <v>3610</v>
      </c>
      <c r="H18" s="3609" t="s">
        <v>3588</v>
      </c>
      <c r="I18" s="3594" t="s">
        <v>3458</v>
      </c>
      <c r="J18" s="3683">
        <v>12.88</v>
      </c>
      <c r="K18" s="3649"/>
      <c r="L18" s="3684" t="s">
        <v>3320</v>
      </c>
      <c r="M18" s="3573" t="s">
        <v>3611</v>
      </c>
      <c r="R18" s="3675" t="s">
        <v>3431</v>
      </c>
      <c r="S18" s="3625" t="s">
        <v>3612</v>
      </c>
      <c r="T18" s="3594" t="s">
        <v>3613</v>
      </c>
      <c r="U18" s="3594" t="s">
        <v>3458</v>
      </c>
      <c r="V18" s="3678">
        <v>6</v>
      </c>
      <c r="AG18" s="3685"/>
      <c r="AH18" s="3686"/>
      <c r="AJ18" s="3620">
        <v>3.5</v>
      </c>
      <c r="AK18" s="3662">
        <v>1.26</v>
      </c>
      <c r="AL18" s="3554"/>
      <c r="AM18" s="3628">
        <v>2.4</v>
      </c>
      <c r="AN18" s="3631">
        <f>AN14+4*(AN19-AN14)/5</f>
        <v>0.28559999999999997</v>
      </c>
      <c r="AO18" s="3631">
        <f>AO14+4*(AO19-AO14)/5</f>
        <v>0.27040000000000003</v>
      </c>
      <c r="AP18" s="3632">
        <f>AP14+4*(AP19-AP14)/5</f>
        <v>0.26319999999999999</v>
      </c>
    </row>
    <row r="19" spans="1:42" ht="15" customHeight="1" thickBot="1">
      <c r="A19" s="3687" t="s">
        <v>3614</v>
      </c>
      <c r="B19" s="3688" t="s">
        <v>3615</v>
      </c>
      <c r="C19" s="3605" t="s">
        <v>3458</v>
      </c>
      <c r="D19" s="3606">
        <v>11.9</v>
      </c>
      <c r="F19" s="3672" t="s">
        <v>3616</v>
      </c>
      <c r="G19" s="3682" t="s">
        <v>3610</v>
      </c>
      <c r="H19" s="3609" t="s">
        <v>3617</v>
      </c>
      <c r="I19" s="3594" t="s">
        <v>3458</v>
      </c>
      <c r="J19" s="3683">
        <v>17.97</v>
      </c>
      <c r="K19" s="3649"/>
      <c r="L19" s="3689">
        <v>0.2</v>
      </c>
      <c r="M19" s="3690">
        <v>1</v>
      </c>
      <c r="R19" s="3675" t="s">
        <v>3618</v>
      </c>
      <c r="S19" s="3625" t="s">
        <v>3619</v>
      </c>
      <c r="T19" s="3594" t="s">
        <v>3620</v>
      </c>
      <c r="U19" s="3594" t="s">
        <v>3458</v>
      </c>
      <c r="V19" s="3678">
        <v>9.15</v>
      </c>
      <c r="X19" s="4401" t="s">
        <v>3621</v>
      </c>
      <c r="Y19" s="4402"/>
      <c r="Z19" s="4403"/>
      <c r="AB19" s="4393" t="s">
        <v>3622</v>
      </c>
      <c r="AC19" s="4394"/>
      <c r="AD19" s="4394"/>
      <c r="AE19" s="4394"/>
      <c r="AF19" s="4394"/>
      <c r="AG19" s="4395"/>
      <c r="AJ19" s="3620">
        <v>3.6</v>
      </c>
      <c r="AK19" s="3662">
        <v>1.32</v>
      </c>
      <c r="AL19" s="3554"/>
      <c r="AM19" s="3622">
        <v>2.5</v>
      </c>
      <c r="AN19" s="3623">
        <v>0.29499999999999998</v>
      </c>
      <c r="AO19" s="3691">
        <v>0.28000000000000003</v>
      </c>
      <c r="AP19" s="3624">
        <v>0.27300000000000002</v>
      </c>
    </row>
    <row r="20" spans="1:42" ht="24.75" thickBot="1">
      <c r="A20" s="3687"/>
      <c r="B20" s="3688" t="s">
        <v>3623</v>
      </c>
      <c r="C20" s="3692" t="s">
        <v>3458</v>
      </c>
      <c r="D20" s="3606">
        <v>13.03</v>
      </c>
      <c r="F20" s="3672" t="s">
        <v>3527</v>
      </c>
      <c r="G20" s="3682" t="s">
        <v>3610</v>
      </c>
      <c r="H20" s="3693" t="s">
        <v>3624</v>
      </c>
      <c r="I20" s="3594" t="s">
        <v>3458</v>
      </c>
      <c r="J20" s="3612">
        <v>23.73</v>
      </c>
      <c r="L20" s="3694">
        <v>0.3</v>
      </c>
      <c r="M20" s="3695">
        <v>1.1000000000000001</v>
      </c>
      <c r="R20" s="3675" t="s">
        <v>3625</v>
      </c>
      <c r="S20" s="3625" t="s">
        <v>3626</v>
      </c>
      <c r="T20" s="3594" t="s">
        <v>3627</v>
      </c>
      <c r="U20" s="3594" t="s">
        <v>3458</v>
      </c>
      <c r="V20" s="3678">
        <v>5.2</v>
      </c>
      <c r="X20" s="3572" t="s">
        <v>3628</v>
      </c>
      <c r="Y20" s="3573" t="s">
        <v>3629</v>
      </c>
      <c r="Z20" s="3573" t="s">
        <v>3630</v>
      </c>
      <c r="AB20" s="3696" t="s">
        <v>3631</v>
      </c>
      <c r="AC20" s="3697" t="s">
        <v>3632</v>
      </c>
      <c r="AD20" s="3697" t="s">
        <v>3633</v>
      </c>
      <c r="AE20" s="3697" t="s">
        <v>3634</v>
      </c>
      <c r="AF20" s="3697" t="s">
        <v>3635</v>
      </c>
      <c r="AG20" s="3697" t="s">
        <v>3636</v>
      </c>
      <c r="AJ20" s="3620">
        <v>3.7</v>
      </c>
      <c r="AK20" s="3621">
        <v>1.3819999999999999</v>
      </c>
      <c r="AL20" s="3554"/>
      <c r="AM20" s="3628">
        <v>2.6</v>
      </c>
      <c r="AN20" s="3629">
        <f>AN19+(AN24-AN19)/5</f>
        <v>0.3044</v>
      </c>
      <c r="AO20" s="3629">
        <f>AO19+(AO24-AO19)/5</f>
        <v>0.28960000000000002</v>
      </c>
      <c r="AP20" s="3630">
        <f>AP19+(AP24-AP19)/5</f>
        <v>0.28260000000000002</v>
      </c>
    </row>
    <row r="21" spans="1:42" ht="15" customHeight="1">
      <c r="A21" s="3687" t="s">
        <v>3637</v>
      </c>
      <c r="B21" s="3688" t="s">
        <v>3638</v>
      </c>
      <c r="C21" s="3605" t="s">
        <v>3458</v>
      </c>
      <c r="D21" s="3606">
        <v>8.19</v>
      </c>
      <c r="F21" s="3672" t="s">
        <v>3550</v>
      </c>
      <c r="G21" s="3682" t="s">
        <v>3610</v>
      </c>
      <c r="H21" s="3693" t="s">
        <v>3639</v>
      </c>
      <c r="I21" s="3594" t="s">
        <v>3458</v>
      </c>
      <c r="J21" s="3683">
        <v>30.51</v>
      </c>
      <c r="K21" s="3649"/>
      <c r="L21" s="3694">
        <v>0.5</v>
      </c>
      <c r="M21" s="3695">
        <v>1.2</v>
      </c>
      <c r="R21" s="3675" t="s">
        <v>3640</v>
      </c>
      <c r="S21" s="3625"/>
      <c r="T21" s="3594" t="s">
        <v>3641</v>
      </c>
      <c r="U21" s="3594" t="s">
        <v>3458</v>
      </c>
      <c r="V21" s="3678">
        <v>6.56</v>
      </c>
      <c r="X21" s="3698">
        <v>1</v>
      </c>
      <c r="Y21" s="3699">
        <v>1.5</v>
      </c>
      <c r="Z21" s="3700">
        <v>0</v>
      </c>
      <c r="AB21" s="3701">
        <v>0</v>
      </c>
      <c r="AC21" s="3702">
        <v>1.98</v>
      </c>
      <c r="AD21" s="3703">
        <v>1.99</v>
      </c>
      <c r="AE21" s="3703">
        <v>2</v>
      </c>
      <c r="AF21" s="3703">
        <v>2.0099999999999998</v>
      </c>
      <c r="AG21" s="3703">
        <v>2.02</v>
      </c>
      <c r="AJ21" s="3620">
        <v>3.8</v>
      </c>
      <c r="AK21" s="3621">
        <v>1.4470000000000001</v>
      </c>
      <c r="AL21" s="3554"/>
      <c r="AM21" s="3628">
        <v>2.7</v>
      </c>
      <c r="AN21" s="3631">
        <f>AN19+2*(AN24-AN19)/5</f>
        <v>0.31380000000000002</v>
      </c>
      <c r="AO21" s="3631">
        <f>AO19+2*(AO24-AO19)/5</f>
        <v>0.29920000000000002</v>
      </c>
      <c r="AP21" s="3632">
        <f>AP19+2*(AP24-AP19)/5</f>
        <v>0.29220000000000002</v>
      </c>
    </row>
    <row r="22" spans="1:42">
      <c r="A22" s="3687"/>
      <c r="B22" s="3688" t="s">
        <v>3642</v>
      </c>
      <c r="C22" s="3704" t="s">
        <v>3458</v>
      </c>
      <c r="D22" s="3606">
        <v>4.6399999999999997</v>
      </c>
      <c r="F22" s="3672"/>
      <c r="G22" s="3705" t="s">
        <v>3643</v>
      </c>
      <c r="H22" s="3706" t="s">
        <v>3644</v>
      </c>
      <c r="I22" s="3594" t="s">
        <v>3458</v>
      </c>
      <c r="J22" s="3683">
        <v>6.56</v>
      </c>
      <c r="K22" s="3656"/>
      <c r="L22" s="3694">
        <v>0.8</v>
      </c>
      <c r="M22" s="3695">
        <v>1.3</v>
      </c>
      <c r="R22" s="3675" t="s">
        <v>3645</v>
      </c>
      <c r="S22" s="3625"/>
      <c r="T22" s="3594" t="s">
        <v>3645</v>
      </c>
      <c r="U22" s="3594" t="s">
        <v>3458</v>
      </c>
      <c r="V22" s="3678">
        <v>6</v>
      </c>
      <c r="X22" s="3707">
        <v>2</v>
      </c>
      <c r="Y22" s="3708">
        <v>1.3</v>
      </c>
      <c r="Z22" s="3709">
        <v>1</v>
      </c>
      <c r="AB22" s="3701">
        <v>0.1</v>
      </c>
      <c r="AC22" s="3702">
        <v>1.881</v>
      </c>
      <c r="AD22" s="3703">
        <v>1.891</v>
      </c>
      <c r="AE22" s="3703">
        <v>1.9</v>
      </c>
      <c r="AF22" s="3703">
        <v>1.91</v>
      </c>
      <c r="AG22" s="3703">
        <v>1.919</v>
      </c>
      <c r="AJ22" s="3620">
        <v>3.9</v>
      </c>
      <c r="AK22" s="3621">
        <v>1.516</v>
      </c>
      <c r="AL22" s="3554"/>
      <c r="AM22" s="3628">
        <v>2.8</v>
      </c>
      <c r="AN22" s="3631">
        <f>AN19+3*(AN24-AN19)/5</f>
        <v>0.32319999999999999</v>
      </c>
      <c r="AO22" s="3631">
        <f>AO19+3*(AO24-AO19)/5</f>
        <v>0.30880000000000002</v>
      </c>
      <c r="AP22" s="3632">
        <f>AP19+3*(AP24-AP19)/5</f>
        <v>0.30180000000000001</v>
      </c>
    </row>
    <row r="23" spans="1:42" ht="15" thickBot="1">
      <c r="A23" s="3687" t="s">
        <v>3527</v>
      </c>
      <c r="B23" s="3688" t="s">
        <v>3646</v>
      </c>
      <c r="C23" s="3605" t="s">
        <v>3458</v>
      </c>
      <c r="D23" s="3606">
        <v>5.77</v>
      </c>
      <c r="F23" s="3677"/>
      <c r="G23" s="3710" t="s">
        <v>3643</v>
      </c>
      <c r="H23" s="3711" t="s">
        <v>3647</v>
      </c>
      <c r="I23" s="3668" t="s">
        <v>3458</v>
      </c>
      <c r="J23" s="3669">
        <v>15.79</v>
      </c>
      <c r="K23" s="3656"/>
      <c r="L23" s="3694">
        <v>1</v>
      </c>
      <c r="M23" s="3695">
        <v>1.4</v>
      </c>
      <c r="R23" s="3675" t="s">
        <v>3648</v>
      </c>
      <c r="S23" s="3625"/>
      <c r="T23" s="3594" t="s">
        <v>3648</v>
      </c>
      <c r="U23" s="3594" t="s">
        <v>3458</v>
      </c>
      <c r="V23" s="3678">
        <v>5.98</v>
      </c>
      <c r="X23" s="3707">
        <v>3</v>
      </c>
      <c r="Y23" s="3712">
        <v>1</v>
      </c>
      <c r="Z23" s="3713">
        <v>2</v>
      </c>
      <c r="AB23" s="3701">
        <v>0.2</v>
      </c>
      <c r="AC23" s="3702">
        <v>1.782</v>
      </c>
      <c r="AD23" s="3703">
        <v>1.7909999999999999</v>
      </c>
      <c r="AE23" s="3703">
        <v>1.8</v>
      </c>
      <c r="AF23" s="3703">
        <v>1.8089999999999999</v>
      </c>
      <c r="AG23" s="3703">
        <v>1.8180000000000001</v>
      </c>
      <c r="AJ23" s="3620">
        <v>4</v>
      </c>
      <c r="AK23" s="3621">
        <v>1.5880000000000001</v>
      </c>
      <c r="AL23" s="3554"/>
      <c r="AM23" s="3628">
        <v>2.9</v>
      </c>
      <c r="AN23" s="3631">
        <f>AN19+4*(AN24-AN19)/5</f>
        <v>0.33260000000000001</v>
      </c>
      <c r="AO23" s="3631">
        <f>AO19+4*(AO24-AO19)/5</f>
        <v>0.31840000000000002</v>
      </c>
      <c r="AP23" s="3632">
        <f>AP19+4*(AP24-AP19)/5</f>
        <v>0.31140000000000001</v>
      </c>
    </row>
    <row r="24" spans="1:42">
      <c r="A24" s="3687"/>
      <c r="B24" s="3688" t="s">
        <v>3649</v>
      </c>
      <c r="C24" s="3692" t="s">
        <v>3458</v>
      </c>
      <c r="D24" s="3606">
        <v>23.63</v>
      </c>
      <c r="F24" s="3656"/>
      <c r="G24" s="3656"/>
      <c r="H24" s="3656"/>
      <c r="I24" s="3656"/>
      <c r="J24" s="3656"/>
      <c r="K24" s="3656"/>
      <c r="L24" s="3694">
        <v>1.3</v>
      </c>
      <c r="M24" s="3695">
        <v>1.5</v>
      </c>
      <c r="R24" s="3675" t="s">
        <v>3650</v>
      </c>
      <c r="S24" s="3625"/>
      <c r="T24" s="3594" t="s">
        <v>3650</v>
      </c>
      <c r="U24" s="3594" t="s">
        <v>3458</v>
      </c>
      <c r="V24" s="3678">
        <v>2.91</v>
      </c>
      <c r="X24" s="3707">
        <v>4</v>
      </c>
      <c r="Y24" s="3708">
        <v>0.96</v>
      </c>
      <c r="Z24" s="3713">
        <v>3</v>
      </c>
      <c r="AB24" s="3701">
        <v>0.3</v>
      </c>
      <c r="AC24" s="3702">
        <v>1.6830000000000001</v>
      </c>
      <c r="AD24" s="3703">
        <v>1.6919999999999999</v>
      </c>
      <c r="AE24" s="3703">
        <v>1.7</v>
      </c>
      <c r="AF24" s="3703">
        <v>1.7090000000000001</v>
      </c>
      <c r="AG24" s="3703">
        <v>1.7170000000000001</v>
      </c>
      <c r="AJ24" s="3620">
        <v>4.0999999999999996</v>
      </c>
      <c r="AK24" s="3621">
        <v>1.663</v>
      </c>
      <c r="AL24" s="3554"/>
      <c r="AM24" s="3714">
        <v>3</v>
      </c>
      <c r="AN24" s="3715">
        <v>0.34200000000000003</v>
      </c>
      <c r="AO24" s="3715">
        <v>0.32800000000000001</v>
      </c>
      <c r="AP24" s="3621">
        <v>0.32100000000000001</v>
      </c>
    </row>
    <row r="25" spans="1:42">
      <c r="A25" s="3687" t="s">
        <v>3548</v>
      </c>
      <c r="B25" s="3716" t="s">
        <v>3651</v>
      </c>
      <c r="C25" s="3605" t="s">
        <v>3458</v>
      </c>
      <c r="D25" s="3717">
        <v>7.39</v>
      </c>
      <c r="F25" s="3656"/>
      <c r="G25" s="3656"/>
      <c r="H25" s="3656"/>
      <c r="I25" s="3656"/>
      <c r="J25" s="3656"/>
      <c r="K25" s="3656"/>
      <c r="L25" s="3694">
        <v>1.5</v>
      </c>
      <c r="M25" s="3695">
        <v>1.6</v>
      </c>
      <c r="R25" s="3718" t="s">
        <v>3652</v>
      </c>
      <c r="S25" s="3719" t="s">
        <v>3653</v>
      </c>
      <c r="T25" s="3720" t="s">
        <v>3654</v>
      </c>
      <c r="U25" s="3718" t="s">
        <v>3458</v>
      </c>
      <c r="V25" s="3721">
        <v>2.98</v>
      </c>
      <c r="X25" s="3707">
        <v>5</v>
      </c>
      <c r="Y25" s="3708">
        <v>0.92</v>
      </c>
      <c r="Z25" s="3713">
        <v>4</v>
      </c>
      <c r="AB25" s="3701">
        <v>0.4</v>
      </c>
      <c r="AC25" s="3702">
        <v>1.5840000000000001</v>
      </c>
      <c r="AD25" s="3703">
        <v>1.5920000000000001</v>
      </c>
      <c r="AE25" s="3703">
        <v>1.6</v>
      </c>
      <c r="AF25" s="3703">
        <v>1.6080000000000001</v>
      </c>
      <c r="AG25" s="3703">
        <v>1.6160000000000001</v>
      </c>
      <c r="AJ25" s="3620">
        <v>4.2</v>
      </c>
      <c r="AK25" s="3621">
        <v>1.7410000000000001</v>
      </c>
      <c r="AL25" s="3554"/>
      <c r="AM25" s="3722">
        <v>3.1</v>
      </c>
      <c r="AN25" s="3629">
        <f>AN24+(AN29-AN24)/5</f>
        <v>0.35140000000000005</v>
      </c>
      <c r="AO25" s="3629">
        <f>AO24+(AO29-AO24)/5</f>
        <v>0.33760000000000001</v>
      </c>
      <c r="AP25" s="3630">
        <f>AP24+(AP29-AP24)/5</f>
        <v>0.33079999999999998</v>
      </c>
    </row>
    <row r="26" spans="1:42" ht="15" thickBot="1">
      <c r="A26" s="3723"/>
      <c r="B26" s="3724" t="s">
        <v>3655</v>
      </c>
      <c r="C26" s="3641" t="s">
        <v>3458</v>
      </c>
      <c r="D26" s="3725">
        <v>5.0199999999999996</v>
      </c>
      <c r="F26" s="3656"/>
      <c r="G26" s="3656"/>
      <c r="H26" s="3656"/>
      <c r="I26" s="3656"/>
      <c r="J26" s="3656"/>
      <c r="K26" s="3656"/>
      <c r="L26" s="3694">
        <v>1.8</v>
      </c>
      <c r="M26" s="3695">
        <v>1.7</v>
      </c>
      <c r="R26" s="3668" t="s">
        <v>3656</v>
      </c>
      <c r="S26" s="3726"/>
      <c r="T26" s="3727" t="s">
        <v>3576</v>
      </c>
      <c r="U26" s="3728" t="s">
        <v>3458</v>
      </c>
      <c r="V26" s="3729">
        <v>2.87</v>
      </c>
      <c r="X26" s="3707">
        <v>6</v>
      </c>
      <c r="Y26" s="3708">
        <v>0.88</v>
      </c>
      <c r="Z26" s="3713">
        <v>5</v>
      </c>
      <c r="AB26" s="3701">
        <v>0.5</v>
      </c>
      <c r="AC26" s="3702">
        <v>1.4850000000000001</v>
      </c>
      <c r="AD26" s="3703">
        <v>1.4930000000000001</v>
      </c>
      <c r="AE26" s="3703">
        <v>1.5</v>
      </c>
      <c r="AF26" s="3703">
        <v>1.508</v>
      </c>
      <c r="AG26" s="3703">
        <v>1.5149999999999999</v>
      </c>
      <c r="AJ26" s="3620">
        <v>4.3</v>
      </c>
      <c r="AK26" s="3621">
        <v>1.821</v>
      </c>
      <c r="AL26" s="3554"/>
      <c r="AM26" s="3730">
        <v>3.2</v>
      </c>
      <c r="AN26" s="3631">
        <f>AN24+2*(AN29-AN24)/5</f>
        <v>0.36080000000000001</v>
      </c>
      <c r="AO26" s="3631">
        <f>AO24+2*(AO29-AO24)/5</f>
        <v>0.34720000000000001</v>
      </c>
      <c r="AP26" s="3632">
        <f>AP24+2*(AP29-AP24)/5</f>
        <v>0.34060000000000001</v>
      </c>
    </row>
    <row r="27" spans="1:42" ht="15" thickBot="1">
      <c r="F27" s="3656"/>
      <c r="G27" s="3656"/>
      <c r="H27" s="3656"/>
      <c r="I27" s="3656"/>
      <c r="J27" s="3656"/>
      <c r="K27" s="3656"/>
      <c r="L27" s="3731">
        <v>2</v>
      </c>
      <c r="M27" s="3732">
        <v>1.8</v>
      </c>
      <c r="Q27" s="3656"/>
      <c r="R27" s="3656"/>
      <c r="X27" s="3707">
        <v>7</v>
      </c>
      <c r="Y27" s="3708">
        <v>0.84</v>
      </c>
      <c r="Z27" s="3713">
        <v>6</v>
      </c>
      <c r="AB27" s="3701">
        <v>0.6</v>
      </c>
      <c r="AC27" s="3702">
        <v>1.3859999999999999</v>
      </c>
      <c r="AD27" s="3703">
        <v>1.393</v>
      </c>
      <c r="AE27" s="3703">
        <v>1.4</v>
      </c>
      <c r="AF27" s="3703">
        <v>1.407</v>
      </c>
      <c r="AG27" s="3703">
        <v>1.4139999999999999</v>
      </c>
      <c r="AJ27" s="3620">
        <v>4.4000000000000004</v>
      </c>
      <c r="AK27" s="3662">
        <v>1.91</v>
      </c>
      <c r="AL27" s="3554"/>
      <c r="AM27" s="3722">
        <v>3.3</v>
      </c>
      <c r="AN27" s="3631">
        <f>AN24+3*(AN29-AN24)/5</f>
        <v>0.37020000000000003</v>
      </c>
      <c r="AO27" s="3631">
        <f>AO24+3*(AO29-AO24)/5</f>
        <v>0.35680000000000001</v>
      </c>
      <c r="AP27" s="3632">
        <f>AP24+3*(AP29-AP24)/5</f>
        <v>0.35039999999999999</v>
      </c>
    </row>
    <row r="28" spans="1:42" ht="15" thickBot="1">
      <c r="F28" s="3656"/>
      <c r="G28" s="3656"/>
      <c r="H28" s="3656"/>
      <c r="I28" s="3656"/>
      <c r="J28" s="3656"/>
      <c r="K28" s="3656"/>
      <c r="L28" s="3656"/>
      <c r="Q28" s="3656"/>
      <c r="R28" s="3656"/>
      <c r="X28" s="3707">
        <v>8</v>
      </c>
      <c r="Y28" s="3708">
        <v>0.8</v>
      </c>
      <c r="Z28" s="3713">
        <v>7</v>
      </c>
      <c r="AB28" s="3701">
        <v>0.7</v>
      </c>
      <c r="AC28" s="3702">
        <v>1.2869999999999999</v>
      </c>
      <c r="AD28" s="3703">
        <v>1.294</v>
      </c>
      <c r="AE28" s="3703">
        <v>1.3</v>
      </c>
      <c r="AF28" s="3703">
        <v>1.3069999999999999</v>
      </c>
      <c r="AG28" s="3703">
        <v>1.3129999999999999</v>
      </c>
      <c r="AJ28" s="3733">
        <v>4.5</v>
      </c>
      <c r="AK28" s="3734">
        <v>2</v>
      </c>
      <c r="AL28" s="3554"/>
      <c r="AM28" s="3730">
        <v>3.4</v>
      </c>
      <c r="AN28" s="3631">
        <f>AN24+4*(AN29-AN24)/5</f>
        <v>0.37959999999999999</v>
      </c>
      <c r="AO28" s="3631">
        <f>AO24+4*(AO29-AO24)/5</f>
        <v>0.3664</v>
      </c>
      <c r="AP28" s="3632">
        <f>AP24+4*(AP29-AP24)/5</f>
        <v>0.36020000000000002</v>
      </c>
    </row>
    <row r="29" spans="1:42" ht="15" customHeight="1">
      <c r="F29" s="3656"/>
      <c r="G29" s="3656"/>
      <c r="H29" s="3656"/>
      <c r="I29" s="3656"/>
      <c r="J29" s="3656"/>
      <c r="K29" s="3656"/>
      <c r="L29" s="3656"/>
      <c r="Q29" s="3656"/>
      <c r="R29" s="3656"/>
      <c r="X29" s="3707">
        <v>9</v>
      </c>
      <c r="Y29" s="3708">
        <v>0.77</v>
      </c>
      <c r="Z29" s="3713">
        <v>8</v>
      </c>
      <c r="AB29" s="3701">
        <v>0.8</v>
      </c>
      <c r="AC29" s="3702">
        <v>1.1879999999999999</v>
      </c>
      <c r="AD29" s="3703">
        <v>1.194</v>
      </c>
      <c r="AE29" s="3703">
        <v>1.2</v>
      </c>
      <c r="AF29" s="3703">
        <v>1.206</v>
      </c>
      <c r="AG29" s="3703">
        <v>1.212</v>
      </c>
      <c r="AL29" s="3554"/>
      <c r="AM29" s="3714">
        <v>3.5</v>
      </c>
      <c r="AN29" s="3715">
        <v>0.38900000000000001</v>
      </c>
      <c r="AO29" s="3715">
        <v>0.376</v>
      </c>
      <c r="AP29" s="3621">
        <v>0.37</v>
      </c>
    </row>
    <row r="30" spans="1:42">
      <c r="F30" s="3656"/>
      <c r="G30" s="3656"/>
      <c r="H30" s="3656"/>
      <c r="I30" s="3656"/>
      <c r="J30" s="3656"/>
      <c r="K30" s="3656"/>
      <c r="L30" s="3656"/>
      <c r="Q30" s="3656"/>
      <c r="R30" s="3656"/>
      <c r="X30" s="3707">
        <v>10</v>
      </c>
      <c r="Y30" s="3708">
        <v>0.75</v>
      </c>
      <c r="Z30" s="3713">
        <v>9</v>
      </c>
      <c r="AB30" s="3701">
        <v>0.9</v>
      </c>
      <c r="AC30" s="3702">
        <v>1.089</v>
      </c>
      <c r="AD30" s="3703">
        <v>1.095</v>
      </c>
      <c r="AE30" s="3703">
        <v>1.1000000000000001</v>
      </c>
      <c r="AF30" s="3703">
        <v>1.1060000000000001</v>
      </c>
      <c r="AG30" s="3703">
        <v>1.111</v>
      </c>
      <c r="AL30" s="3554"/>
      <c r="AM30" s="3730">
        <v>3.6</v>
      </c>
      <c r="AN30" s="3629">
        <f>AN29+(AN34-AN29)/5</f>
        <v>0.39840000000000003</v>
      </c>
      <c r="AO30" s="3629">
        <f>AO29+(AO34-AO29)/5</f>
        <v>0.3856</v>
      </c>
      <c r="AP30" s="3630">
        <f>AP29+(AP34-AP29)/5</f>
        <v>0.37959999999999999</v>
      </c>
    </row>
    <row r="31" spans="1:42">
      <c r="F31" s="3656"/>
      <c r="G31" s="3656"/>
      <c r="H31" s="3656"/>
      <c r="I31" s="3656"/>
      <c r="J31" s="3656"/>
      <c r="K31" s="3656"/>
      <c r="L31" s="3656"/>
      <c r="Q31" s="3656"/>
      <c r="R31" s="3656"/>
      <c r="X31" s="3707">
        <v>11</v>
      </c>
      <c r="Y31" s="3708">
        <v>0.73</v>
      </c>
      <c r="Z31" s="3713">
        <v>10</v>
      </c>
      <c r="AB31" s="3701">
        <v>1</v>
      </c>
      <c r="AC31" s="3702">
        <v>0.99</v>
      </c>
      <c r="AD31" s="3703">
        <v>0.995</v>
      </c>
      <c r="AE31" s="3703">
        <v>1</v>
      </c>
      <c r="AF31" s="3703">
        <v>1.0049999999999999</v>
      </c>
      <c r="AG31" s="3703">
        <v>1.01</v>
      </c>
      <c r="AL31" s="3554"/>
      <c r="AM31" s="3730">
        <v>3.7</v>
      </c>
      <c r="AN31" s="3631">
        <f>AN29+2*(AN34-AN29)/5</f>
        <v>0.4078</v>
      </c>
      <c r="AO31" s="3631">
        <f>AO29+2*(AO34-AO29)/5</f>
        <v>0.3952</v>
      </c>
      <c r="AP31" s="3632">
        <f>AP29+2*(AP34-AP29)/5</f>
        <v>0.38919999999999999</v>
      </c>
    </row>
    <row r="32" spans="1:42">
      <c r="Q32" s="3656"/>
      <c r="R32" s="3656"/>
      <c r="X32" s="3707">
        <v>12</v>
      </c>
      <c r="Y32" s="3708">
        <v>0.71</v>
      </c>
      <c r="Z32" s="3713">
        <v>11</v>
      </c>
      <c r="AG32" s="3735"/>
      <c r="AL32" s="3554"/>
      <c r="AM32" s="3730">
        <v>3.8</v>
      </c>
      <c r="AN32" s="3631">
        <f>AN29+3*(AN34-AN29)/5</f>
        <v>0.41720000000000002</v>
      </c>
      <c r="AO32" s="3631">
        <f>AO29+3*(AO34-AO29)/5</f>
        <v>0.40479999999999999</v>
      </c>
      <c r="AP32" s="3632">
        <f>AP29+3*(AP34-AP29)/5</f>
        <v>0.39879999999999999</v>
      </c>
    </row>
    <row r="33" spans="17:42" ht="15" thickBot="1">
      <c r="Q33" s="3656"/>
      <c r="R33" s="3656"/>
      <c r="X33" s="3736" t="s">
        <v>3657</v>
      </c>
      <c r="Y33" s="3737" t="s">
        <v>3658</v>
      </c>
      <c r="Z33" s="3738"/>
      <c r="AH33" s="3735"/>
      <c r="AL33" s="3554"/>
      <c r="AM33" s="3730">
        <v>3.9</v>
      </c>
      <c r="AN33" s="3631">
        <f>AN29+4*(AN34-AN29)/5</f>
        <v>0.42659999999999998</v>
      </c>
      <c r="AO33" s="3631">
        <f>AO29+4*(AO34-AO29)/5</f>
        <v>0.41439999999999999</v>
      </c>
      <c r="AP33" s="3632">
        <f>AP29+4*(AP34-AP29)/5</f>
        <v>0.40839999999999999</v>
      </c>
    </row>
    <row r="34" spans="17:42">
      <c r="Q34" s="3656"/>
      <c r="R34" s="3656"/>
      <c r="AL34" s="3554"/>
      <c r="AM34" s="3714">
        <v>4</v>
      </c>
      <c r="AN34" s="3715">
        <v>0.436</v>
      </c>
      <c r="AO34" s="3715">
        <v>0.42399999999999999</v>
      </c>
      <c r="AP34" s="3621">
        <v>0.41799999999999998</v>
      </c>
    </row>
    <row r="35" spans="17:42">
      <c r="Q35" s="3656"/>
      <c r="R35" s="3656"/>
      <c r="AL35" s="3554"/>
      <c r="AM35" s="3730">
        <v>4.0999999999999996</v>
      </c>
      <c r="AN35" s="3629">
        <f>AN34+(AN39-AN34)/5</f>
        <v>0.44540000000000002</v>
      </c>
      <c r="AO35" s="3629">
        <f>AO34+(AO39-AO34)/5</f>
        <v>0.43359999999999999</v>
      </c>
      <c r="AP35" s="3630">
        <f>AP34+(AP39-AP34)/5</f>
        <v>0.42780000000000001</v>
      </c>
    </row>
    <row r="36" spans="17:42">
      <c r="AL36" s="3554"/>
      <c r="AM36" s="3730">
        <v>4.2</v>
      </c>
      <c r="AN36" s="3631">
        <f>AN34+2*(AN39-AN34)/5</f>
        <v>0.45479999999999998</v>
      </c>
      <c r="AO36" s="3631">
        <f>AO34+2*(AO39-AO34)/5</f>
        <v>0.44319999999999998</v>
      </c>
      <c r="AP36" s="3632">
        <f>AP34+2*(AP39-AP34)/5</f>
        <v>0.43759999999999999</v>
      </c>
    </row>
    <row r="37" spans="17:42">
      <c r="AL37" s="3554"/>
      <c r="AM37" s="3730">
        <v>4.3</v>
      </c>
      <c r="AN37" s="3631">
        <f>AN34+3*(AN39-AN34)/5</f>
        <v>0.4642</v>
      </c>
      <c r="AO37" s="3631">
        <f>AO34+3*(AO39-AO34)/5</f>
        <v>0.45279999999999998</v>
      </c>
      <c r="AP37" s="3632">
        <f>AP34+3*(AP39-AP34)/5</f>
        <v>0.44740000000000002</v>
      </c>
    </row>
    <row r="38" spans="17:42">
      <c r="AL38" s="3554"/>
      <c r="AM38" s="3730">
        <v>4.4000000000000004</v>
      </c>
      <c r="AN38" s="3631">
        <f>AN34+4*(AN39-AN34)/5</f>
        <v>0.47359999999999997</v>
      </c>
      <c r="AO38" s="3631">
        <f>AO34+4*(AO39-AO34)/5</f>
        <v>0.46239999999999998</v>
      </c>
      <c r="AP38" s="3632">
        <f>AP34+4*(AP39-AP34)/5</f>
        <v>0.4572</v>
      </c>
    </row>
    <row r="39" spans="17:42">
      <c r="AL39" s="3554"/>
      <c r="AM39" s="3714">
        <v>4.5</v>
      </c>
      <c r="AN39" s="3715">
        <v>0.48299999999999998</v>
      </c>
      <c r="AO39" s="3715">
        <v>0.47199999999999998</v>
      </c>
      <c r="AP39" s="3621">
        <v>0.46700000000000003</v>
      </c>
    </row>
    <row r="40" spans="17:42">
      <c r="AL40" s="3554"/>
      <c r="AM40" s="3730">
        <v>4.5999999999999996</v>
      </c>
      <c r="AN40" s="3629">
        <f>AN39+(AN44-AN39)/5</f>
        <v>0.4924</v>
      </c>
      <c r="AO40" s="3629">
        <f>AO39+(AO44-AO39)/5</f>
        <v>0.48159999999999997</v>
      </c>
      <c r="AP40" s="3630">
        <f>AP39+(AP44-AP39)/5</f>
        <v>0.47660000000000002</v>
      </c>
    </row>
    <row r="41" spans="17:42">
      <c r="AL41" s="3554"/>
      <c r="AM41" s="3730">
        <v>4.7</v>
      </c>
      <c r="AN41" s="3631">
        <f>AN39+2*(AN44-AN39)/5</f>
        <v>0.50180000000000002</v>
      </c>
      <c r="AO41" s="3631">
        <f>AO39+2*(AO44-AO39)/5</f>
        <v>0.49119999999999997</v>
      </c>
      <c r="AP41" s="3632">
        <f>AP39+2*(AP44-AP39)/5</f>
        <v>0.48620000000000002</v>
      </c>
    </row>
    <row r="42" spans="17:42">
      <c r="AL42" s="3554"/>
      <c r="AM42" s="3730">
        <v>4.8</v>
      </c>
      <c r="AN42" s="3631">
        <f>AN39+3*(AN44-AN39)/5</f>
        <v>0.51119999999999999</v>
      </c>
      <c r="AO42" s="3631">
        <f>AO39+3*(AO44-AO39)/5</f>
        <v>0.50080000000000002</v>
      </c>
      <c r="AP42" s="3632">
        <f>AP39+3*(AP44-AP39)/5</f>
        <v>0.49580000000000002</v>
      </c>
    </row>
    <row r="43" spans="17:42">
      <c r="AL43" s="3554"/>
      <c r="AM43" s="3730">
        <v>4.9000000000000004</v>
      </c>
      <c r="AN43" s="3631">
        <f>AN39+4*(AN44-AN39)/5</f>
        <v>0.52060000000000006</v>
      </c>
      <c r="AO43" s="3631">
        <f>AO39+4*(AO44-AO39)/5</f>
        <v>0.51039999999999996</v>
      </c>
      <c r="AP43" s="3632">
        <f>AP39+4*(AP44-AP39)/5</f>
        <v>0.50540000000000007</v>
      </c>
    </row>
    <row r="44" spans="17:42">
      <c r="AL44" s="3554"/>
      <c r="AM44" s="3714">
        <v>5</v>
      </c>
      <c r="AN44" s="3715">
        <v>0.53</v>
      </c>
      <c r="AO44" s="3715">
        <v>0.52</v>
      </c>
      <c r="AP44" s="3621">
        <v>0.51500000000000001</v>
      </c>
    </row>
    <row r="45" spans="17:42">
      <c r="AL45" s="3554"/>
      <c r="AM45" s="3730">
        <v>5.0999999999999996</v>
      </c>
      <c r="AN45" s="3629">
        <f>AN44+(AN49-AN44)/5</f>
        <v>0.53939999999999999</v>
      </c>
      <c r="AO45" s="3629">
        <f>AO44+(AO49-AO44)/5</f>
        <v>0.52959999999999996</v>
      </c>
      <c r="AP45" s="3630">
        <f>AP44+(AP49-AP44)/5</f>
        <v>0.52480000000000004</v>
      </c>
    </row>
    <row r="46" spans="17:42">
      <c r="AL46" s="3554"/>
      <c r="AM46" s="3730">
        <v>5.2</v>
      </c>
      <c r="AN46" s="3631">
        <f>AN44+2*(AN49-AN44)/5</f>
        <v>0.54879999999999995</v>
      </c>
      <c r="AO46" s="3631">
        <f>AO44+2*(AO49-AO44)/5</f>
        <v>0.53920000000000001</v>
      </c>
      <c r="AP46" s="3632">
        <f>AP44+2*(AP49-AP44)/5</f>
        <v>0.53459999999999996</v>
      </c>
    </row>
    <row r="47" spans="17:42">
      <c r="AL47" s="3554"/>
      <c r="AM47" s="3730">
        <v>5.3</v>
      </c>
      <c r="AN47" s="3631">
        <f>AN44+3*(AN49-AN44)/5</f>
        <v>0.55820000000000003</v>
      </c>
      <c r="AO47" s="3631">
        <f>AO44+3*(AO49-AO44)/5</f>
        <v>0.54879999999999995</v>
      </c>
      <c r="AP47" s="3632">
        <f>AP44+3*(AP49-AP44)/5</f>
        <v>0.5444</v>
      </c>
    </row>
    <row r="48" spans="17:42">
      <c r="AL48" s="3554"/>
      <c r="AM48" s="3730">
        <v>5.4</v>
      </c>
      <c r="AN48" s="3631">
        <f>AN44+4*(AN49-AN44)/5</f>
        <v>0.56759999999999999</v>
      </c>
      <c r="AO48" s="3631">
        <f>AO44+4*(AO49-AO44)/5</f>
        <v>0.55840000000000001</v>
      </c>
      <c r="AP48" s="3632">
        <f>AP44+4*(AP49-AP44)/5</f>
        <v>0.55419999999999991</v>
      </c>
    </row>
    <row r="49" spans="38:42">
      <c r="AL49" s="3554"/>
      <c r="AM49" s="3714">
        <v>5.5</v>
      </c>
      <c r="AN49" s="3715">
        <v>0.57699999999999996</v>
      </c>
      <c r="AO49" s="3715">
        <v>0.56799999999999995</v>
      </c>
      <c r="AP49" s="3621">
        <v>0.56399999999999995</v>
      </c>
    </row>
    <row r="50" spans="38:42">
      <c r="AL50" s="3554"/>
      <c r="AM50" s="3730">
        <v>5.6</v>
      </c>
      <c r="AN50" s="3629">
        <f>AN49+(AN54-AN49)/5</f>
        <v>0.58639999999999992</v>
      </c>
      <c r="AO50" s="3629">
        <f>AO49+(AO54-AO49)/5</f>
        <v>0.5776</v>
      </c>
      <c r="AP50" s="3630">
        <f>AP49+(AP54-AP49)/5</f>
        <v>0.5736</v>
      </c>
    </row>
    <row r="51" spans="38:42">
      <c r="AL51" s="3554"/>
      <c r="AM51" s="3730">
        <v>5.7</v>
      </c>
      <c r="AN51" s="3631">
        <f>AN49+2*(AN54-AN49)/5</f>
        <v>0.5958</v>
      </c>
      <c r="AO51" s="3631">
        <f>AO49+2*(AO54-AO49)/5</f>
        <v>0.58719999999999994</v>
      </c>
      <c r="AP51" s="3632">
        <f>AP49+2*(AP54-AP49)/5</f>
        <v>0.58319999999999994</v>
      </c>
    </row>
    <row r="52" spans="38:42">
      <c r="AL52" s="3554"/>
      <c r="AM52" s="3730">
        <v>5.8</v>
      </c>
      <c r="AN52" s="3631">
        <f>AN49+3*(AN54-AN49)/5</f>
        <v>0.60519999999999996</v>
      </c>
      <c r="AO52" s="3631">
        <f>AO49+3*(AO54-AO49)/5</f>
        <v>0.5968</v>
      </c>
      <c r="AP52" s="3632">
        <f>AP49+3*(AP54-AP49)/5</f>
        <v>0.59279999999999999</v>
      </c>
    </row>
    <row r="53" spans="38:42">
      <c r="AL53" s="3554"/>
      <c r="AM53" s="3730">
        <v>5.9</v>
      </c>
      <c r="AN53" s="3631">
        <f>AN49+4*(AN54-AN49)/5</f>
        <v>0.61460000000000004</v>
      </c>
      <c r="AO53" s="3631">
        <f>AO49+4*(AO54-AO49)/5</f>
        <v>0.60639999999999994</v>
      </c>
      <c r="AP53" s="3632">
        <f>AP49+4*(AP54-AP49)/5</f>
        <v>0.60239999999999994</v>
      </c>
    </row>
    <row r="54" spans="38:42">
      <c r="AL54" s="3554"/>
      <c r="AM54" s="3714">
        <v>6</v>
      </c>
      <c r="AN54" s="3715">
        <v>0.624</v>
      </c>
      <c r="AO54" s="3715">
        <v>0.61599999999999999</v>
      </c>
      <c r="AP54" s="3621">
        <v>0.61199999999999999</v>
      </c>
    </row>
    <row r="55" spans="38:42">
      <c r="AL55" s="3554"/>
      <c r="AM55" s="3730">
        <v>6.1</v>
      </c>
      <c r="AN55" s="3629">
        <f>AN54+(AN59-AN54)/5</f>
        <v>0.63339999999999996</v>
      </c>
      <c r="AO55" s="3629">
        <f>AO54+(AO59-AO54)/5</f>
        <v>0.62560000000000004</v>
      </c>
      <c r="AP55" s="3630">
        <f>AP54+(AP59-AP54)/5</f>
        <v>0.62180000000000002</v>
      </c>
    </row>
    <row r="56" spans="38:42">
      <c r="AL56" s="3554"/>
      <c r="AM56" s="3730">
        <v>6.2</v>
      </c>
      <c r="AN56" s="3631">
        <f>AN54+2*(AN59-AN54)/5</f>
        <v>0.64280000000000004</v>
      </c>
      <c r="AO56" s="3631">
        <f>AO54+2*(AO59-AO54)/5</f>
        <v>0.63519999999999999</v>
      </c>
      <c r="AP56" s="3632">
        <f>AP54+2*(AP59-AP54)/5</f>
        <v>0.63160000000000005</v>
      </c>
    </row>
    <row r="57" spans="38:42">
      <c r="AL57" s="3554"/>
      <c r="AM57" s="3730">
        <v>6.3</v>
      </c>
      <c r="AN57" s="3631">
        <f>AN54+3*(AN59-AN54)/5</f>
        <v>0.6522</v>
      </c>
      <c r="AO57" s="3631">
        <f>AO54+3*(AO59-AO54)/5</f>
        <v>0.64480000000000004</v>
      </c>
      <c r="AP57" s="3632">
        <f>AP54+3*(AP59-AP54)/5</f>
        <v>0.64139999999999997</v>
      </c>
    </row>
    <row r="58" spans="38:42">
      <c r="AL58" s="3554"/>
      <c r="AM58" s="3730">
        <v>6.4</v>
      </c>
      <c r="AN58" s="3631">
        <f>AN54+4*(AN59-AN54)/5</f>
        <v>0.66160000000000008</v>
      </c>
      <c r="AO58" s="3631">
        <f>AO54+4*(AO59-AO54)/5</f>
        <v>0.65439999999999998</v>
      </c>
      <c r="AP58" s="3632">
        <f>AP54+4*(AP59-AP54)/5</f>
        <v>0.6512</v>
      </c>
    </row>
    <row r="59" spans="38:42">
      <c r="AL59" s="3554"/>
      <c r="AM59" s="3714">
        <v>6.5</v>
      </c>
      <c r="AN59" s="3715">
        <v>0.67100000000000004</v>
      </c>
      <c r="AO59" s="3715">
        <v>0.66400000000000003</v>
      </c>
      <c r="AP59" s="3621">
        <v>0.66100000000000003</v>
      </c>
    </row>
    <row r="60" spans="38:42">
      <c r="AL60" s="3554"/>
      <c r="AM60" s="3730">
        <v>6.6</v>
      </c>
      <c r="AN60" s="3629">
        <f>AN59+(AN64-AN59)/5</f>
        <v>0.6804</v>
      </c>
      <c r="AO60" s="3629">
        <f>AO59+(AO64-AO59)/5</f>
        <v>0.67359999999999998</v>
      </c>
      <c r="AP60" s="3630">
        <f>AP59+(AP64-AP59)/5</f>
        <v>0.67059999999999997</v>
      </c>
    </row>
    <row r="61" spans="38:42">
      <c r="AL61" s="3554"/>
      <c r="AM61" s="3730">
        <v>6.7</v>
      </c>
      <c r="AN61" s="3631">
        <f>AN59+2*(AN64-AN59)/5</f>
        <v>0.68979999999999997</v>
      </c>
      <c r="AO61" s="3631">
        <f>AO59+2*(AO64-AO59)/5</f>
        <v>0.68320000000000003</v>
      </c>
      <c r="AP61" s="3632">
        <f>AP59+2*(AP64-AP59)/5</f>
        <v>0.68020000000000003</v>
      </c>
    </row>
    <row r="62" spans="38:42">
      <c r="AL62" s="3554"/>
      <c r="AM62" s="3730">
        <v>6.8</v>
      </c>
      <c r="AN62" s="3631">
        <f>AN59+3*(AN64-AN59)/5</f>
        <v>0.69920000000000004</v>
      </c>
      <c r="AO62" s="3631">
        <f>AO59+3*(AO64-AO59)/5</f>
        <v>0.69279999999999997</v>
      </c>
      <c r="AP62" s="3632">
        <f>AP59+3*(AP64-AP59)/5</f>
        <v>0.68979999999999997</v>
      </c>
    </row>
    <row r="63" spans="38:42">
      <c r="AL63" s="3554"/>
      <c r="AM63" s="3730">
        <v>6.9</v>
      </c>
      <c r="AN63" s="3631">
        <f>AN59+4*(AN64-AN59)/5</f>
        <v>0.70860000000000001</v>
      </c>
      <c r="AO63" s="3631">
        <f>AO59+4*(AO64-AO59)/5</f>
        <v>0.70240000000000002</v>
      </c>
      <c r="AP63" s="3632">
        <f>AP59+4*(AP64-AP59)/5</f>
        <v>0.69940000000000002</v>
      </c>
    </row>
    <row r="64" spans="38:42">
      <c r="AL64" s="3554"/>
      <c r="AM64" s="3714">
        <v>7</v>
      </c>
      <c r="AN64" s="3715">
        <v>0.71799999999999997</v>
      </c>
      <c r="AO64" s="3715">
        <v>0.71199999999999997</v>
      </c>
      <c r="AP64" s="3621">
        <v>0.70899999999999996</v>
      </c>
    </row>
    <row r="65" spans="38:42">
      <c r="AL65" s="3554"/>
      <c r="AM65" s="3730">
        <v>7.1</v>
      </c>
      <c r="AN65" s="3629">
        <f>AN64+(AN69-AN64)/5</f>
        <v>0.72739999999999994</v>
      </c>
      <c r="AO65" s="3629">
        <f>AO64+(AO69-AO64)/5</f>
        <v>0.72160000000000002</v>
      </c>
      <c r="AP65" s="3630">
        <f>AP64+(AP69-AP64)/5</f>
        <v>0.71879999999999999</v>
      </c>
    </row>
    <row r="66" spans="38:42">
      <c r="AL66" s="3554"/>
      <c r="AM66" s="3730">
        <v>7.2</v>
      </c>
      <c r="AN66" s="3631">
        <f>AN64+2*(AN69-AN64)/5</f>
        <v>0.73680000000000001</v>
      </c>
      <c r="AO66" s="3631">
        <f>AO64+2*(AO69-AO64)/5</f>
        <v>0.73119999999999996</v>
      </c>
      <c r="AP66" s="3632">
        <f>AP64+2*(AP69-AP64)/5</f>
        <v>0.72860000000000003</v>
      </c>
    </row>
    <row r="67" spans="38:42">
      <c r="AL67" s="3554"/>
      <c r="AM67" s="3730">
        <v>7.3</v>
      </c>
      <c r="AN67" s="3631">
        <f>AN64+3*(AN69-AN64)/5</f>
        <v>0.74619999999999997</v>
      </c>
      <c r="AO67" s="3631">
        <f>AO64+3*(AO69-AO64)/5</f>
        <v>0.74080000000000001</v>
      </c>
      <c r="AP67" s="3632">
        <f>AP64+3*(AP69-AP64)/5</f>
        <v>0.73839999999999995</v>
      </c>
    </row>
    <row r="68" spans="38:42">
      <c r="AL68" s="3554"/>
      <c r="AM68" s="3730">
        <v>7.4</v>
      </c>
      <c r="AN68" s="3631">
        <f>AN64+4*(AN69-AN64)/5</f>
        <v>0.75560000000000005</v>
      </c>
      <c r="AO68" s="3631">
        <f>AO64+4*(AO69-AO64)/5</f>
        <v>0.75039999999999996</v>
      </c>
      <c r="AP68" s="3632">
        <f>AP64+4*(AP69-AP64)/5</f>
        <v>0.74819999999999998</v>
      </c>
    </row>
    <row r="69" spans="38:42">
      <c r="AL69" s="3554"/>
      <c r="AM69" s="3714">
        <v>7.5</v>
      </c>
      <c r="AN69" s="3715">
        <v>0.76500000000000001</v>
      </c>
      <c r="AO69" s="3715">
        <v>0.76</v>
      </c>
      <c r="AP69" s="3621">
        <v>0.75800000000000001</v>
      </c>
    </row>
    <row r="70" spans="38:42">
      <c r="AL70" s="3554"/>
      <c r="AM70" s="3730">
        <v>7.6</v>
      </c>
      <c r="AN70" s="3629">
        <f>AN69+(AN74-AN69)/5</f>
        <v>0.77439999999999998</v>
      </c>
      <c r="AO70" s="3629">
        <f>AO69+(AO74-AO69)/5</f>
        <v>0.76960000000000006</v>
      </c>
      <c r="AP70" s="3630">
        <f>AP69+(AP74-AP69)/5</f>
        <v>0.76760000000000006</v>
      </c>
    </row>
    <row r="71" spans="38:42">
      <c r="AL71" s="3554"/>
      <c r="AM71" s="3730">
        <v>7.7</v>
      </c>
      <c r="AN71" s="3631">
        <f>AN69+2*(AN74-AN69)/5</f>
        <v>0.78380000000000005</v>
      </c>
      <c r="AO71" s="3631">
        <f>AO69+2*(AO74-AO69)/5</f>
        <v>0.7792</v>
      </c>
      <c r="AP71" s="3632">
        <f>AP69+2*(AP74-AP69)/5</f>
        <v>0.7772</v>
      </c>
    </row>
    <row r="72" spans="38:42">
      <c r="AL72" s="3554"/>
      <c r="AM72" s="3730">
        <v>7.8</v>
      </c>
      <c r="AN72" s="3631">
        <f>AN69+3*(AN74-AN69)/5</f>
        <v>0.79320000000000002</v>
      </c>
      <c r="AO72" s="3631">
        <f>AO69+3*(AO74-AO69)/5</f>
        <v>0.78880000000000006</v>
      </c>
      <c r="AP72" s="3632">
        <f>AP69+3*(AP74-AP69)/5</f>
        <v>0.78680000000000005</v>
      </c>
    </row>
    <row r="73" spans="38:42">
      <c r="AL73" s="3554"/>
      <c r="AM73" s="3730">
        <v>7.9</v>
      </c>
      <c r="AN73" s="3631">
        <f>AN69+4*(AN74-AN69)/5</f>
        <v>0.80260000000000009</v>
      </c>
      <c r="AO73" s="3631">
        <f>AO69+4*(AO74-AO69)/5</f>
        <v>0.7984</v>
      </c>
      <c r="AP73" s="3632">
        <f>AP69+4*(AP74-AP69)/5</f>
        <v>0.7964</v>
      </c>
    </row>
    <row r="74" spans="38:42">
      <c r="AL74" s="3554"/>
      <c r="AM74" s="3714">
        <v>8</v>
      </c>
      <c r="AN74" s="3715">
        <v>0.81200000000000006</v>
      </c>
      <c r="AO74" s="3715">
        <v>0.80800000000000005</v>
      </c>
      <c r="AP74" s="3621">
        <v>0.80600000000000005</v>
      </c>
    </row>
    <row r="75" spans="38:42">
      <c r="AL75" s="3554"/>
      <c r="AM75" s="3730">
        <v>8.1</v>
      </c>
      <c r="AN75" s="3629">
        <f>AN74+(AN79-AN74)/5</f>
        <v>0.82140000000000002</v>
      </c>
      <c r="AO75" s="3629">
        <f>AO74+(AO79-AO74)/5</f>
        <v>0.81759999999999999</v>
      </c>
      <c r="AP75" s="3630">
        <f>AP74+(AP79-AP74)/5</f>
        <v>0.81580000000000008</v>
      </c>
    </row>
    <row r="76" spans="38:42">
      <c r="AL76" s="3554"/>
      <c r="AM76" s="3730">
        <v>8.1999999999999993</v>
      </c>
      <c r="AN76" s="3631">
        <f>AN74+2*(AN79-AN74)/5</f>
        <v>0.83079999999999998</v>
      </c>
      <c r="AO76" s="3631">
        <f>AO74+2*(AO79-AO74)/5</f>
        <v>0.82720000000000005</v>
      </c>
      <c r="AP76" s="3632">
        <f>AP74+2*(AP79-AP74)/5</f>
        <v>0.8256</v>
      </c>
    </row>
    <row r="77" spans="38:42">
      <c r="AL77" s="3554"/>
      <c r="AM77" s="3730">
        <v>8.3000000000000007</v>
      </c>
      <c r="AN77" s="3631">
        <f>AN74+3*(AN79-AN74)/5</f>
        <v>0.84020000000000006</v>
      </c>
      <c r="AO77" s="3631">
        <f>AO74+3*(AO79-AO74)/5</f>
        <v>0.83679999999999999</v>
      </c>
      <c r="AP77" s="3632">
        <f>AP74+3*(AP79-AP74)/5</f>
        <v>0.83540000000000003</v>
      </c>
    </row>
    <row r="78" spans="38:42">
      <c r="AL78" s="3554"/>
      <c r="AM78" s="3730">
        <v>8.4</v>
      </c>
      <c r="AN78" s="3631">
        <f>AN74+4*(AN79-AN74)/5</f>
        <v>0.84960000000000002</v>
      </c>
      <c r="AO78" s="3631">
        <f>AO74+4*(AO79-AO74)/5</f>
        <v>0.84640000000000004</v>
      </c>
      <c r="AP78" s="3632">
        <f>AP74+4*(AP79-AP74)/5</f>
        <v>0.84519999999999995</v>
      </c>
    </row>
    <row r="79" spans="38:42">
      <c r="AL79" s="3554"/>
      <c r="AM79" s="3714">
        <v>8.5</v>
      </c>
      <c r="AN79" s="3715">
        <v>0.85899999999999999</v>
      </c>
      <c r="AO79" s="3715">
        <v>0.85599999999999998</v>
      </c>
      <c r="AP79" s="3621">
        <v>0.85499999999999998</v>
      </c>
    </row>
    <row r="80" spans="38:42">
      <c r="AL80" s="3554"/>
      <c r="AM80" s="3730">
        <v>8.6</v>
      </c>
      <c r="AN80" s="3629">
        <f>AN79+(AN84-AN79)/5</f>
        <v>0.86839999999999995</v>
      </c>
      <c r="AO80" s="3629">
        <f>AO79+(AO84-AO79)/5</f>
        <v>0.86560000000000004</v>
      </c>
      <c r="AP80" s="3630">
        <f>AP79+(AP84-AP79)/5</f>
        <v>0.86460000000000004</v>
      </c>
    </row>
    <row r="81" spans="38:42">
      <c r="AL81" s="3554"/>
      <c r="AM81" s="3730">
        <v>8.6999999999999993</v>
      </c>
      <c r="AN81" s="3631">
        <f>AN79+2*(AN84-AN79)/5</f>
        <v>0.87780000000000002</v>
      </c>
      <c r="AO81" s="3631">
        <f>AO79+2*(AO84-AO79)/5</f>
        <v>0.87519999999999998</v>
      </c>
      <c r="AP81" s="3632">
        <f>AP79+2*(AP84-AP79)/5</f>
        <v>0.87419999999999998</v>
      </c>
    </row>
    <row r="82" spans="38:42">
      <c r="AL82" s="3554"/>
      <c r="AM82" s="3730">
        <v>8.8000000000000007</v>
      </c>
      <c r="AN82" s="3631">
        <f>AN79+3*(AN84-AN79)/5</f>
        <v>0.88719999999999999</v>
      </c>
      <c r="AO82" s="3631">
        <f>AO79+3*(AO84-AO79)/5</f>
        <v>0.88480000000000003</v>
      </c>
      <c r="AP82" s="3632">
        <f>AP79+3*(AP84-AP79)/5</f>
        <v>0.88380000000000003</v>
      </c>
    </row>
    <row r="83" spans="38:42">
      <c r="AL83" s="3554"/>
      <c r="AM83" s="3730">
        <v>8.9</v>
      </c>
      <c r="AN83" s="3631">
        <f>AN79+4*(AN84-AN79)/5</f>
        <v>0.89660000000000006</v>
      </c>
      <c r="AO83" s="3631">
        <f>AO79+4*(AO84-AO79)/5</f>
        <v>0.89439999999999997</v>
      </c>
      <c r="AP83" s="3632">
        <f>AP79+4*(AP84-AP79)/5</f>
        <v>0.89339999999999997</v>
      </c>
    </row>
    <row r="84" spans="38:42">
      <c r="AL84" s="3554"/>
      <c r="AM84" s="3714">
        <v>9</v>
      </c>
      <c r="AN84" s="3715">
        <v>0.90600000000000003</v>
      </c>
      <c r="AO84" s="3715">
        <v>0.90400000000000003</v>
      </c>
      <c r="AP84" s="3621">
        <v>0.90300000000000002</v>
      </c>
    </row>
    <row r="85" spans="38:42">
      <c r="AL85" s="3554"/>
      <c r="AM85" s="3730">
        <v>9.1</v>
      </c>
      <c r="AN85" s="3629">
        <f>AN84+(AN89-AN84)/5</f>
        <v>0.91539999999999999</v>
      </c>
      <c r="AO85" s="3629">
        <f>AO84+(AO89-AO84)/5</f>
        <v>0.91359999999999997</v>
      </c>
      <c r="AP85" s="3630">
        <f>AP84+(AP89-AP84)/5</f>
        <v>0.91280000000000006</v>
      </c>
    </row>
    <row r="86" spans="38:42">
      <c r="AL86" s="3554"/>
      <c r="AM86" s="3730">
        <v>9.1999999999999993</v>
      </c>
      <c r="AN86" s="3631">
        <f>AN84+2*(AN89-AN84)/5</f>
        <v>0.92479999999999996</v>
      </c>
      <c r="AO86" s="3631">
        <f>AO84+2*(AO89-AO84)/5</f>
        <v>0.92320000000000002</v>
      </c>
      <c r="AP86" s="3632">
        <f>AP84+2*(AP89-AP84)/5</f>
        <v>0.92259999999999998</v>
      </c>
    </row>
    <row r="87" spans="38:42">
      <c r="AL87" s="3554"/>
      <c r="AM87" s="3730">
        <v>9.3000000000000007</v>
      </c>
      <c r="AN87" s="3631">
        <f>AN84+3*(AN89-AN84)/5</f>
        <v>0.93420000000000003</v>
      </c>
      <c r="AO87" s="3631">
        <f>AO84+3*(AO89-AO84)/5</f>
        <v>0.93279999999999996</v>
      </c>
      <c r="AP87" s="3632">
        <f>AP84+3*(AP89-AP84)/5</f>
        <v>0.93240000000000001</v>
      </c>
    </row>
    <row r="88" spans="38:42">
      <c r="AL88" s="3554"/>
      <c r="AM88" s="3730">
        <v>9.4</v>
      </c>
      <c r="AN88" s="3631">
        <f>AN84+4*(AN89-AN84)/5</f>
        <v>0.94359999999999999</v>
      </c>
      <c r="AO88" s="3631">
        <f>AO84+4*(AO89-AO84)/5</f>
        <v>0.94240000000000002</v>
      </c>
      <c r="AP88" s="3632">
        <f>AP84+4*(AP89-AP84)/5</f>
        <v>0.94219999999999993</v>
      </c>
    </row>
    <row r="89" spans="38:42">
      <c r="AL89" s="3554"/>
      <c r="AM89" s="3714">
        <v>9.5</v>
      </c>
      <c r="AN89" s="3715">
        <v>0.95299999999999996</v>
      </c>
      <c r="AO89" s="3715">
        <v>0.95199999999999996</v>
      </c>
      <c r="AP89" s="3621">
        <v>0.95199999999999996</v>
      </c>
    </row>
    <row r="90" spans="38:42">
      <c r="AL90" s="3554"/>
      <c r="AM90" s="3730">
        <v>9.6</v>
      </c>
      <c r="AN90" s="3629">
        <f>AN89+(AN94-AN89)/5</f>
        <v>0.96239999999999992</v>
      </c>
      <c r="AO90" s="3629">
        <f>AO89+(AO94-AO89)/5</f>
        <v>0.96160000000000001</v>
      </c>
      <c r="AP90" s="3630">
        <f>AP89+(AP94-AP89)/5</f>
        <v>0.96160000000000001</v>
      </c>
    </row>
    <row r="91" spans="38:42">
      <c r="AL91" s="3554"/>
      <c r="AM91" s="3730">
        <v>9.6999999999999993</v>
      </c>
      <c r="AN91" s="3631">
        <f>AN89+2*(AN94-AN89)/5</f>
        <v>0.9718</v>
      </c>
      <c r="AO91" s="3631">
        <f>AO89+2*(AO94-AO89)/5</f>
        <v>0.97119999999999995</v>
      </c>
      <c r="AP91" s="3632">
        <f>AP89+2*(AP94-AP89)/5</f>
        <v>0.97119999999999995</v>
      </c>
    </row>
    <row r="92" spans="38:42">
      <c r="AL92" s="3554"/>
      <c r="AM92" s="3730">
        <v>9.8000000000000007</v>
      </c>
      <c r="AN92" s="3631">
        <f>AN89+3*(AN94-AN89)/5</f>
        <v>0.98119999999999996</v>
      </c>
      <c r="AO92" s="3631">
        <f>AO89+3*(AO94-AO89)/5</f>
        <v>0.98080000000000001</v>
      </c>
      <c r="AP92" s="3632">
        <f>AP89+3*(AP94-AP89)/5</f>
        <v>0.98080000000000001</v>
      </c>
    </row>
    <row r="93" spans="38:42">
      <c r="AL93" s="3554"/>
      <c r="AM93" s="3730">
        <v>9.9</v>
      </c>
      <c r="AN93" s="3631">
        <f>AN89+4*(AN94-AN89)/5</f>
        <v>0.99060000000000004</v>
      </c>
      <c r="AO93" s="3631">
        <f>AO89+4*(AO94-AO89)/5</f>
        <v>0.99039999999999995</v>
      </c>
      <c r="AP93" s="3632">
        <f>AP89+4*(AP94-AP89)/5</f>
        <v>0.99039999999999995</v>
      </c>
    </row>
    <row r="94" spans="38:42" ht="15" thickBot="1">
      <c r="AL94" s="3554"/>
      <c r="AM94" s="3739">
        <v>10</v>
      </c>
      <c r="AN94" s="3740">
        <v>1</v>
      </c>
      <c r="AO94" s="3740">
        <v>1</v>
      </c>
      <c r="AP94" s="3734">
        <v>1</v>
      </c>
    </row>
  </sheetData>
  <mergeCells count="29">
    <mergeCell ref="AB19:AG19"/>
    <mergeCell ref="B16:B17"/>
    <mergeCell ref="C16:C17"/>
    <mergeCell ref="D16:D17"/>
    <mergeCell ref="L16:M16"/>
    <mergeCell ref="L17:M17"/>
    <mergeCell ref="X19:Z19"/>
    <mergeCell ref="X1:AB1"/>
    <mergeCell ref="R7:R8"/>
    <mergeCell ref="A12:A13"/>
    <mergeCell ref="B12:B13"/>
    <mergeCell ref="C12:C13"/>
    <mergeCell ref="D12:D13"/>
    <mergeCell ref="AD1:AH1"/>
    <mergeCell ref="R14:V14"/>
    <mergeCell ref="AJ1:AK1"/>
    <mergeCell ref="AM1:AP1"/>
    <mergeCell ref="A2:B2"/>
    <mergeCell ref="F2:G2"/>
    <mergeCell ref="A3:A7"/>
    <mergeCell ref="R5:R6"/>
    <mergeCell ref="S5:S6"/>
    <mergeCell ref="T5:T6"/>
    <mergeCell ref="U5:U6"/>
    <mergeCell ref="V5:V6"/>
    <mergeCell ref="A1:D1"/>
    <mergeCell ref="F1:J1"/>
    <mergeCell ref="L1:P1"/>
    <mergeCell ref="R1:V1"/>
  </mergeCells>
  <phoneticPr fontId="228" type="noConversion"/>
  <pageMargins left="0.75" right="0.75" top="1" bottom="1" header="0.5" footer="0.5"/>
  <pageSetup paperSize="9" orientation="portrait"/>
  <headerFooter alignWithMargins="0"/>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theme="8" tint="0.39997558519241921"/>
  </sheetPr>
  <dimension ref="A1:G173"/>
  <sheetViews>
    <sheetView workbookViewId="0">
      <pane xSplit="1" ySplit="1" topLeftCell="B2" activePane="bottomRight" state="frozen"/>
      <selection pane="topRight"/>
      <selection pane="bottomLeft"/>
      <selection pane="bottomRight" activeCell="A2" sqref="A2:A90"/>
    </sheetView>
  </sheetViews>
  <sheetFormatPr defaultColWidth="11" defaultRowHeight="14.25"/>
  <cols>
    <col min="1" max="1" width="11" style="3552" customWidth="1"/>
    <col min="2" max="2" width="15.125" style="3552" customWidth="1"/>
    <col min="3" max="4" width="11" style="3552" customWidth="1"/>
    <col min="5" max="5" width="10.625" style="3552" customWidth="1"/>
    <col min="6" max="6" width="11" style="3552" customWidth="1"/>
    <col min="7" max="7" width="19.625" style="3552" customWidth="1"/>
    <col min="8" max="256" width="11" style="3552"/>
    <col min="257" max="257" width="11" style="3552" customWidth="1"/>
    <col min="258" max="258" width="15.125" style="3552" customWidth="1"/>
    <col min="259" max="260" width="11" style="3552" customWidth="1"/>
    <col min="261" max="261" width="10.625" style="3552" customWidth="1"/>
    <col min="262" max="262" width="11" style="3552" customWidth="1"/>
    <col min="263" max="263" width="19.625" style="3552" customWidth="1"/>
    <col min="264" max="512" width="11" style="3552"/>
    <col min="513" max="513" width="11" style="3552" customWidth="1"/>
    <col min="514" max="514" width="15.125" style="3552" customWidth="1"/>
    <col min="515" max="516" width="11" style="3552" customWidth="1"/>
    <col min="517" max="517" width="10.625" style="3552" customWidth="1"/>
    <col min="518" max="518" width="11" style="3552" customWidth="1"/>
    <col min="519" max="519" width="19.625" style="3552" customWidth="1"/>
    <col min="520" max="768" width="11" style="3552"/>
    <col min="769" max="769" width="11" style="3552" customWidth="1"/>
    <col min="770" max="770" width="15.125" style="3552" customWidth="1"/>
    <col min="771" max="772" width="11" style="3552" customWidth="1"/>
    <col min="773" max="773" width="10.625" style="3552" customWidth="1"/>
    <col min="774" max="774" width="11" style="3552" customWidth="1"/>
    <col min="775" max="775" width="19.625" style="3552" customWidth="1"/>
    <col min="776" max="1024" width="11" style="3552"/>
    <col min="1025" max="1025" width="11" style="3552" customWidth="1"/>
    <col min="1026" max="1026" width="15.125" style="3552" customWidth="1"/>
    <col min="1027" max="1028" width="11" style="3552" customWidth="1"/>
    <col min="1029" max="1029" width="10.625" style="3552" customWidth="1"/>
    <col min="1030" max="1030" width="11" style="3552" customWidth="1"/>
    <col min="1031" max="1031" width="19.625" style="3552" customWidth="1"/>
    <col min="1032" max="1280" width="11" style="3552"/>
    <col min="1281" max="1281" width="11" style="3552" customWidth="1"/>
    <col min="1282" max="1282" width="15.125" style="3552" customWidth="1"/>
    <col min="1283" max="1284" width="11" style="3552" customWidth="1"/>
    <col min="1285" max="1285" width="10.625" style="3552" customWidth="1"/>
    <col min="1286" max="1286" width="11" style="3552" customWidth="1"/>
    <col min="1287" max="1287" width="19.625" style="3552" customWidth="1"/>
    <col min="1288" max="1536" width="11" style="3552"/>
    <col min="1537" max="1537" width="11" style="3552" customWidth="1"/>
    <col min="1538" max="1538" width="15.125" style="3552" customWidth="1"/>
    <col min="1539" max="1540" width="11" style="3552" customWidth="1"/>
    <col min="1541" max="1541" width="10.625" style="3552" customWidth="1"/>
    <col min="1542" max="1542" width="11" style="3552" customWidth="1"/>
    <col min="1543" max="1543" width="19.625" style="3552" customWidth="1"/>
    <col min="1544" max="1792" width="11" style="3552"/>
    <col min="1793" max="1793" width="11" style="3552" customWidth="1"/>
    <col min="1794" max="1794" width="15.125" style="3552" customWidth="1"/>
    <col min="1795" max="1796" width="11" style="3552" customWidth="1"/>
    <col min="1797" max="1797" width="10.625" style="3552" customWidth="1"/>
    <col min="1798" max="1798" width="11" style="3552" customWidth="1"/>
    <col min="1799" max="1799" width="19.625" style="3552" customWidth="1"/>
    <col min="1800" max="2048" width="11" style="3552"/>
    <col min="2049" max="2049" width="11" style="3552" customWidth="1"/>
    <col min="2050" max="2050" width="15.125" style="3552" customWidth="1"/>
    <col min="2051" max="2052" width="11" style="3552" customWidth="1"/>
    <col min="2053" max="2053" width="10.625" style="3552" customWidth="1"/>
    <col min="2054" max="2054" width="11" style="3552" customWidth="1"/>
    <col min="2055" max="2055" width="19.625" style="3552" customWidth="1"/>
    <col min="2056" max="2304" width="11" style="3552"/>
    <col min="2305" max="2305" width="11" style="3552" customWidth="1"/>
    <col min="2306" max="2306" width="15.125" style="3552" customWidth="1"/>
    <col min="2307" max="2308" width="11" style="3552" customWidth="1"/>
    <col min="2309" max="2309" width="10.625" style="3552" customWidth="1"/>
    <col min="2310" max="2310" width="11" style="3552" customWidth="1"/>
    <col min="2311" max="2311" width="19.625" style="3552" customWidth="1"/>
    <col min="2312" max="2560" width="11" style="3552"/>
    <col min="2561" max="2561" width="11" style="3552" customWidth="1"/>
    <col min="2562" max="2562" width="15.125" style="3552" customWidth="1"/>
    <col min="2563" max="2564" width="11" style="3552" customWidth="1"/>
    <col min="2565" max="2565" width="10.625" style="3552" customWidth="1"/>
    <col min="2566" max="2566" width="11" style="3552" customWidth="1"/>
    <col min="2567" max="2567" width="19.625" style="3552" customWidth="1"/>
    <col min="2568" max="2816" width="11" style="3552"/>
    <col min="2817" max="2817" width="11" style="3552" customWidth="1"/>
    <col min="2818" max="2818" width="15.125" style="3552" customWidth="1"/>
    <col min="2819" max="2820" width="11" style="3552" customWidth="1"/>
    <col min="2821" max="2821" width="10.625" style="3552" customWidth="1"/>
    <col min="2822" max="2822" width="11" style="3552" customWidth="1"/>
    <col min="2823" max="2823" width="19.625" style="3552" customWidth="1"/>
    <col min="2824" max="3072" width="11" style="3552"/>
    <col min="3073" max="3073" width="11" style="3552" customWidth="1"/>
    <col min="3074" max="3074" width="15.125" style="3552" customWidth="1"/>
    <col min="3075" max="3076" width="11" style="3552" customWidth="1"/>
    <col min="3077" max="3077" width="10.625" style="3552" customWidth="1"/>
    <col min="3078" max="3078" width="11" style="3552" customWidth="1"/>
    <col min="3079" max="3079" width="19.625" style="3552" customWidth="1"/>
    <col min="3080" max="3328" width="11" style="3552"/>
    <col min="3329" max="3329" width="11" style="3552" customWidth="1"/>
    <col min="3330" max="3330" width="15.125" style="3552" customWidth="1"/>
    <col min="3331" max="3332" width="11" style="3552" customWidth="1"/>
    <col min="3333" max="3333" width="10.625" style="3552" customWidth="1"/>
    <col min="3334" max="3334" width="11" style="3552" customWidth="1"/>
    <col min="3335" max="3335" width="19.625" style="3552" customWidth="1"/>
    <col min="3336" max="3584" width="11" style="3552"/>
    <col min="3585" max="3585" width="11" style="3552" customWidth="1"/>
    <col min="3586" max="3586" width="15.125" style="3552" customWidth="1"/>
    <col min="3587" max="3588" width="11" style="3552" customWidth="1"/>
    <col min="3589" max="3589" width="10.625" style="3552" customWidth="1"/>
    <col min="3590" max="3590" width="11" style="3552" customWidth="1"/>
    <col min="3591" max="3591" width="19.625" style="3552" customWidth="1"/>
    <col min="3592" max="3840" width="11" style="3552"/>
    <col min="3841" max="3841" width="11" style="3552" customWidth="1"/>
    <col min="3842" max="3842" width="15.125" style="3552" customWidth="1"/>
    <col min="3843" max="3844" width="11" style="3552" customWidth="1"/>
    <col min="3845" max="3845" width="10.625" style="3552" customWidth="1"/>
    <col min="3846" max="3846" width="11" style="3552" customWidth="1"/>
    <col min="3847" max="3847" width="19.625" style="3552" customWidth="1"/>
    <col min="3848" max="4096" width="11" style="3552"/>
    <col min="4097" max="4097" width="11" style="3552" customWidth="1"/>
    <col min="4098" max="4098" width="15.125" style="3552" customWidth="1"/>
    <col min="4099" max="4100" width="11" style="3552" customWidth="1"/>
    <col min="4101" max="4101" width="10.625" style="3552" customWidth="1"/>
    <col min="4102" max="4102" width="11" style="3552" customWidth="1"/>
    <col min="4103" max="4103" width="19.625" style="3552" customWidth="1"/>
    <col min="4104" max="4352" width="11" style="3552"/>
    <col min="4353" max="4353" width="11" style="3552" customWidth="1"/>
    <col min="4354" max="4354" width="15.125" style="3552" customWidth="1"/>
    <col min="4355" max="4356" width="11" style="3552" customWidth="1"/>
    <col min="4357" max="4357" width="10.625" style="3552" customWidth="1"/>
    <col min="4358" max="4358" width="11" style="3552" customWidth="1"/>
    <col min="4359" max="4359" width="19.625" style="3552" customWidth="1"/>
    <col min="4360" max="4608" width="11" style="3552"/>
    <col min="4609" max="4609" width="11" style="3552" customWidth="1"/>
    <col min="4610" max="4610" width="15.125" style="3552" customWidth="1"/>
    <col min="4611" max="4612" width="11" style="3552" customWidth="1"/>
    <col min="4613" max="4613" width="10.625" style="3552" customWidth="1"/>
    <col min="4614" max="4614" width="11" style="3552" customWidth="1"/>
    <col min="4615" max="4615" width="19.625" style="3552" customWidth="1"/>
    <col min="4616" max="4864" width="11" style="3552"/>
    <col min="4865" max="4865" width="11" style="3552" customWidth="1"/>
    <col min="4866" max="4866" width="15.125" style="3552" customWidth="1"/>
    <col min="4867" max="4868" width="11" style="3552" customWidth="1"/>
    <col min="4869" max="4869" width="10.625" style="3552" customWidth="1"/>
    <col min="4870" max="4870" width="11" style="3552" customWidth="1"/>
    <col min="4871" max="4871" width="19.625" style="3552" customWidth="1"/>
    <col min="4872" max="5120" width="11" style="3552"/>
    <col min="5121" max="5121" width="11" style="3552" customWidth="1"/>
    <col min="5122" max="5122" width="15.125" style="3552" customWidth="1"/>
    <col min="5123" max="5124" width="11" style="3552" customWidth="1"/>
    <col min="5125" max="5125" width="10.625" style="3552" customWidth="1"/>
    <col min="5126" max="5126" width="11" style="3552" customWidth="1"/>
    <col min="5127" max="5127" width="19.625" style="3552" customWidth="1"/>
    <col min="5128" max="5376" width="11" style="3552"/>
    <col min="5377" max="5377" width="11" style="3552" customWidth="1"/>
    <col min="5378" max="5378" width="15.125" style="3552" customWidth="1"/>
    <col min="5379" max="5380" width="11" style="3552" customWidth="1"/>
    <col min="5381" max="5381" width="10.625" style="3552" customWidth="1"/>
    <col min="5382" max="5382" width="11" style="3552" customWidth="1"/>
    <col min="5383" max="5383" width="19.625" style="3552" customWidth="1"/>
    <col min="5384" max="5632" width="11" style="3552"/>
    <col min="5633" max="5633" width="11" style="3552" customWidth="1"/>
    <col min="5634" max="5634" width="15.125" style="3552" customWidth="1"/>
    <col min="5635" max="5636" width="11" style="3552" customWidth="1"/>
    <col min="5637" max="5637" width="10.625" style="3552" customWidth="1"/>
    <col min="5638" max="5638" width="11" style="3552" customWidth="1"/>
    <col min="5639" max="5639" width="19.625" style="3552" customWidth="1"/>
    <col min="5640" max="5888" width="11" style="3552"/>
    <col min="5889" max="5889" width="11" style="3552" customWidth="1"/>
    <col min="5890" max="5890" width="15.125" style="3552" customWidth="1"/>
    <col min="5891" max="5892" width="11" style="3552" customWidth="1"/>
    <col min="5893" max="5893" width="10.625" style="3552" customWidth="1"/>
    <col min="5894" max="5894" width="11" style="3552" customWidth="1"/>
    <col min="5895" max="5895" width="19.625" style="3552" customWidth="1"/>
    <col min="5896" max="6144" width="11" style="3552"/>
    <col min="6145" max="6145" width="11" style="3552" customWidth="1"/>
    <col min="6146" max="6146" width="15.125" style="3552" customWidth="1"/>
    <col min="6147" max="6148" width="11" style="3552" customWidth="1"/>
    <col min="6149" max="6149" width="10.625" style="3552" customWidth="1"/>
    <col min="6150" max="6150" width="11" style="3552" customWidth="1"/>
    <col min="6151" max="6151" width="19.625" style="3552" customWidth="1"/>
    <col min="6152" max="6400" width="11" style="3552"/>
    <col min="6401" max="6401" width="11" style="3552" customWidth="1"/>
    <col min="6402" max="6402" width="15.125" style="3552" customWidth="1"/>
    <col min="6403" max="6404" width="11" style="3552" customWidth="1"/>
    <col min="6405" max="6405" width="10.625" style="3552" customWidth="1"/>
    <col min="6406" max="6406" width="11" style="3552" customWidth="1"/>
    <col min="6407" max="6407" width="19.625" style="3552" customWidth="1"/>
    <col min="6408" max="6656" width="11" style="3552"/>
    <col min="6657" max="6657" width="11" style="3552" customWidth="1"/>
    <col min="6658" max="6658" width="15.125" style="3552" customWidth="1"/>
    <col min="6659" max="6660" width="11" style="3552" customWidth="1"/>
    <col min="6661" max="6661" width="10.625" style="3552" customWidth="1"/>
    <col min="6662" max="6662" width="11" style="3552" customWidth="1"/>
    <col min="6663" max="6663" width="19.625" style="3552" customWidth="1"/>
    <col min="6664" max="6912" width="11" style="3552"/>
    <col min="6913" max="6913" width="11" style="3552" customWidth="1"/>
    <col min="6914" max="6914" width="15.125" style="3552" customWidth="1"/>
    <col min="6915" max="6916" width="11" style="3552" customWidth="1"/>
    <col min="6917" max="6917" width="10.625" style="3552" customWidth="1"/>
    <col min="6918" max="6918" width="11" style="3552" customWidth="1"/>
    <col min="6919" max="6919" width="19.625" style="3552" customWidth="1"/>
    <col min="6920" max="7168" width="11" style="3552"/>
    <col min="7169" max="7169" width="11" style="3552" customWidth="1"/>
    <col min="7170" max="7170" width="15.125" style="3552" customWidth="1"/>
    <col min="7171" max="7172" width="11" style="3552" customWidth="1"/>
    <col min="7173" max="7173" width="10.625" style="3552" customWidth="1"/>
    <col min="7174" max="7174" width="11" style="3552" customWidth="1"/>
    <col min="7175" max="7175" width="19.625" style="3552" customWidth="1"/>
    <col min="7176" max="7424" width="11" style="3552"/>
    <col min="7425" max="7425" width="11" style="3552" customWidth="1"/>
    <col min="7426" max="7426" width="15.125" style="3552" customWidth="1"/>
    <col min="7427" max="7428" width="11" style="3552" customWidth="1"/>
    <col min="7429" max="7429" width="10.625" style="3552" customWidth="1"/>
    <col min="7430" max="7430" width="11" style="3552" customWidth="1"/>
    <col min="7431" max="7431" width="19.625" style="3552" customWidth="1"/>
    <col min="7432" max="7680" width="11" style="3552"/>
    <col min="7681" max="7681" width="11" style="3552" customWidth="1"/>
    <col min="7682" max="7682" width="15.125" style="3552" customWidth="1"/>
    <col min="7683" max="7684" width="11" style="3552" customWidth="1"/>
    <col min="7685" max="7685" width="10.625" style="3552" customWidth="1"/>
    <col min="7686" max="7686" width="11" style="3552" customWidth="1"/>
    <col min="7687" max="7687" width="19.625" style="3552" customWidth="1"/>
    <col min="7688" max="7936" width="11" style="3552"/>
    <col min="7937" max="7937" width="11" style="3552" customWidth="1"/>
    <col min="7938" max="7938" width="15.125" style="3552" customWidth="1"/>
    <col min="7939" max="7940" width="11" style="3552" customWidth="1"/>
    <col min="7941" max="7941" width="10.625" style="3552" customWidth="1"/>
    <col min="7942" max="7942" width="11" style="3552" customWidth="1"/>
    <col min="7943" max="7943" width="19.625" style="3552" customWidth="1"/>
    <col min="7944" max="8192" width="11" style="3552"/>
    <col min="8193" max="8193" width="11" style="3552" customWidth="1"/>
    <col min="8194" max="8194" width="15.125" style="3552" customWidth="1"/>
    <col min="8195" max="8196" width="11" style="3552" customWidth="1"/>
    <col min="8197" max="8197" width="10.625" style="3552" customWidth="1"/>
    <col min="8198" max="8198" width="11" style="3552" customWidth="1"/>
    <col min="8199" max="8199" width="19.625" style="3552" customWidth="1"/>
    <col min="8200" max="8448" width="11" style="3552"/>
    <col min="8449" max="8449" width="11" style="3552" customWidth="1"/>
    <col min="8450" max="8450" width="15.125" style="3552" customWidth="1"/>
    <col min="8451" max="8452" width="11" style="3552" customWidth="1"/>
    <col min="8453" max="8453" width="10.625" style="3552" customWidth="1"/>
    <col min="8454" max="8454" width="11" style="3552" customWidth="1"/>
    <col min="8455" max="8455" width="19.625" style="3552" customWidth="1"/>
    <col min="8456" max="8704" width="11" style="3552"/>
    <col min="8705" max="8705" width="11" style="3552" customWidth="1"/>
    <col min="8706" max="8706" width="15.125" style="3552" customWidth="1"/>
    <col min="8707" max="8708" width="11" style="3552" customWidth="1"/>
    <col min="8709" max="8709" width="10.625" style="3552" customWidth="1"/>
    <col min="8710" max="8710" width="11" style="3552" customWidth="1"/>
    <col min="8711" max="8711" width="19.625" style="3552" customWidth="1"/>
    <col min="8712" max="8960" width="11" style="3552"/>
    <col min="8961" max="8961" width="11" style="3552" customWidth="1"/>
    <col min="8962" max="8962" width="15.125" style="3552" customWidth="1"/>
    <col min="8963" max="8964" width="11" style="3552" customWidth="1"/>
    <col min="8965" max="8965" width="10.625" style="3552" customWidth="1"/>
    <col min="8966" max="8966" width="11" style="3552" customWidth="1"/>
    <col min="8967" max="8967" width="19.625" style="3552" customWidth="1"/>
    <col min="8968" max="9216" width="11" style="3552"/>
    <col min="9217" max="9217" width="11" style="3552" customWidth="1"/>
    <col min="9218" max="9218" width="15.125" style="3552" customWidth="1"/>
    <col min="9219" max="9220" width="11" style="3552" customWidth="1"/>
    <col min="9221" max="9221" width="10.625" style="3552" customWidth="1"/>
    <col min="9222" max="9222" width="11" style="3552" customWidth="1"/>
    <col min="9223" max="9223" width="19.625" style="3552" customWidth="1"/>
    <col min="9224" max="9472" width="11" style="3552"/>
    <col min="9473" max="9473" width="11" style="3552" customWidth="1"/>
    <col min="9474" max="9474" width="15.125" style="3552" customWidth="1"/>
    <col min="9475" max="9476" width="11" style="3552" customWidth="1"/>
    <col min="9477" max="9477" width="10.625" style="3552" customWidth="1"/>
    <col min="9478" max="9478" width="11" style="3552" customWidth="1"/>
    <col min="9479" max="9479" width="19.625" style="3552" customWidth="1"/>
    <col min="9480" max="9728" width="11" style="3552"/>
    <col min="9729" max="9729" width="11" style="3552" customWidth="1"/>
    <col min="9730" max="9730" width="15.125" style="3552" customWidth="1"/>
    <col min="9731" max="9732" width="11" style="3552" customWidth="1"/>
    <col min="9733" max="9733" width="10.625" style="3552" customWidth="1"/>
    <col min="9734" max="9734" width="11" style="3552" customWidth="1"/>
    <col min="9735" max="9735" width="19.625" style="3552" customWidth="1"/>
    <col min="9736" max="9984" width="11" style="3552"/>
    <col min="9985" max="9985" width="11" style="3552" customWidth="1"/>
    <col min="9986" max="9986" width="15.125" style="3552" customWidth="1"/>
    <col min="9987" max="9988" width="11" style="3552" customWidth="1"/>
    <col min="9989" max="9989" width="10.625" style="3552" customWidth="1"/>
    <col min="9990" max="9990" width="11" style="3552" customWidth="1"/>
    <col min="9991" max="9991" width="19.625" style="3552" customWidth="1"/>
    <col min="9992" max="10240" width="11" style="3552"/>
    <col min="10241" max="10241" width="11" style="3552" customWidth="1"/>
    <col min="10242" max="10242" width="15.125" style="3552" customWidth="1"/>
    <col min="10243" max="10244" width="11" style="3552" customWidth="1"/>
    <col min="10245" max="10245" width="10.625" style="3552" customWidth="1"/>
    <col min="10246" max="10246" width="11" style="3552" customWidth="1"/>
    <col min="10247" max="10247" width="19.625" style="3552" customWidth="1"/>
    <col min="10248" max="10496" width="11" style="3552"/>
    <col min="10497" max="10497" width="11" style="3552" customWidth="1"/>
    <col min="10498" max="10498" width="15.125" style="3552" customWidth="1"/>
    <col min="10499" max="10500" width="11" style="3552" customWidth="1"/>
    <col min="10501" max="10501" width="10.625" style="3552" customWidth="1"/>
    <col min="10502" max="10502" width="11" style="3552" customWidth="1"/>
    <col min="10503" max="10503" width="19.625" style="3552" customWidth="1"/>
    <col min="10504" max="10752" width="11" style="3552"/>
    <col min="10753" max="10753" width="11" style="3552" customWidth="1"/>
    <col min="10754" max="10754" width="15.125" style="3552" customWidth="1"/>
    <col min="10755" max="10756" width="11" style="3552" customWidth="1"/>
    <col min="10757" max="10757" width="10.625" style="3552" customWidth="1"/>
    <col min="10758" max="10758" width="11" style="3552" customWidth="1"/>
    <col min="10759" max="10759" width="19.625" style="3552" customWidth="1"/>
    <col min="10760" max="11008" width="11" style="3552"/>
    <col min="11009" max="11009" width="11" style="3552" customWidth="1"/>
    <col min="11010" max="11010" width="15.125" style="3552" customWidth="1"/>
    <col min="11011" max="11012" width="11" style="3552" customWidth="1"/>
    <col min="11013" max="11013" width="10.625" style="3552" customWidth="1"/>
    <col min="11014" max="11014" width="11" style="3552" customWidth="1"/>
    <col min="11015" max="11015" width="19.625" style="3552" customWidth="1"/>
    <col min="11016" max="11264" width="11" style="3552"/>
    <col min="11265" max="11265" width="11" style="3552" customWidth="1"/>
    <col min="11266" max="11266" width="15.125" style="3552" customWidth="1"/>
    <col min="11267" max="11268" width="11" style="3552" customWidth="1"/>
    <col min="11269" max="11269" width="10.625" style="3552" customWidth="1"/>
    <col min="11270" max="11270" width="11" style="3552" customWidth="1"/>
    <col min="11271" max="11271" width="19.625" style="3552" customWidth="1"/>
    <col min="11272" max="11520" width="11" style="3552"/>
    <col min="11521" max="11521" width="11" style="3552" customWidth="1"/>
    <col min="11522" max="11522" width="15.125" style="3552" customWidth="1"/>
    <col min="11523" max="11524" width="11" style="3552" customWidth="1"/>
    <col min="11525" max="11525" width="10.625" style="3552" customWidth="1"/>
    <col min="11526" max="11526" width="11" style="3552" customWidth="1"/>
    <col min="11527" max="11527" width="19.625" style="3552" customWidth="1"/>
    <col min="11528" max="11776" width="11" style="3552"/>
    <col min="11777" max="11777" width="11" style="3552" customWidth="1"/>
    <col min="11778" max="11778" width="15.125" style="3552" customWidth="1"/>
    <col min="11779" max="11780" width="11" style="3552" customWidth="1"/>
    <col min="11781" max="11781" width="10.625" style="3552" customWidth="1"/>
    <col min="11782" max="11782" width="11" style="3552" customWidth="1"/>
    <col min="11783" max="11783" width="19.625" style="3552" customWidth="1"/>
    <col min="11784" max="12032" width="11" style="3552"/>
    <col min="12033" max="12033" width="11" style="3552" customWidth="1"/>
    <col min="12034" max="12034" width="15.125" style="3552" customWidth="1"/>
    <col min="12035" max="12036" width="11" style="3552" customWidth="1"/>
    <col min="12037" max="12037" width="10.625" style="3552" customWidth="1"/>
    <col min="12038" max="12038" width="11" style="3552" customWidth="1"/>
    <col min="12039" max="12039" width="19.625" style="3552" customWidth="1"/>
    <col min="12040" max="12288" width="11" style="3552"/>
    <col min="12289" max="12289" width="11" style="3552" customWidth="1"/>
    <col min="12290" max="12290" width="15.125" style="3552" customWidth="1"/>
    <col min="12291" max="12292" width="11" style="3552" customWidth="1"/>
    <col min="12293" max="12293" width="10.625" style="3552" customWidth="1"/>
    <col min="12294" max="12294" width="11" style="3552" customWidth="1"/>
    <col min="12295" max="12295" width="19.625" style="3552" customWidth="1"/>
    <col min="12296" max="12544" width="11" style="3552"/>
    <col min="12545" max="12545" width="11" style="3552" customWidth="1"/>
    <col min="12546" max="12546" width="15.125" style="3552" customWidth="1"/>
    <col min="12547" max="12548" width="11" style="3552" customWidth="1"/>
    <col min="12549" max="12549" width="10.625" style="3552" customWidth="1"/>
    <col min="12550" max="12550" width="11" style="3552" customWidth="1"/>
    <col min="12551" max="12551" width="19.625" style="3552" customWidth="1"/>
    <col min="12552" max="12800" width="11" style="3552"/>
    <col min="12801" max="12801" width="11" style="3552" customWidth="1"/>
    <col min="12802" max="12802" width="15.125" style="3552" customWidth="1"/>
    <col min="12803" max="12804" width="11" style="3552" customWidth="1"/>
    <col min="12805" max="12805" width="10.625" style="3552" customWidth="1"/>
    <col min="12806" max="12806" width="11" style="3552" customWidth="1"/>
    <col min="12807" max="12807" width="19.625" style="3552" customWidth="1"/>
    <col min="12808" max="13056" width="11" style="3552"/>
    <col min="13057" max="13057" width="11" style="3552" customWidth="1"/>
    <col min="13058" max="13058" width="15.125" style="3552" customWidth="1"/>
    <col min="13059" max="13060" width="11" style="3552" customWidth="1"/>
    <col min="13061" max="13061" width="10.625" style="3552" customWidth="1"/>
    <col min="13062" max="13062" width="11" style="3552" customWidth="1"/>
    <col min="13063" max="13063" width="19.625" style="3552" customWidth="1"/>
    <col min="13064" max="13312" width="11" style="3552"/>
    <col min="13313" max="13313" width="11" style="3552" customWidth="1"/>
    <col min="13314" max="13314" width="15.125" style="3552" customWidth="1"/>
    <col min="13315" max="13316" width="11" style="3552" customWidth="1"/>
    <col min="13317" max="13317" width="10.625" style="3552" customWidth="1"/>
    <col min="13318" max="13318" width="11" style="3552" customWidth="1"/>
    <col min="13319" max="13319" width="19.625" style="3552" customWidth="1"/>
    <col min="13320" max="13568" width="11" style="3552"/>
    <col min="13569" max="13569" width="11" style="3552" customWidth="1"/>
    <col min="13570" max="13570" width="15.125" style="3552" customWidth="1"/>
    <col min="13571" max="13572" width="11" style="3552" customWidth="1"/>
    <col min="13573" max="13573" width="10.625" style="3552" customWidth="1"/>
    <col min="13574" max="13574" width="11" style="3552" customWidth="1"/>
    <col min="13575" max="13575" width="19.625" style="3552" customWidth="1"/>
    <col min="13576" max="13824" width="11" style="3552"/>
    <col min="13825" max="13825" width="11" style="3552" customWidth="1"/>
    <col min="13826" max="13826" width="15.125" style="3552" customWidth="1"/>
    <col min="13827" max="13828" width="11" style="3552" customWidth="1"/>
    <col min="13829" max="13829" width="10.625" style="3552" customWidth="1"/>
    <col min="13830" max="13830" width="11" style="3552" customWidth="1"/>
    <col min="13831" max="13831" width="19.625" style="3552" customWidth="1"/>
    <col min="13832" max="14080" width="11" style="3552"/>
    <col min="14081" max="14081" width="11" style="3552" customWidth="1"/>
    <col min="14082" max="14082" width="15.125" style="3552" customWidth="1"/>
    <col min="14083" max="14084" width="11" style="3552" customWidth="1"/>
    <col min="14085" max="14085" width="10.625" style="3552" customWidth="1"/>
    <col min="14086" max="14086" width="11" style="3552" customWidth="1"/>
    <col min="14087" max="14087" width="19.625" style="3552" customWidth="1"/>
    <col min="14088" max="14336" width="11" style="3552"/>
    <col min="14337" max="14337" width="11" style="3552" customWidth="1"/>
    <col min="14338" max="14338" width="15.125" style="3552" customWidth="1"/>
    <col min="14339" max="14340" width="11" style="3552" customWidth="1"/>
    <col min="14341" max="14341" width="10.625" style="3552" customWidth="1"/>
    <col min="14342" max="14342" width="11" style="3552" customWidth="1"/>
    <col min="14343" max="14343" width="19.625" style="3552" customWidth="1"/>
    <col min="14344" max="14592" width="11" style="3552"/>
    <col min="14593" max="14593" width="11" style="3552" customWidth="1"/>
    <col min="14594" max="14594" width="15.125" style="3552" customWidth="1"/>
    <col min="14595" max="14596" width="11" style="3552" customWidth="1"/>
    <col min="14597" max="14597" width="10.625" style="3552" customWidth="1"/>
    <col min="14598" max="14598" width="11" style="3552" customWidth="1"/>
    <col min="14599" max="14599" width="19.625" style="3552" customWidth="1"/>
    <col min="14600" max="14848" width="11" style="3552"/>
    <col min="14849" max="14849" width="11" style="3552" customWidth="1"/>
    <col min="14850" max="14850" width="15.125" style="3552" customWidth="1"/>
    <col min="14851" max="14852" width="11" style="3552" customWidth="1"/>
    <col min="14853" max="14853" width="10.625" style="3552" customWidth="1"/>
    <col min="14854" max="14854" width="11" style="3552" customWidth="1"/>
    <col min="14855" max="14855" width="19.625" style="3552" customWidth="1"/>
    <col min="14856" max="15104" width="11" style="3552"/>
    <col min="15105" max="15105" width="11" style="3552" customWidth="1"/>
    <col min="15106" max="15106" width="15.125" style="3552" customWidth="1"/>
    <col min="15107" max="15108" width="11" style="3552" customWidth="1"/>
    <col min="15109" max="15109" width="10.625" style="3552" customWidth="1"/>
    <col min="15110" max="15110" width="11" style="3552" customWidth="1"/>
    <col min="15111" max="15111" width="19.625" style="3552" customWidth="1"/>
    <col min="15112" max="15360" width="11" style="3552"/>
    <col min="15361" max="15361" width="11" style="3552" customWidth="1"/>
    <col min="15362" max="15362" width="15.125" style="3552" customWidth="1"/>
    <col min="15363" max="15364" width="11" style="3552" customWidth="1"/>
    <col min="15365" max="15365" width="10.625" style="3552" customWidth="1"/>
    <col min="15366" max="15366" width="11" style="3552" customWidth="1"/>
    <col min="15367" max="15367" width="19.625" style="3552" customWidth="1"/>
    <col min="15368" max="15616" width="11" style="3552"/>
    <col min="15617" max="15617" width="11" style="3552" customWidth="1"/>
    <col min="15618" max="15618" width="15.125" style="3552" customWidth="1"/>
    <col min="15619" max="15620" width="11" style="3552" customWidth="1"/>
    <col min="15621" max="15621" width="10.625" style="3552" customWidth="1"/>
    <col min="15622" max="15622" width="11" style="3552" customWidth="1"/>
    <col min="15623" max="15623" width="19.625" style="3552" customWidth="1"/>
    <col min="15624" max="15872" width="11" style="3552"/>
    <col min="15873" max="15873" width="11" style="3552" customWidth="1"/>
    <col min="15874" max="15874" width="15.125" style="3552" customWidth="1"/>
    <col min="15875" max="15876" width="11" style="3552" customWidth="1"/>
    <col min="15877" max="15877" width="10.625" style="3552" customWidth="1"/>
    <col min="15878" max="15878" width="11" style="3552" customWidth="1"/>
    <col min="15879" max="15879" width="19.625" style="3552" customWidth="1"/>
    <col min="15880" max="16128" width="11" style="3552"/>
    <col min="16129" max="16129" width="11" style="3552" customWidth="1"/>
    <col min="16130" max="16130" width="15.125" style="3552" customWidth="1"/>
    <col min="16131" max="16132" width="11" style="3552" customWidth="1"/>
    <col min="16133" max="16133" width="10.625" style="3552" customWidth="1"/>
    <col min="16134" max="16134" width="11" style="3552" customWidth="1"/>
    <col min="16135" max="16135" width="19.625" style="3552" customWidth="1"/>
    <col min="16136" max="16384" width="11" style="3552"/>
  </cols>
  <sheetData>
    <row r="1" spans="1:7">
      <c r="B1" s="3741" t="s">
        <v>3659</v>
      </c>
      <c r="C1" s="3741" t="s">
        <v>3350</v>
      </c>
      <c r="D1" s="3741" t="s">
        <v>3334</v>
      </c>
      <c r="E1" s="3741" t="s">
        <v>3333</v>
      </c>
      <c r="F1" s="3741" t="s">
        <v>3340</v>
      </c>
      <c r="G1" s="3741" t="s">
        <v>3660</v>
      </c>
    </row>
    <row r="2" spans="1:7">
      <c r="A2" s="4404" t="s">
        <v>3661</v>
      </c>
      <c r="B2" s="3742" t="s">
        <v>3662</v>
      </c>
      <c r="C2" s="3743" t="s">
        <v>3369</v>
      </c>
      <c r="D2" s="3743">
        <v>10</v>
      </c>
      <c r="E2" s="3743">
        <f>F2/295</f>
        <v>1.0169491525423728</v>
      </c>
      <c r="F2" s="3743">
        <v>300</v>
      </c>
      <c r="G2" s="3744"/>
    </row>
    <row r="3" spans="1:7">
      <c r="A3" s="4404"/>
      <c r="B3" s="3742" t="s">
        <v>3663</v>
      </c>
      <c r="C3" s="3743" t="s">
        <v>3664</v>
      </c>
      <c r="D3" s="3743">
        <v>10</v>
      </c>
      <c r="E3" s="3743">
        <f t="shared" ref="E3:E11" si="0">F3/295</f>
        <v>2.3728813559322033</v>
      </c>
      <c r="F3" s="3743">
        <v>700</v>
      </c>
      <c r="G3" s="3744"/>
    </row>
    <row r="4" spans="1:7">
      <c r="A4" s="4404"/>
      <c r="B4" s="3742" t="s">
        <v>3665</v>
      </c>
      <c r="C4" s="3743" t="s">
        <v>3666</v>
      </c>
      <c r="D4" s="3743">
        <v>10</v>
      </c>
      <c r="E4" s="3743">
        <f t="shared" si="0"/>
        <v>1.7966101694915255</v>
      </c>
      <c r="F4" s="3743">
        <v>530</v>
      </c>
      <c r="G4" s="3744"/>
    </row>
    <row r="5" spans="1:7">
      <c r="A5" s="4404"/>
      <c r="B5" s="3742" t="s">
        <v>3667</v>
      </c>
      <c r="C5" s="3743" t="s">
        <v>3666</v>
      </c>
      <c r="D5" s="3743">
        <v>10</v>
      </c>
      <c r="E5" s="3743">
        <f t="shared" si="0"/>
        <v>1.6949152542372881</v>
      </c>
      <c r="F5" s="3743">
        <v>500</v>
      </c>
      <c r="G5" s="3744"/>
    </row>
    <row r="6" spans="1:7">
      <c r="A6" s="4404"/>
      <c r="B6" s="3742" t="s">
        <v>3668</v>
      </c>
      <c r="C6" s="3743" t="s">
        <v>3666</v>
      </c>
      <c r="D6" s="3743">
        <v>10</v>
      </c>
      <c r="E6" s="3743">
        <f t="shared" si="0"/>
        <v>3.3898305084745761</v>
      </c>
      <c r="F6" s="3743">
        <v>1000</v>
      </c>
      <c r="G6" s="3744"/>
    </row>
    <row r="7" spans="1:7">
      <c r="A7" s="4404"/>
      <c r="B7" s="3742" t="s">
        <v>3669</v>
      </c>
      <c r="C7" s="3743" t="s">
        <v>3362</v>
      </c>
      <c r="D7" s="3743">
        <v>10</v>
      </c>
      <c r="E7" s="3743">
        <f t="shared" si="0"/>
        <v>0.67796610169491522</v>
      </c>
      <c r="F7" s="3743">
        <v>200</v>
      </c>
      <c r="G7" s="3744"/>
    </row>
    <row r="8" spans="1:7">
      <c r="A8" s="4404"/>
      <c r="B8" s="3742" t="s">
        <v>3670</v>
      </c>
      <c r="C8" s="3743" t="s">
        <v>3369</v>
      </c>
      <c r="D8" s="3743">
        <v>10</v>
      </c>
      <c r="E8" s="3743">
        <f t="shared" si="0"/>
        <v>0.20338983050847459</v>
      </c>
      <c r="F8" s="3743">
        <v>60</v>
      </c>
      <c r="G8" s="3744"/>
    </row>
    <row r="9" spans="1:7">
      <c r="A9" s="4404"/>
      <c r="B9" s="3742" t="s">
        <v>3671</v>
      </c>
      <c r="C9" s="3743" t="s">
        <v>3672</v>
      </c>
      <c r="D9" s="3743">
        <v>10</v>
      </c>
      <c r="E9" s="3743">
        <f t="shared" si="0"/>
        <v>0.67796610169491522</v>
      </c>
      <c r="F9" s="3743">
        <v>200</v>
      </c>
      <c r="G9" s="3744"/>
    </row>
    <row r="10" spans="1:7">
      <c r="A10" s="4404"/>
      <c r="B10" s="3742" t="s">
        <v>3673</v>
      </c>
      <c r="C10" s="3743" t="s">
        <v>3672</v>
      </c>
      <c r="D10" s="3743">
        <v>10</v>
      </c>
      <c r="E10" s="3743">
        <f t="shared" si="0"/>
        <v>4.0677966101694913</v>
      </c>
      <c r="F10" s="3743">
        <v>1200</v>
      </c>
      <c r="G10" s="3744"/>
    </row>
    <row r="11" spans="1:7">
      <c r="A11" s="4404"/>
      <c r="B11" s="3742" t="s">
        <v>3674</v>
      </c>
      <c r="C11" s="3743" t="s">
        <v>3666</v>
      </c>
      <c r="D11" s="3743">
        <v>10</v>
      </c>
      <c r="E11" s="3743">
        <f t="shared" si="0"/>
        <v>2.7118644067796609</v>
      </c>
      <c r="F11" s="3743">
        <v>800</v>
      </c>
      <c r="G11" s="3744"/>
    </row>
    <row r="12" spans="1:7">
      <c r="A12" s="4404"/>
      <c r="B12" s="3745" t="s">
        <v>3675</v>
      </c>
      <c r="C12" s="3743" t="s">
        <v>3664</v>
      </c>
      <c r="D12" s="3743">
        <v>10</v>
      </c>
      <c r="E12" s="3743">
        <v>32.97</v>
      </c>
      <c r="F12" s="3746">
        <f>295*E12*D12/10</f>
        <v>9726.15</v>
      </c>
      <c r="G12" s="3744"/>
    </row>
    <row r="13" spans="1:7">
      <c r="A13" s="4404"/>
      <c r="B13" s="3745" t="s">
        <v>3676</v>
      </c>
      <c r="C13" s="3743" t="s">
        <v>3664</v>
      </c>
      <c r="D13" s="3743">
        <v>10</v>
      </c>
      <c r="E13" s="3743">
        <v>14.41</v>
      </c>
      <c r="F13" s="3746"/>
      <c r="G13" s="3744"/>
    </row>
    <row r="14" spans="1:7">
      <c r="A14" s="4404"/>
      <c r="B14" s="3745" t="s">
        <v>3677</v>
      </c>
      <c r="C14" s="3743" t="s">
        <v>3664</v>
      </c>
      <c r="D14" s="3743">
        <v>10</v>
      </c>
      <c r="E14" s="3743">
        <v>11.21</v>
      </c>
      <c r="F14" s="3746"/>
      <c r="G14" s="3744"/>
    </row>
    <row r="15" spans="1:7">
      <c r="A15" s="4404"/>
      <c r="B15" s="3745" t="s">
        <v>3678</v>
      </c>
      <c r="C15" s="3743" t="s">
        <v>3664</v>
      </c>
      <c r="D15" s="3743">
        <v>10</v>
      </c>
      <c r="E15" s="3743">
        <v>6.53</v>
      </c>
      <c r="F15" s="3746"/>
      <c r="G15" s="3744"/>
    </row>
    <row r="16" spans="1:7">
      <c r="A16" s="4404"/>
      <c r="B16" s="3745" t="s">
        <v>3679</v>
      </c>
      <c r="C16" s="3743" t="s">
        <v>3680</v>
      </c>
      <c r="D16" s="3743">
        <v>10</v>
      </c>
      <c r="E16" s="3743">
        <v>5.55</v>
      </c>
      <c r="F16" s="3746">
        <f t="shared" ref="F16:F28" si="1">295*E16*D16/10</f>
        <v>1637.25</v>
      </c>
      <c r="G16" s="3744"/>
    </row>
    <row r="17" spans="1:7">
      <c r="A17" s="4404"/>
      <c r="B17" s="3745" t="s">
        <v>3681</v>
      </c>
      <c r="C17" s="3743" t="s">
        <v>3680</v>
      </c>
      <c r="D17" s="3743">
        <v>10</v>
      </c>
      <c r="E17" s="3743">
        <v>4.16</v>
      </c>
      <c r="F17" s="3746">
        <f t="shared" si="1"/>
        <v>1227.2</v>
      </c>
      <c r="G17" s="3744"/>
    </row>
    <row r="18" spans="1:7">
      <c r="A18" s="4404"/>
      <c r="B18" s="3745" t="s">
        <v>3682</v>
      </c>
      <c r="C18" s="3743" t="s">
        <v>3369</v>
      </c>
      <c r="D18" s="3743">
        <v>10</v>
      </c>
      <c r="E18" s="3743">
        <v>1.58</v>
      </c>
      <c r="F18" s="3746">
        <f t="shared" si="1"/>
        <v>466.1</v>
      </c>
      <c r="G18" s="3744"/>
    </row>
    <row r="19" spans="1:7">
      <c r="A19" s="4404"/>
      <c r="B19" s="3745" t="s">
        <v>3683</v>
      </c>
      <c r="C19" s="3743" t="s">
        <v>3369</v>
      </c>
      <c r="D19" s="3743">
        <v>10</v>
      </c>
      <c r="E19" s="3743">
        <v>1.1000000000000001</v>
      </c>
      <c r="F19" s="3746">
        <f t="shared" si="1"/>
        <v>324.5</v>
      </c>
      <c r="G19" s="3744"/>
    </row>
    <row r="20" spans="1:7">
      <c r="A20" s="4404"/>
      <c r="B20" s="3745" t="s">
        <v>3684</v>
      </c>
      <c r="C20" s="3743" t="s">
        <v>3369</v>
      </c>
      <c r="D20" s="3743">
        <v>10</v>
      </c>
      <c r="E20" s="3743">
        <v>1.0900000000000001</v>
      </c>
      <c r="F20" s="3746">
        <f t="shared" si="1"/>
        <v>321.55</v>
      </c>
      <c r="G20" s="3744"/>
    </row>
    <row r="21" spans="1:7">
      <c r="A21" s="4404"/>
      <c r="B21" s="3745" t="s">
        <v>3685</v>
      </c>
      <c r="C21" s="3743" t="s">
        <v>3369</v>
      </c>
      <c r="D21" s="3743">
        <v>10</v>
      </c>
      <c r="E21" s="3743">
        <v>1.06</v>
      </c>
      <c r="F21" s="3746">
        <f t="shared" si="1"/>
        <v>312.7</v>
      </c>
      <c r="G21" s="3744"/>
    </row>
    <row r="22" spans="1:7">
      <c r="A22" s="4404"/>
      <c r="B22" s="3745" t="s">
        <v>3686</v>
      </c>
      <c r="C22" s="3743" t="s">
        <v>3369</v>
      </c>
      <c r="D22" s="3743">
        <v>10</v>
      </c>
      <c r="E22" s="3743">
        <v>1.23</v>
      </c>
      <c r="F22" s="3746">
        <f t="shared" si="1"/>
        <v>362.85</v>
      </c>
      <c r="G22" s="3744"/>
    </row>
    <row r="23" spans="1:7">
      <c r="A23" s="4404"/>
      <c r="B23" s="3745" t="s">
        <v>3687</v>
      </c>
      <c r="C23" s="3743" t="s">
        <v>3369</v>
      </c>
      <c r="D23" s="3743">
        <v>10</v>
      </c>
      <c r="E23" s="3743">
        <v>0.79</v>
      </c>
      <c r="F23" s="3746">
        <f t="shared" si="1"/>
        <v>233.05</v>
      </c>
      <c r="G23" s="3744"/>
    </row>
    <row r="24" spans="1:7">
      <c r="A24" s="4404"/>
      <c r="B24" s="3745" t="s">
        <v>3688</v>
      </c>
      <c r="C24" s="3743" t="s">
        <v>3369</v>
      </c>
      <c r="D24" s="3743">
        <v>10</v>
      </c>
      <c r="E24" s="3743">
        <v>0.97</v>
      </c>
      <c r="F24" s="3746">
        <f t="shared" si="1"/>
        <v>286.14999999999998</v>
      </c>
      <c r="G24" s="3744"/>
    </row>
    <row r="25" spans="1:7">
      <c r="A25" s="4404"/>
      <c r="B25" s="3745" t="s">
        <v>3689</v>
      </c>
      <c r="C25" s="3743" t="s">
        <v>3369</v>
      </c>
      <c r="D25" s="3743">
        <v>10</v>
      </c>
      <c r="E25" s="3743">
        <v>1.17</v>
      </c>
      <c r="F25" s="3746">
        <f t="shared" si="1"/>
        <v>345.15</v>
      </c>
      <c r="G25" s="3744"/>
    </row>
    <row r="26" spans="1:7">
      <c r="A26" s="4404"/>
      <c r="B26" s="3745" t="s">
        <v>3690</v>
      </c>
      <c r="C26" s="3743" t="s">
        <v>3369</v>
      </c>
      <c r="D26" s="3743">
        <v>10</v>
      </c>
      <c r="E26" s="3743">
        <v>0.8</v>
      </c>
      <c r="F26" s="3746">
        <f t="shared" si="1"/>
        <v>236</v>
      </c>
      <c r="G26" s="3744"/>
    </row>
    <row r="27" spans="1:7">
      <c r="A27" s="4404"/>
      <c r="B27" s="3745" t="s">
        <v>3691</v>
      </c>
      <c r="C27" s="3743" t="s">
        <v>3369</v>
      </c>
      <c r="D27" s="3743">
        <v>10</v>
      </c>
      <c r="E27" s="3743">
        <v>0.44</v>
      </c>
      <c r="F27" s="3746">
        <f t="shared" si="1"/>
        <v>129.80000000000001</v>
      </c>
      <c r="G27" s="3744"/>
    </row>
    <row r="28" spans="1:7">
      <c r="A28" s="4404"/>
      <c r="B28" s="3745" t="s">
        <v>3692</v>
      </c>
      <c r="C28" s="3743" t="s">
        <v>3369</v>
      </c>
      <c r="D28" s="3743">
        <v>10</v>
      </c>
      <c r="E28" s="3743">
        <v>0.37</v>
      </c>
      <c r="F28" s="3746">
        <f t="shared" si="1"/>
        <v>109.15</v>
      </c>
      <c r="G28" s="3744"/>
    </row>
    <row r="29" spans="1:7">
      <c r="A29" s="4404"/>
      <c r="B29" s="3745" t="s">
        <v>3693</v>
      </c>
      <c r="C29" s="3743" t="s">
        <v>3369</v>
      </c>
      <c r="D29" s="3743">
        <v>10</v>
      </c>
      <c r="E29" s="3743">
        <v>0.65</v>
      </c>
      <c r="F29" s="3746"/>
      <c r="G29" s="3744"/>
    </row>
    <row r="30" spans="1:7">
      <c r="A30" s="4404"/>
      <c r="B30" s="3745" t="s">
        <v>3694</v>
      </c>
      <c r="C30" s="3743" t="s">
        <v>3369</v>
      </c>
      <c r="D30" s="3743">
        <v>10</v>
      </c>
      <c r="E30" s="3743">
        <v>0.52</v>
      </c>
      <c r="F30" s="3746"/>
      <c r="G30" s="3744"/>
    </row>
    <row r="31" spans="1:7">
      <c r="A31" s="4404"/>
      <c r="B31" s="3745" t="s">
        <v>3695</v>
      </c>
      <c r="C31" s="3743" t="s">
        <v>3369</v>
      </c>
      <c r="D31" s="3743">
        <v>10</v>
      </c>
      <c r="E31" s="3743">
        <v>0.33</v>
      </c>
      <c r="F31" s="3746">
        <f>295*E31*D31/10</f>
        <v>97.350000000000009</v>
      </c>
      <c r="G31" s="3744"/>
    </row>
    <row r="32" spans="1:7">
      <c r="A32" s="4404"/>
      <c r="B32" s="3745" t="s">
        <v>3696</v>
      </c>
      <c r="C32" s="3743" t="s">
        <v>3369</v>
      </c>
      <c r="D32" s="3743">
        <v>10</v>
      </c>
      <c r="E32" s="3743">
        <v>0.42</v>
      </c>
      <c r="F32" s="3746">
        <f>295*E32*D32/10</f>
        <v>123.9</v>
      </c>
      <c r="G32" s="3744"/>
    </row>
    <row r="33" spans="1:7">
      <c r="A33" s="4404"/>
      <c r="B33" s="3745" t="s">
        <v>3697</v>
      </c>
      <c r="C33" s="3743" t="s">
        <v>3369</v>
      </c>
      <c r="D33" s="3743">
        <v>10</v>
      </c>
      <c r="E33" s="3743">
        <v>0.21</v>
      </c>
      <c r="F33" s="3746">
        <f>295*E33*D33/10</f>
        <v>61.95</v>
      </c>
      <c r="G33" s="3744"/>
    </row>
    <row r="34" spans="1:7">
      <c r="A34" s="4404"/>
      <c r="B34" s="3745" t="s">
        <v>3698</v>
      </c>
      <c r="C34" s="3743" t="s">
        <v>3369</v>
      </c>
      <c r="D34" s="3743">
        <v>10</v>
      </c>
      <c r="E34" s="3743">
        <v>0.36</v>
      </c>
      <c r="F34" s="3746"/>
      <c r="G34" s="3744"/>
    </row>
    <row r="35" spans="1:7">
      <c r="A35" s="4404"/>
      <c r="B35" s="3745" t="s">
        <v>3699</v>
      </c>
      <c r="C35" s="3743" t="s">
        <v>3369</v>
      </c>
      <c r="D35" s="3743">
        <v>10</v>
      </c>
      <c r="E35" s="3743">
        <v>0.37</v>
      </c>
      <c r="F35" s="3746">
        <f>295*E35*D35/10</f>
        <v>109.15</v>
      </c>
      <c r="G35" s="3744"/>
    </row>
    <row r="36" spans="1:7">
      <c r="A36" s="4404"/>
      <c r="B36" s="3747" t="s">
        <v>3700</v>
      </c>
      <c r="C36" s="3743" t="s">
        <v>3362</v>
      </c>
      <c r="D36" s="3743">
        <v>10</v>
      </c>
      <c r="E36" s="3743">
        <v>4.8499999999999996</v>
      </c>
      <c r="F36" s="3746">
        <f>295*E36*D36/10</f>
        <v>1430.75</v>
      </c>
      <c r="G36" s="3744"/>
    </row>
    <row r="37" spans="1:7">
      <c r="A37" s="4404"/>
      <c r="B37" s="3747" t="s">
        <v>3701</v>
      </c>
      <c r="C37" s="3743" t="s">
        <v>3362</v>
      </c>
      <c r="D37" s="3743">
        <v>10</v>
      </c>
      <c r="E37" s="3743">
        <v>6.73</v>
      </c>
      <c r="F37" s="3746"/>
      <c r="G37" s="3744"/>
    </row>
    <row r="38" spans="1:7">
      <c r="A38" s="4404"/>
      <c r="B38" s="3747" t="s">
        <v>3702</v>
      </c>
      <c r="C38" s="3743" t="s">
        <v>3362</v>
      </c>
      <c r="D38" s="3743">
        <v>10</v>
      </c>
      <c r="E38" s="3743">
        <v>1.56</v>
      </c>
      <c r="F38" s="3746">
        <f t="shared" ref="F38:F45" si="2">295*E38*D38/10</f>
        <v>460.2</v>
      </c>
      <c r="G38" s="3744"/>
    </row>
    <row r="39" spans="1:7">
      <c r="A39" s="4404"/>
      <c r="B39" s="3747" t="s">
        <v>3703</v>
      </c>
      <c r="C39" s="3743" t="s">
        <v>3362</v>
      </c>
      <c r="D39" s="3743">
        <v>10</v>
      </c>
      <c r="E39" s="3743">
        <v>1.23</v>
      </c>
      <c r="F39" s="3746">
        <f t="shared" si="2"/>
        <v>362.85</v>
      </c>
      <c r="G39" s="3748"/>
    </row>
    <row r="40" spans="1:7">
      <c r="A40" s="4404"/>
      <c r="B40" s="3747" t="s">
        <v>3704</v>
      </c>
      <c r="C40" s="3743" t="s">
        <v>3362</v>
      </c>
      <c r="D40" s="3743">
        <v>10</v>
      </c>
      <c r="E40" s="3743">
        <v>1.94</v>
      </c>
      <c r="F40" s="3746">
        <f t="shared" si="2"/>
        <v>572.29999999999995</v>
      </c>
      <c r="G40" s="3744"/>
    </row>
    <row r="41" spans="1:7">
      <c r="A41" s="4404"/>
      <c r="B41" s="3747" t="s">
        <v>3705</v>
      </c>
      <c r="C41" s="3743" t="s">
        <v>3362</v>
      </c>
      <c r="D41" s="3743">
        <v>10</v>
      </c>
      <c r="E41" s="3743">
        <v>1.3</v>
      </c>
      <c r="F41" s="3746">
        <f t="shared" si="2"/>
        <v>383.5</v>
      </c>
      <c r="G41" s="3744"/>
    </row>
    <row r="42" spans="1:7">
      <c r="A42" s="4404"/>
      <c r="B42" s="3747" t="s">
        <v>3706</v>
      </c>
      <c r="C42" s="3743" t="s">
        <v>3362</v>
      </c>
      <c r="D42" s="3743">
        <v>10</v>
      </c>
      <c r="E42" s="3743">
        <v>2.69</v>
      </c>
      <c r="F42" s="3746">
        <f t="shared" si="2"/>
        <v>793.55</v>
      </c>
      <c r="G42" s="3744"/>
    </row>
    <row r="43" spans="1:7">
      <c r="A43" s="4404"/>
      <c r="B43" s="3747" t="s">
        <v>3707</v>
      </c>
      <c r="C43" s="3743" t="s">
        <v>3362</v>
      </c>
      <c r="D43" s="3743">
        <v>10</v>
      </c>
      <c r="E43" s="3743">
        <v>2.65</v>
      </c>
      <c r="F43" s="3746">
        <f t="shared" si="2"/>
        <v>781.75</v>
      </c>
      <c r="G43" s="3744"/>
    </row>
    <row r="44" spans="1:7">
      <c r="A44" s="4404"/>
      <c r="B44" s="3747" t="s">
        <v>3708</v>
      </c>
      <c r="C44" s="3743" t="s">
        <v>3362</v>
      </c>
      <c r="D44" s="3743">
        <v>10</v>
      </c>
      <c r="E44" s="3743">
        <v>1.39</v>
      </c>
      <c r="F44" s="3746">
        <f t="shared" si="2"/>
        <v>410.05</v>
      </c>
      <c r="G44" s="3744"/>
    </row>
    <row r="45" spans="1:7">
      <c r="A45" s="4404"/>
      <c r="B45" s="3747" t="s">
        <v>3709</v>
      </c>
      <c r="C45" s="3743" t="s">
        <v>3362</v>
      </c>
      <c r="D45" s="3743">
        <v>10</v>
      </c>
      <c r="E45" s="3743">
        <v>0.38</v>
      </c>
      <c r="F45" s="3746">
        <f t="shared" si="2"/>
        <v>112.1</v>
      </c>
      <c r="G45" s="3744"/>
    </row>
    <row r="46" spans="1:7">
      <c r="A46" s="4404"/>
      <c r="B46" s="3747" t="s">
        <v>3710</v>
      </c>
      <c r="C46" s="3743" t="s">
        <v>3369</v>
      </c>
      <c r="D46" s="3743">
        <v>10</v>
      </c>
      <c r="E46" s="3743">
        <v>0.3</v>
      </c>
      <c r="F46" s="3746"/>
      <c r="G46" s="3744"/>
    </row>
    <row r="47" spans="1:7">
      <c r="A47" s="4404"/>
      <c r="B47" s="3747" t="s">
        <v>3711</v>
      </c>
      <c r="C47" s="3743" t="s">
        <v>3369</v>
      </c>
      <c r="D47" s="3743">
        <v>10</v>
      </c>
      <c r="E47" s="3743">
        <v>0.26</v>
      </c>
      <c r="F47" s="3746"/>
      <c r="G47" s="3744"/>
    </row>
    <row r="48" spans="1:7">
      <c r="A48" s="4404"/>
      <c r="B48" s="3747" t="s">
        <v>3712</v>
      </c>
      <c r="C48" s="3743" t="s">
        <v>3666</v>
      </c>
      <c r="D48" s="3743">
        <v>10</v>
      </c>
      <c r="E48" s="3743">
        <v>7.0000000000000007E-2</v>
      </c>
      <c r="F48" s="3746"/>
      <c r="G48" s="3744"/>
    </row>
    <row r="49" spans="1:7">
      <c r="A49" s="4404"/>
      <c r="B49" s="3747" t="s">
        <v>3713</v>
      </c>
      <c r="C49" s="3743" t="s">
        <v>3666</v>
      </c>
      <c r="D49" s="3743">
        <v>10</v>
      </c>
      <c r="E49" s="3743">
        <v>0.21</v>
      </c>
      <c r="F49" s="3746"/>
      <c r="G49" s="3744"/>
    </row>
    <row r="50" spans="1:7">
      <c r="A50" s="4404"/>
      <c r="B50" s="3747" t="s">
        <v>3714</v>
      </c>
      <c r="C50" s="3743" t="s">
        <v>3715</v>
      </c>
      <c r="D50" s="3743">
        <v>10</v>
      </c>
      <c r="E50" s="3743">
        <v>5.39</v>
      </c>
      <c r="F50" s="3746">
        <f>295*E50*D50/10</f>
        <v>1590.05</v>
      </c>
      <c r="G50" s="3744"/>
    </row>
    <row r="51" spans="1:7">
      <c r="A51" s="4404"/>
      <c r="B51" s="3747" t="s">
        <v>3716</v>
      </c>
      <c r="C51" s="3743" t="s">
        <v>3664</v>
      </c>
      <c r="D51" s="3743">
        <v>10</v>
      </c>
      <c r="E51" s="3743">
        <v>8.81</v>
      </c>
      <c r="F51" s="3746">
        <f>295*E51*D51/10</f>
        <v>2598.9500000000003</v>
      </c>
      <c r="G51" s="3744"/>
    </row>
    <row r="52" spans="1:7">
      <c r="A52" s="4404"/>
      <c r="B52" s="3747" t="s">
        <v>3717</v>
      </c>
      <c r="C52" s="3743" t="s">
        <v>3664</v>
      </c>
      <c r="D52" s="3743">
        <v>10</v>
      </c>
      <c r="E52" s="3743">
        <v>2.7</v>
      </c>
      <c r="F52" s="3746">
        <f>295*E52*D52/10</f>
        <v>796.5</v>
      </c>
      <c r="G52" s="3744"/>
    </row>
    <row r="53" spans="1:7">
      <c r="A53" s="4404"/>
      <c r="B53" s="3747" t="s">
        <v>3718</v>
      </c>
      <c r="C53" s="3743" t="s">
        <v>3362</v>
      </c>
      <c r="D53" s="3743">
        <v>10</v>
      </c>
      <c r="E53" s="3743">
        <v>1.1599999999999999</v>
      </c>
      <c r="F53" s="3746"/>
      <c r="G53" s="3744"/>
    </row>
    <row r="54" spans="1:7">
      <c r="A54" s="4404"/>
      <c r="B54" s="3747" t="s">
        <v>3719</v>
      </c>
      <c r="C54" s="3743" t="s">
        <v>3720</v>
      </c>
      <c r="D54" s="3743">
        <v>10</v>
      </c>
      <c r="E54" s="3743">
        <v>0.16</v>
      </c>
      <c r="F54" s="3746">
        <f>295*E54*D54/10</f>
        <v>47.2</v>
      </c>
      <c r="G54" s="3744"/>
    </row>
    <row r="55" spans="1:7">
      <c r="A55" s="4404"/>
      <c r="B55" s="3747" t="s">
        <v>3721</v>
      </c>
      <c r="C55" s="3743" t="s">
        <v>3362</v>
      </c>
      <c r="D55" s="3743">
        <v>10</v>
      </c>
      <c r="E55" s="3743">
        <v>0.28000000000000003</v>
      </c>
      <c r="F55" s="3746">
        <f>295*E55*D55/10</f>
        <v>82.600000000000009</v>
      </c>
      <c r="G55" s="3744"/>
    </row>
    <row r="56" spans="1:7">
      <c r="A56" s="4404"/>
      <c r="B56" s="3747" t="s">
        <v>3722</v>
      </c>
      <c r="C56" s="3743" t="s">
        <v>3666</v>
      </c>
      <c r="D56" s="3743">
        <v>10</v>
      </c>
      <c r="E56" s="3743">
        <v>0.13</v>
      </c>
      <c r="F56" s="3746">
        <f>295*E56*D56/10</f>
        <v>38.35</v>
      </c>
      <c r="G56" s="3744"/>
    </row>
    <row r="57" spans="1:7">
      <c r="A57" s="4404"/>
      <c r="B57" s="3747" t="s">
        <v>3723</v>
      </c>
      <c r="C57" s="3743" t="s">
        <v>3715</v>
      </c>
      <c r="D57" s="3743">
        <v>10</v>
      </c>
      <c r="E57" s="3743">
        <v>0.5</v>
      </c>
      <c r="F57" s="3746">
        <f>295*E57*D57/10</f>
        <v>147.5</v>
      </c>
      <c r="G57" s="3744"/>
    </row>
    <row r="58" spans="1:7">
      <c r="A58" s="4404"/>
      <c r="B58" s="3749"/>
      <c r="C58" s="3743"/>
      <c r="D58" s="3743"/>
      <c r="E58" s="3743"/>
      <c r="F58" s="3746"/>
      <c r="G58" s="3744"/>
    </row>
    <row r="59" spans="1:7">
      <c r="A59" s="4404"/>
      <c r="B59" s="3749"/>
      <c r="C59" s="3743"/>
      <c r="D59" s="3743"/>
      <c r="E59" s="3743"/>
      <c r="F59" s="3746"/>
      <c r="G59" s="3744"/>
    </row>
    <row r="60" spans="1:7">
      <c r="A60" s="4404"/>
      <c r="B60" s="3749"/>
      <c r="C60" s="3743"/>
      <c r="D60" s="3743"/>
      <c r="E60" s="3743"/>
      <c r="F60" s="3746"/>
      <c r="G60" s="3744"/>
    </row>
    <row r="61" spans="1:7">
      <c r="A61" s="4404"/>
      <c r="B61" s="3750" t="s">
        <v>3724</v>
      </c>
      <c r="C61" s="3743" t="s">
        <v>3369</v>
      </c>
      <c r="D61" s="3743">
        <v>10</v>
      </c>
      <c r="E61" s="3743">
        <v>0.83</v>
      </c>
      <c r="F61" s="3746">
        <f t="shared" ref="F61:F79" si="3">295*E61*D61/10</f>
        <v>244.85</v>
      </c>
      <c r="G61" s="3744"/>
    </row>
    <row r="62" spans="1:7">
      <c r="A62" s="4404"/>
      <c r="B62" s="3750" t="s">
        <v>3725</v>
      </c>
      <c r="C62" s="3743" t="s">
        <v>3369</v>
      </c>
      <c r="D62" s="3743">
        <v>10</v>
      </c>
      <c r="E62" s="3743">
        <v>0.5</v>
      </c>
      <c r="F62" s="3746">
        <f t="shared" si="3"/>
        <v>147.5</v>
      </c>
      <c r="G62" s="3744"/>
    </row>
    <row r="63" spans="1:7">
      <c r="A63" s="4404"/>
      <c r="B63" s="3750" t="s">
        <v>3726</v>
      </c>
      <c r="C63" s="3743" t="s">
        <v>3369</v>
      </c>
      <c r="D63" s="3743">
        <v>10</v>
      </c>
      <c r="E63" s="3743">
        <v>0.56000000000000005</v>
      </c>
      <c r="F63" s="3746">
        <f t="shared" si="3"/>
        <v>165.20000000000002</v>
      </c>
      <c r="G63" s="3744"/>
    </row>
    <row r="64" spans="1:7">
      <c r="A64" s="4404"/>
      <c r="B64" s="3750" t="s">
        <v>3727</v>
      </c>
      <c r="C64" s="3743" t="s">
        <v>3369</v>
      </c>
      <c r="D64" s="3743">
        <v>10</v>
      </c>
      <c r="E64" s="3743">
        <v>0.56999999999999995</v>
      </c>
      <c r="F64" s="3746">
        <f t="shared" si="3"/>
        <v>168.14999999999998</v>
      </c>
      <c r="G64" s="3744"/>
    </row>
    <row r="65" spans="1:7">
      <c r="A65" s="4404"/>
      <c r="B65" s="3750" t="s">
        <v>3728</v>
      </c>
      <c r="C65" s="3743" t="s">
        <v>3369</v>
      </c>
      <c r="D65" s="3743">
        <v>10</v>
      </c>
      <c r="E65" s="3743">
        <v>0.39</v>
      </c>
      <c r="F65" s="3746">
        <f t="shared" si="3"/>
        <v>115.05</v>
      </c>
      <c r="G65" s="3744"/>
    </row>
    <row r="66" spans="1:7">
      <c r="A66" s="4404"/>
      <c r="B66" s="3750" t="s">
        <v>3729</v>
      </c>
      <c r="C66" s="3743" t="s">
        <v>3369</v>
      </c>
      <c r="D66" s="3743">
        <v>10</v>
      </c>
      <c r="E66" s="3743">
        <v>1.2</v>
      </c>
      <c r="F66" s="3746">
        <f t="shared" si="3"/>
        <v>354</v>
      </c>
      <c r="G66" s="3744"/>
    </row>
    <row r="67" spans="1:7">
      <c r="A67" s="4404"/>
      <c r="B67" s="3750" t="s">
        <v>3730</v>
      </c>
      <c r="C67" s="3743" t="s">
        <v>3369</v>
      </c>
      <c r="D67" s="3743">
        <v>10</v>
      </c>
      <c r="E67" s="3743">
        <v>0.53</v>
      </c>
      <c r="F67" s="3746">
        <f t="shared" si="3"/>
        <v>156.35</v>
      </c>
      <c r="G67" s="3744"/>
    </row>
    <row r="68" spans="1:7">
      <c r="A68" s="4404"/>
      <c r="B68" s="3749" t="s">
        <v>3731</v>
      </c>
      <c r="C68" s="3751" t="s">
        <v>3369</v>
      </c>
      <c r="D68" s="3751">
        <v>10</v>
      </c>
      <c r="E68" s="3751">
        <v>0.5</v>
      </c>
      <c r="F68" s="3752">
        <f t="shared" si="3"/>
        <v>147.5</v>
      </c>
      <c r="G68" s="3744"/>
    </row>
    <row r="69" spans="1:7">
      <c r="A69" s="4404"/>
      <c r="B69" s="3750" t="s">
        <v>3732</v>
      </c>
      <c r="C69" s="3743" t="s">
        <v>3369</v>
      </c>
      <c r="D69" s="3743">
        <v>10</v>
      </c>
      <c r="E69" s="3743">
        <v>0.06</v>
      </c>
      <c r="F69" s="3746">
        <f t="shared" si="3"/>
        <v>17.7</v>
      </c>
      <c r="G69" s="3744"/>
    </row>
    <row r="70" spans="1:7">
      <c r="A70" s="4404"/>
      <c r="B70" s="3750" t="s">
        <v>3733</v>
      </c>
      <c r="C70" s="3743" t="s">
        <v>3369</v>
      </c>
      <c r="D70" s="3743">
        <v>10</v>
      </c>
      <c r="E70" s="3743">
        <v>0.36</v>
      </c>
      <c r="F70" s="3746">
        <f t="shared" si="3"/>
        <v>106.2</v>
      </c>
      <c r="G70" s="3744"/>
    </row>
    <row r="71" spans="1:7">
      <c r="A71" s="4404"/>
      <c r="B71" s="3750" t="s">
        <v>3734</v>
      </c>
      <c r="C71" s="3743" t="s">
        <v>3369</v>
      </c>
      <c r="D71" s="3743">
        <v>10</v>
      </c>
      <c r="E71" s="3743">
        <v>0.19</v>
      </c>
      <c r="F71" s="3746">
        <f t="shared" si="3"/>
        <v>56.05</v>
      </c>
      <c r="G71" s="3744"/>
    </row>
    <row r="72" spans="1:7">
      <c r="A72" s="4404"/>
      <c r="B72" s="3749" t="s">
        <v>3645</v>
      </c>
      <c r="C72" s="3751" t="s">
        <v>3369</v>
      </c>
      <c r="D72" s="3743">
        <v>10</v>
      </c>
      <c r="E72" s="3751">
        <v>0.43</v>
      </c>
      <c r="F72" s="3752">
        <f t="shared" si="3"/>
        <v>126.85</v>
      </c>
      <c r="G72" s="3744"/>
    </row>
    <row r="73" spans="1:7">
      <c r="A73" s="4404"/>
      <c r="B73" s="3750" t="s">
        <v>3735</v>
      </c>
      <c r="C73" s="3743" t="s">
        <v>3369</v>
      </c>
      <c r="D73" s="3743">
        <v>10</v>
      </c>
      <c r="E73" s="3743">
        <v>0.89</v>
      </c>
      <c r="F73" s="3746">
        <f t="shared" si="3"/>
        <v>262.55</v>
      </c>
      <c r="G73" s="3744"/>
    </row>
    <row r="74" spans="1:7">
      <c r="A74" s="4404"/>
      <c r="B74" s="3750" t="s">
        <v>3736</v>
      </c>
      <c r="C74" s="3743" t="s">
        <v>3737</v>
      </c>
      <c r="D74" s="3743">
        <v>10</v>
      </c>
      <c r="E74" s="3743">
        <v>1.21</v>
      </c>
      <c r="F74" s="3746">
        <f t="shared" si="3"/>
        <v>356.95</v>
      </c>
      <c r="G74" s="3744"/>
    </row>
    <row r="75" spans="1:7">
      <c r="A75" s="4404"/>
      <c r="B75" s="3750" t="s">
        <v>3738</v>
      </c>
      <c r="C75" s="3743" t="s">
        <v>3369</v>
      </c>
      <c r="D75" s="3743">
        <v>10</v>
      </c>
      <c r="E75" s="3743">
        <v>1.08</v>
      </c>
      <c r="F75" s="3746">
        <f t="shared" si="3"/>
        <v>318.60000000000002</v>
      </c>
      <c r="G75" s="3744"/>
    </row>
    <row r="76" spans="1:7">
      <c r="A76" s="4404"/>
      <c r="B76" s="3750" t="s">
        <v>3739</v>
      </c>
      <c r="C76" s="3743" t="s">
        <v>3369</v>
      </c>
      <c r="D76" s="3743">
        <v>10</v>
      </c>
      <c r="E76" s="3743">
        <v>0.63</v>
      </c>
      <c r="F76" s="3746">
        <f t="shared" si="3"/>
        <v>185.85</v>
      </c>
      <c r="G76" s="3744"/>
    </row>
    <row r="77" spans="1:7">
      <c r="A77" s="4404"/>
      <c r="B77" s="3750" t="s">
        <v>3740</v>
      </c>
      <c r="C77" s="3743" t="s">
        <v>3369</v>
      </c>
      <c r="D77" s="3743">
        <v>10</v>
      </c>
      <c r="E77" s="3743">
        <v>0.46</v>
      </c>
      <c r="F77" s="3746">
        <f t="shared" si="3"/>
        <v>135.70000000000002</v>
      </c>
      <c r="G77" s="3744"/>
    </row>
    <row r="78" spans="1:7">
      <c r="A78" s="4404"/>
      <c r="B78" s="3750" t="s">
        <v>3741</v>
      </c>
      <c r="C78" s="3743" t="s">
        <v>3369</v>
      </c>
      <c r="D78" s="3743">
        <v>10</v>
      </c>
      <c r="E78" s="3743">
        <v>0.49</v>
      </c>
      <c r="F78" s="3746">
        <f t="shared" si="3"/>
        <v>144.55000000000001</v>
      </c>
      <c r="G78" s="3744"/>
    </row>
    <row r="79" spans="1:7">
      <c r="A79" s="4404"/>
      <c r="B79" s="3750" t="s">
        <v>3742</v>
      </c>
      <c r="C79" s="3743" t="s">
        <v>3369</v>
      </c>
      <c r="D79" s="3743">
        <v>10</v>
      </c>
      <c r="E79" s="3743">
        <v>0.24</v>
      </c>
      <c r="F79" s="3746">
        <f t="shared" si="3"/>
        <v>70.8</v>
      </c>
      <c r="G79" s="3744"/>
    </row>
    <row r="80" spans="1:7">
      <c r="A80" s="4404"/>
      <c r="B80" s="3750" t="s">
        <v>3743</v>
      </c>
      <c r="C80" s="3743" t="s">
        <v>3362</v>
      </c>
      <c r="D80" s="3743">
        <v>10</v>
      </c>
      <c r="E80" s="3743">
        <v>0.04</v>
      </c>
      <c r="F80" s="3746"/>
      <c r="G80" s="3744"/>
    </row>
    <row r="81" spans="1:7">
      <c r="A81" s="4404"/>
      <c r="B81" s="3750" t="s">
        <v>3744</v>
      </c>
      <c r="C81" s="3743" t="s">
        <v>3362</v>
      </c>
      <c r="D81" s="3743">
        <v>10</v>
      </c>
      <c r="E81" s="3743">
        <v>0.1</v>
      </c>
      <c r="F81" s="3746"/>
      <c r="G81" s="3744"/>
    </row>
    <row r="82" spans="1:7">
      <c r="A82" s="4404"/>
      <c r="B82" s="3750" t="s">
        <v>3745</v>
      </c>
      <c r="C82" s="3743" t="s">
        <v>3362</v>
      </c>
      <c r="D82" s="3743">
        <v>10</v>
      </c>
      <c r="E82" s="3743">
        <v>0.26</v>
      </c>
      <c r="F82" s="3746"/>
      <c r="G82" s="3744"/>
    </row>
    <row r="83" spans="1:7">
      <c r="A83" s="4404"/>
      <c r="B83" s="3750" t="s">
        <v>3746</v>
      </c>
      <c r="C83" s="3743" t="s">
        <v>3737</v>
      </c>
      <c r="D83" s="3743">
        <v>10</v>
      </c>
      <c r="E83" s="3743">
        <v>0.41</v>
      </c>
      <c r="F83" s="3746">
        <f>295*E83*D83/10</f>
        <v>120.95</v>
      </c>
      <c r="G83" s="3744"/>
    </row>
    <row r="84" spans="1:7">
      <c r="A84" s="4404"/>
      <c r="B84" s="3750" t="s">
        <v>3747</v>
      </c>
      <c r="C84" s="3743" t="s">
        <v>3666</v>
      </c>
      <c r="D84" s="3743">
        <v>10</v>
      </c>
      <c r="E84" s="3743">
        <v>0.1</v>
      </c>
      <c r="F84" s="3746">
        <f>295*E84*D84/10</f>
        <v>29.5</v>
      </c>
      <c r="G84" s="3744"/>
    </row>
    <row r="85" spans="1:7">
      <c r="A85" s="4404"/>
      <c r="B85" s="3750" t="s">
        <v>3748</v>
      </c>
      <c r="C85" s="3743" t="s">
        <v>3666</v>
      </c>
      <c r="D85" s="3743">
        <v>10</v>
      </c>
      <c r="E85" s="3743">
        <v>0.31</v>
      </c>
      <c r="F85" s="3746">
        <f>295*E85*D85/10</f>
        <v>91.45</v>
      </c>
      <c r="G85" s="3744"/>
    </row>
    <row r="86" spans="1:7">
      <c r="A86" s="4404"/>
      <c r="B86" s="3750" t="s">
        <v>3749</v>
      </c>
      <c r="C86" s="3743" t="s">
        <v>3666</v>
      </c>
      <c r="D86" s="3743">
        <v>10</v>
      </c>
      <c r="E86" s="3743">
        <v>0.06</v>
      </c>
      <c r="F86" s="3746">
        <f>295*E86*D86/10</f>
        <v>17.7</v>
      </c>
      <c r="G86" s="3744"/>
    </row>
    <row r="87" spans="1:7">
      <c r="A87" s="4404"/>
      <c r="B87" s="3750" t="s">
        <v>3750</v>
      </c>
      <c r="C87" s="3743" t="s">
        <v>3666</v>
      </c>
      <c r="D87" s="3743">
        <v>10</v>
      </c>
      <c r="E87" s="3743">
        <v>7.0000000000000007E-2</v>
      </c>
      <c r="F87" s="3746"/>
      <c r="G87" s="3744"/>
    </row>
    <row r="88" spans="1:7">
      <c r="A88" s="4404"/>
      <c r="B88" s="3750" t="s">
        <v>3751</v>
      </c>
      <c r="C88" s="3743" t="s">
        <v>3666</v>
      </c>
      <c r="D88" s="3743">
        <v>10</v>
      </c>
      <c r="E88" s="3743">
        <v>0.03</v>
      </c>
      <c r="F88" s="3746">
        <f>295*E88*D88/10</f>
        <v>8.85</v>
      </c>
      <c r="G88" s="3744"/>
    </row>
    <row r="89" spans="1:7">
      <c r="A89" s="4404"/>
      <c r="B89" s="3750" t="s">
        <v>3752</v>
      </c>
      <c r="C89" s="3743" t="s">
        <v>3737</v>
      </c>
      <c r="D89" s="3743">
        <v>10</v>
      </c>
      <c r="E89" s="3743">
        <v>0.5</v>
      </c>
      <c r="F89" s="3746"/>
      <c r="G89" s="3744"/>
    </row>
    <row r="90" spans="1:7">
      <c r="A90" s="4404"/>
      <c r="B90" s="3750" t="s">
        <v>3753</v>
      </c>
      <c r="C90" s="3743" t="s">
        <v>3737</v>
      </c>
      <c r="D90" s="3743">
        <v>10</v>
      </c>
      <c r="E90" s="3743">
        <v>0.37</v>
      </c>
      <c r="F90" s="3746"/>
      <c r="G90" s="3744"/>
    </row>
    <row r="91" spans="1:7">
      <c r="B91" s="3743"/>
      <c r="C91" s="3743"/>
      <c r="D91" s="3743"/>
      <c r="E91" s="3743"/>
      <c r="F91" s="3746"/>
      <c r="G91" s="3744"/>
    </row>
    <row r="92" spans="1:7">
      <c r="A92" s="4405" t="s">
        <v>3754</v>
      </c>
      <c r="B92" s="3753" t="s">
        <v>3755</v>
      </c>
      <c r="C92" s="3754" t="s">
        <v>3756</v>
      </c>
      <c r="D92" s="3755">
        <v>10</v>
      </c>
      <c r="E92" s="3756">
        <v>6.1016950000000003</v>
      </c>
      <c r="F92" s="3754">
        <v>1800</v>
      </c>
      <c r="G92" s="3753"/>
    </row>
    <row r="93" spans="1:7">
      <c r="A93" s="4405"/>
      <c r="B93" s="3753" t="s">
        <v>3757</v>
      </c>
      <c r="C93" s="3754" t="s">
        <v>3756</v>
      </c>
      <c r="D93" s="3755">
        <v>10</v>
      </c>
      <c r="E93" s="3756">
        <v>4.0677969999999997</v>
      </c>
      <c r="F93" s="3754">
        <v>1200</v>
      </c>
      <c r="G93" s="3753"/>
    </row>
    <row r="94" spans="1:7">
      <c r="A94" s="4405"/>
      <c r="B94" s="3757" t="s">
        <v>3758</v>
      </c>
      <c r="C94" s="4406" t="s">
        <v>3759</v>
      </c>
      <c r="D94" s="3755">
        <v>10</v>
      </c>
      <c r="E94" s="3756">
        <v>0.169492</v>
      </c>
      <c r="F94" s="3754">
        <v>50</v>
      </c>
      <c r="G94" s="3754" t="s">
        <v>3760</v>
      </c>
    </row>
    <row r="95" spans="1:7">
      <c r="A95" s="4405"/>
      <c r="B95" s="3757" t="s">
        <v>3761</v>
      </c>
      <c r="C95" s="4406"/>
      <c r="D95" s="3755">
        <v>10</v>
      </c>
      <c r="E95" s="3756">
        <v>0.33898299999999998</v>
      </c>
      <c r="F95" s="3754">
        <v>100</v>
      </c>
      <c r="G95" s="3754" t="s">
        <v>3094</v>
      </c>
    </row>
    <row r="96" spans="1:7">
      <c r="A96" s="4405"/>
      <c r="B96" s="3757" t="s">
        <v>3762</v>
      </c>
      <c r="C96" s="4406"/>
      <c r="D96" s="3755">
        <v>10</v>
      </c>
      <c r="E96" s="3756">
        <v>0.67796599999999996</v>
      </c>
      <c r="F96" s="3754">
        <v>200</v>
      </c>
      <c r="G96" s="3754" t="s">
        <v>3763</v>
      </c>
    </row>
    <row r="97" spans="1:7">
      <c r="A97" s="4405"/>
      <c r="B97" s="3758" t="s">
        <v>3764</v>
      </c>
      <c r="C97" s="4406" t="s">
        <v>3362</v>
      </c>
      <c r="D97" s="3755">
        <v>10</v>
      </c>
      <c r="E97" s="3756">
        <v>0.33898299999999998</v>
      </c>
      <c r="F97" s="3754">
        <v>100</v>
      </c>
      <c r="G97" s="3754" t="s">
        <v>3765</v>
      </c>
    </row>
    <row r="98" spans="1:7">
      <c r="A98" s="4405"/>
      <c r="B98" s="3758" t="s">
        <v>3766</v>
      </c>
      <c r="C98" s="4406"/>
      <c r="D98" s="3755">
        <v>10</v>
      </c>
      <c r="E98" s="3756">
        <v>0.67796599999999996</v>
      </c>
      <c r="F98" s="3754">
        <v>200</v>
      </c>
      <c r="G98" s="3754" t="s">
        <v>3483</v>
      </c>
    </row>
    <row r="99" spans="1:7">
      <c r="A99" s="4405"/>
      <c r="B99" s="3758" t="s">
        <v>3767</v>
      </c>
      <c r="C99" s="4406"/>
      <c r="D99" s="3755">
        <v>10</v>
      </c>
      <c r="E99" s="3756">
        <v>1.0169490000000001</v>
      </c>
      <c r="F99" s="3754">
        <v>300</v>
      </c>
      <c r="G99" s="3754" t="s">
        <v>3763</v>
      </c>
    </row>
    <row r="100" spans="1:7">
      <c r="A100" s="4405"/>
      <c r="B100" s="3757" t="s">
        <v>3768</v>
      </c>
      <c r="C100" s="4406" t="s">
        <v>3362</v>
      </c>
      <c r="D100" s="3755">
        <v>10</v>
      </c>
      <c r="E100" s="3756">
        <v>1.0169490000000001</v>
      </c>
      <c r="F100" s="3754">
        <v>300</v>
      </c>
      <c r="G100" s="3754" t="s">
        <v>3769</v>
      </c>
    </row>
    <row r="101" spans="1:7">
      <c r="A101" s="4405"/>
      <c r="B101" s="3757" t="s">
        <v>3770</v>
      </c>
      <c r="C101" s="4406"/>
      <c r="D101" s="3755">
        <v>10</v>
      </c>
      <c r="E101" s="3756">
        <v>1.3559319999999999</v>
      </c>
      <c r="F101" s="3754">
        <v>400</v>
      </c>
      <c r="G101" s="3754" t="s">
        <v>3771</v>
      </c>
    </row>
    <row r="102" spans="1:7">
      <c r="A102" s="4405"/>
      <c r="B102" s="3758" t="s">
        <v>3772</v>
      </c>
      <c r="C102" s="4407" t="s">
        <v>3362</v>
      </c>
      <c r="D102" s="3755">
        <v>10</v>
      </c>
      <c r="E102" s="3756">
        <v>5.084746</v>
      </c>
      <c r="F102" s="3753">
        <v>1500</v>
      </c>
      <c r="G102" s="3753" t="s">
        <v>3773</v>
      </c>
    </row>
    <row r="103" spans="1:7">
      <c r="A103" s="4405"/>
      <c r="B103" s="3758" t="s">
        <v>3774</v>
      </c>
      <c r="C103" s="4407"/>
      <c r="D103" s="3755">
        <v>10</v>
      </c>
      <c r="E103" s="3756">
        <v>6.7796609999999999</v>
      </c>
      <c r="F103" s="3753">
        <v>2000</v>
      </c>
      <c r="G103" s="3753" t="s">
        <v>3775</v>
      </c>
    </row>
    <row r="104" spans="1:7">
      <c r="A104" s="4405"/>
      <c r="B104" s="3758" t="s">
        <v>3776</v>
      </c>
      <c r="C104" s="4407"/>
      <c r="D104" s="3755">
        <v>10</v>
      </c>
      <c r="E104" s="3756">
        <v>8.4745760000000008</v>
      </c>
      <c r="F104" s="3753">
        <v>2500</v>
      </c>
      <c r="G104" s="3753" t="s">
        <v>3777</v>
      </c>
    </row>
    <row r="105" spans="1:7">
      <c r="A105" s="4405"/>
      <c r="B105" s="3757" t="s">
        <v>3778</v>
      </c>
      <c r="C105" s="4407" t="s">
        <v>3362</v>
      </c>
      <c r="D105" s="3755">
        <v>10</v>
      </c>
      <c r="E105" s="3756">
        <v>2.7118639999999998</v>
      </c>
      <c r="F105" s="3753">
        <v>800</v>
      </c>
      <c r="G105" s="3753" t="s">
        <v>3779</v>
      </c>
    </row>
    <row r="106" spans="1:7">
      <c r="A106" s="4405"/>
      <c r="B106" s="3757" t="s">
        <v>3780</v>
      </c>
      <c r="C106" s="4407"/>
      <c r="D106" s="3755">
        <v>10</v>
      </c>
      <c r="E106" s="3756">
        <v>6.7796609999999999</v>
      </c>
      <c r="F106" s="3753">
        <v>2000</v>
      </c>
      <c r="G106" s="3753" t="s">
        <v>3781</v>
      </c>
    </row>
    <row r="107" spans="1:7">
      <c r="A107" s="4405"/>
      <c r="B107" s="3757" t="s">
        <v>3782</v>
      </c>
      <c r="C107" s="4407"/>
      <c r="D107" s="3755">
        <v>10</v>
      </c>
      <c r="E107" s="3756">
        <v>8.4745760000000008</v>
      </c>
      <c r="F107" s="3753">
        <v>2500</v>
      </c>
      <c r="G107" s="3753" t="s">
        <v>3783</v>
      </c>
    </row>
    <row r="108" spans="1:7">
      <c r="A108" s="4405"/>
      <c r="B108" s="3757" t="s">
        <v>3784</v>
      </c>
      <c r="C108" s="4407"/>
      <c r="D108" s="3755">
        <v>10</v>
      </c>
      <c r="E108" s="3756">
        <v>10.169492</v>
      </c>
      <c r="F108" s="3753">
        <v>3000</v>
      </c>
      <c r="G108" s="3753" t="s">
        <v>3785</v>
      </c>
    </row>
    <row r="109" spans="1:7">
      <c r="A109" s="4405"/>
      <c r="B109" s="3759" t="s">
        <v>3786</v>
      </c>
      <c r="C109" s="4407" t="s">
        <v>3759</v>
      </c>
      <c r="D109" s="3755">
        <v>10</v>
      </c>
      <c r="E109" s="3756">
        <v>0.20338999999999999</v>
      </c>
      <c r="F109" s="3753">
        <v>60</v>
      </c>
      <c r="G109" s="3753" t="s">
        <v>3786</v>
      </c>
    </row>
    <row r="110" spans="1:7">
      <c r="A110" s="4405"/>
      <c r="B110" s="3760" t="s">
        <v>3787</v>
      </c>
      <c r="C110" s="4407"/>
      <c r="D110" s="3755">
        <v>10</v>
      </c>
      <c r="E110" s="3756">
        <v>0.50847500000000001</v>
      </c>
      <c r="F110" s="3753">
        <v>150</v>
      </c>
      <c r="G110" s="3753" t="s">
        <v>3788</v>
      </c>
    </row>
    <row r="111" spans="1:7">
      <c r="A111" s="4405"/>
      <c r="B111" s="3760" t="s">
        <v>3789</v>
      </c>
      <c r="C111" s="4407"/>
      <c r="D111" s="3755">
        <v>10</v>
      </c>
      <c r="E111" s="3756">
        <v>0.67796599999999996</v>
      </c>
      <c r="F111" s="3753">
        <v>200</v>
      </c>
      <c r="G111" s="3753" t="s">
        <v>3790</v>
      </c>
    </row>
    <row r="112" spans="1:7">
      <c r="A112" s="4405"/>
      <c r="B112" s="3757" t="s">
        <v>3791</v>
      </c>
      <c r="C112" s="4407" t="s">
        <v>3759</v>
      </c>
      <c r="D112" s="3755">
        <v>10</v>
      </c>
      <c r="E112" s="3756">
        <v>0.84745800000000004</v>
      </c>
      <c r="F112" s="3753">
        <v>250</v>
      </c>
      <c r="G112" s="3754" t="s">
        <v>3792</v>
      </c>
    </row>
    <row r="113" spans="1:7">
      <c r="A113" s="4405"/>
      <c r="B113" s="3757" t="s">
        <v>3793</v>
      </c>
      <c r="C113" s="4407"/>
      <c r="D113" s="3755">
        <v>10</v>
      </c>
      <c r="E113" s="3756">
        <v>1.1864410000000001</v>
      </c>
      <c r="F113" s="3753">
        <v>350</v>
      </c>
      <c r="G113" s="3754" t="s">
        <v>3794</v>
      </c>
    </row>
    <row r="114" spans="1:7">
      <c r="A114" s="4405"/>
      <c r="B114" s="3758" t="s">
        <v>3795</v>
      </c>
      <c r="C114" s="4407" t="s">
        <v>3796</v>
      </c>
      <c r="D114" s="3755">
        <v>10</v>
      </c>
      <c r="E114" s="3756">
        <v>1.6949149999999999</v>
      </c>
      <c r="F114" s="3753">
        <v>500</v>
      </c>
      <c r="G114" s="3761" t="s">
        <v>3797</v>
      </c>
    </row>
    <row r="115" spans="1:7">
      <c r="A115" s="4405"/>
      <c r="B115" s="3758" t="s">
        <v>3798</v>
      </c>
      <c r="C115" s="4407"/>
      <c r="D115" s="3755">
        <v>10</v>
      </c>
      <c r="E115" s="3756">
        <v>3.389831</v>
      </c>
      <c r="F115" s="3753">
        <v>1000</v>
      </c>
      <c r="G115" s="3761" t="s">
        <v>3799</v>
      </c>
    </row>
    <row r="116" spans="1:7">
      <c r="A116" s="4405"/>
      <c r="B116" s="3757" t="s">
        <v>3800</v>
      </c>
      <c r="C116" s="4406" t="s">
        <v>3737</v>
      </c>
      <c r="D116" s="3755">
        <v>10</v>
      </c>
      <c r="E116" s="3756">
        <v>1.3559319999999999</v>
      </c>
      <c r="F116" s="3754">
        <v>400</v>
      </c>
      <c r="G116" s="3754" t="s">
        <v>3801</v>
      </c>
    </row>
    <row r="117" spans="1:7">
      <c r="A117" s="4405"/>
      <c r="B117" s="3757" t="s">
        <v>3802</v>
      </c>
      <c r="C117" s="4406"/>
      <c r="D117" s="3755">
        <v>10</v>
      </c>
      <c r="E117" s="3756">
        <v>2.0338980000000002</v>
      </c>
      <c r="F117" s="3754">
        <v>600</v>
      </c>
      <c r="G117" s="3754" t="s">
        <v>3803</v>
      </c>
    </row>
    <row r="118" spans="1:7" ht="24">
      <c r="A118" s="4405"/>
      <c r="B118" s="3757" t="s">
        <v>3804</v>
      </c>
      <c r="C118" s="4406"/>
      <c r="D118" s="3755">
        <v>10</v>
      </c>
      <c r="E118" s="3756">
        <v>2.7118639999999998</v>
      </c>
      <c r="F118" s="3754">
        <v>800</v>
      </c>
      <c r="G118" s="3754" t="s">
        <v>3805</v>
      </c>
    </row>
    <row r="119" spans="1:7">
      <c r="A119" s="4405"/>
      <c r="B119" s="3758" t="s">
        <v>3806</v>
      </c>
      <c r="C119" s="4406" t="s">
        <v>3759</v>
      </c>
      <c r="D119" s="3755">
        <v>10</v>
      </c>
      <c r="E119" s="3756">
        <v>0.33898299999999998</v>
      </c>
      <c r="F119" s="3754">
        <v>100</v>
      </c>
      <c r="G119" s="3754" t="s">
        <v>3807</v>
      </c>
    </row>
    <row r="120" spans="1:7">
      <c r="A120" s="4405"/>
      <c r="B120" s="3758" t="s">
        <v>3808</v>
      </c>
      <c r="C120" s="4406"/>
      <c r="D120" s="3755">
        <v>10</v>
      </c>
      <c r="E120" s="3756">
        <v>0.67796599999999996</v>
      </c>
      <c r="F120" s="3754">
        <v>200</v>
      </c>
      <c r="G120" s="3754" t="s">
        <v>3809</v>
      </c>
    </row>
    <row r="121" spans="1:7">
      <c r="A121" s="4405"/>
      <c r="B121" s="3757" t="s">
        <v>3810</v>
      </c>
      <c r="C121" s="4406"/>
      <c r="D121" s="3755">
        <v>10</v>
      </c>
      <c r="E121" s="3756">
        <v>0.67796599999999996</v>
      </c>
      <c r="F121" s="3754">
        <v>200</v>
      </c>
      <c r="G121" s="3754" t="s">
        <v>3797</v>
      </c>
    </row>
    <row r="122" spans="1:7">
      <c r="A122" s="4405"/>
      <c r="B122" s="3757" t="s">
        <v>3811</v>
      </c>
      <c r="C122" s="4406"/>
      <c r="D122" s="3755">
        <v>10</v>
      </c>
      <c r="E122" s="3756">
        <v>1.3559319999999999</v>
      </c>
      <c r="F122" s="3754">
        <v>400</v>
      </c>
      <c r="G122" s="3754" t="s">
        <v>3809</v>
      </c>
    </row>
    <row r="123" spans="1:7">
      <c r="A123" s="4405"/>
      <c r="B123" s="3758" t="s">
        <v>3812</v>
      </c>
      <c r="C123" s="4406" t="s">
        <v>3362</v>
      </c>
      <c r="D123" s="3755">
        <v>10</v>
      </c>
      <c r="E123" s="3756">
        <v>5.4237289999999998</v>
      </c>
      <c r="F123" s="3754">
        <v>1600</v>
      </c>
      <c r="G123" s="3754" t="s">
        <v>3813</v>
      </c>
    </row>
    <row r="124" spans="1:7">
      <c r="A124" s="4405"/>
      <c r="B124" s="3758" t="s">
        <v>3814</v>
      </c>
      <c r="C124" s="4406"/>
      <c r="D124" s="3755">
        <v>10</v>
      </c>
      <c r="E124" s="3756">
        <v>6.7796609999999999</v>
      </c>
      <c r="F124" s="3754">
        <v>2000</v>
      </c>
      <c r="G124" s="3754" t="s">
        <v>3815</v>
      </c>
    </row>
    <row r="125" spans="1:7">
      <c r="A125" s="4405"/>
      <c r="B125" s="3758" t="s">
        <v>3816</v>
      </c>
      <c r="C125" s="4406"/>
      <c r="D125" s="3755">
        <v>10</v>
      </c>
      <c r="E125" s="3756">
        <v>8.1355930000000001</v>
      </c>
      <c r="F125" s="3754">
        <v>2400</v>
      </c>
      <c r="G125" s="3754" t="s">
        <v>3817</v>
      </c>
    </row>
    <row r="126" spans="1:7">
      <c r="A126" s="4405"/>
      <c r="B126" s="3757" t="s">
        <v>3818</v>
      </c>
      <c r="C126" s="4406" t="s">
        <v>3819</v>
      </c>
      <c r="D126" s="3755">
        <v>10</v>
      </c>
      <c r="E126" s="3756">
        <v>2.7118639999999998</v>
      </c>
      <c r="F126" s="3754">
        <v>800</v>
      </c>
      <c r="G126" s="3754"/>
    </row>
    <row r="127" spans="1:7">
      <c r="A127" s="4405"/>
      <c r="B127" s="3757" t="s">
        <v>3820</v>
      </c>
      <c r="C127" s="4406"/>
      <c r="D127" s="3755">
        <v>10</v>
      </c>
      <c r="E127" s="3756">
        <v>3.389831</v>
      </c>
      <c r="F127" s="3754">
        <v>1000</v>
      </c>
      <c r="G127" s="3762" t="s">
        <v>3821</v>
      </c>
    </row>
    <row r="128" spans="1:7" ht="24">
      <c r="A128" s="4405"/>
      <c r="B128" s="3757" t="s">
        <v>3822</v>
      </c>
      <c r="C128" s="4406"/>
      <c r="D128" s="3755">
        <v>10</v>
      </c>
      <c r="E128" s="3756">
        <v>6.1016950000000003</v>
      </c>
      <c r="F128" s="3754">
        <v>1800</v>
      </c>
      <c r="G128" s="3762" t="s">
        <v>3823</v>
      </c>
    </row>
    <row r="129" spans="1:7" ht="24">
      <c r="A129" s="4405"/>
      <c r="B129" s="3754" t="s">
        <v>3824</v>
      </c>
      <c r="C129" s="3754" t="s">
        <v>3825</v>
      </c>
      <c r="D129" s="3755">
        <v>10</v>
      </c>
      <c r="E129" s="3756">
        <v>7.4576269999999996</v>
      </c>
      <c r="F129" s="3754">
        <v>2200</v>
      </c>
      <c r="G129" s="3754" t="s">
        <v>3826</v>
      </c>
    </row>
    <row r="130" spans="1:7">
      <c r="A130" s="4405"/>
      <c r="B130" s="3754" t="s">
        <v>3827</v>
      </c>
      <c r="C130" s="3753" t="s">
        <v>3759</v>
      </c>
      <c r="D130" s="3755">
        <v>10</v>
      </c>
      <c r="E130" s="3756">
        <v>1.0169490000000001</v>
      </c>
      <c r="F130" s="3754">
        <v>300</v>
      </c>
      <c r="G130" s="3754"/>
    </row>
    <row r="131" spans="1:7">
      <c r="A131" s="4405"/>
      <c r="B131" s="3753" t="s">
        <v>3828</v>
      </c>
      <c r="C131" s="3753" t="s">
        <v>3759</v>
      </c>
      <c r="D131" s="3755">
        <v>10</v>
      </c>
      <c r="E131" s="3756">
        <v>0.50847500000000001</v>
      </c>
      <c r="F131" s="3753">
        <v>150</v>
      </c>
      <c r="G131" s="3753"/>
    </row>
    <row r="132" spans="1:7">
      <c r="A132" s="4405"/>
      <c r="B132" s="3753" t="s">
        <v>3829</v>
      </c>
      <c r="C132" s="3753" t="s">
        <v>3796</v>
      </c>
      <c r="D132" s="3755">
        <v>10</v>
      </c>
      <c r="E132" s="3756">
        <v>0.33898299999999998</v>
      </c>
      <c r="F132" s="3753">
        <v>100</v>
      </c>
      <c r="G132" s="3753"/>
    </row>
    <row r="133" spans="1:7">
      <c r="A133" s="4405"/>
      <c r="B133" s="3753" t="s">
        <v>3830</v>
      </c>
      <c r="C133" s="3753" t="s">
        <v>3796</v>
      </c>
      <c r="D133" s="3755">
        <v>10</v>
      </c>
      <c r="E133" s="3756">
        <v>0.67796599999999996</v>
      </c>
      <c r="F133" s="3753">
        <v>200</v>
      </c>
      <c r="G133" s="3753"/>
    </row>
    <row r="134" spans="1:7">
      <c r="A134" s="4405"/>
      <c r="B134" s="3753" t="s">
        <v>3831</v>
      </c>
      <c r="C134" s="3753" t="s">
        <v>3796</v>
      </c>
      <c r="D134" s="3755">
        <v>10</v>
      </c>
      <c r="E134" s="3756">
        <v>1.0169490000000001</v>
      </c>
      <c r="F134" s="3753">
        <v>300</v>
      </c>
      <c r="G134" s="3753"/>
    </row>
    <row r="135" spans="1:7">
      <c r="A135" s="4405"/>
      <c r="B135" s="3753" t="s">
        <v>3832</v>
      </c>
      <c r="C135" s="3753" t="s">
        <v>3796</v>
      </c>
      <c r="D135" s="3755">
        <v>10</v>
      </c>
      <c r="E135" s="3756">
        <v>4.0677969999999997</v>
      </c>
      <c r="F135" s="3753">
        <v>1200</v>
      </c>
      <c r="G135" s="3762"/>
    </row>
    <row r="136" spans="1:7">
      <c r="A136" s="4405"/>
      <c r="B136" s="3754" t="s">
        <v>3833</v>
      </c>
      <c r="C136" s="3754" t="s">
        <v>3796</v>
      </c>
      <c r="D136" s="3755">
        <v>10</v>
      </c>
      <c r="E136" s="3756">
        <v>2.372881</v>
      </c>
      <c r="F136" s="3754">
        <v>700</v>
      </c>
      <c r="G136" s="3754"/>
    </row>
    <row r="137" spans="1:7">
      <c r="A137" s="4405"/>
      <c r="B137" s="3754" t="s">
        <v>3834</v>
      </c>
      <c r="C137" s="3754" t="s">
        <v>3796</v>
      </c>
      <c r="D137" s="3755">
        <v>10</v>
      </c>
      <c r="E137" s="3756">
        <v>3.389831</v>
      </c>
      <c r="F137" s="3754">
        <v>1000</v>
      </c>
      <c r="G137" s="3754"/>
    </row>
    <row r="138" spans="1:7">
      <c r="A138" s="4405"/>
      <c r="B138" s="3754" t="s">
        <v>3835</v>
      </c>
      <c r="C138" s="3753" t="s">
        <v>3362</v>
      </c>
      <c r="D138" s="3755">
        <v>10</v>
      </c>
      <c r="E138" s="3756">
        <v>1.6949149999999999</v>
      </c>
      <c r="F138" s="3753">
        <v>500</v>
      </c>
      <c r="G138" s="3753" t="s">
        <v>3836</v>
      </c>
    </row>
    <row r="139" spans="1:7">
      <c r="A139" s="4405"/>
      <c r="B139" s="3754" t="s">
        <v>3837</v>
      </c>
      <c r="C139" s="4406" t="s">
        <v>3737</v>
      </c>
      <c r="D139" s="3755">
        <v>10</v>
      </c>
      <c r="E139" s="3756">
        <v>2.7118639999999998</v>
      </c>
      <c r="F139" s="3754">
        <v>800</v>
      </c>
      <c r="G139" s="3754" t="s">
        <v>3838</v>
      </c>
    </row>
    <row r="140" spans="1:7">
      <c r="A140" s="4405"/>
      <c r="B140" s="3754" t="s">
        <v>3839</v>
      </c>
      <c r="C140" s="4406"/>
      <c r="D140" s="3755">
        <v>10</v>
      </c>
      <c r="E140" s="3756">
        <v>4.7457630000000002</v>
      </c>
      <c r="F140" s="3754">
        <v>1400</v>
      </c>
      <c r="G140" s="3754" t="s">
        <v>3797</v>
      </c>
    </row>
    <row r="141" spans="1:7">
      <c r="A141" s="4405"/>
      <c r="B141" s="3754" t="s">
        <v>3840</v>
      </c>
      <c r="C141" s="4406"/>
      <c r="D141" s="3755">
        <v>10</v>
      </c>
      <c r="E141" s="3756">
        <v>7.4576269999999996</v>
      </c>
      <c r="F141" s="3754">
        <v>2200</v>
      </c>
      <c r="G141" s="3754" t="s">
        <v>3841</v>
      </c>
    </row>
    <row r="142" spans="1:7">
      <c r="A142" s="4405"/>
      <c r="B142" s="3754" t="s">
        <v>3842</v>
      </c>
      <c r="C142" s="3753" t="s">
        <v>3759</v>
      </c>
      <c r="D142" s="3755">
        <v>10</v>
      </c>
      <c r="E142" s="3756">
        <v>0.74576299999999995</v>
      </c>
      <c r="F142" s="3754">
        <v>220</v>
      </c>
      <c r="G142" s="3754"/>
    </row>
    <row r="143" spans="1:7">
      <c r="A143" s="4405"/>
      <c r="B143" s="3754" t="s">
        <v>3843</v>
      </c>
      <c r="C143" s="3753" t="s">
        <v>3759</v>
      </c>
      <c r="D143" s="3755">
        <v>10</v>
      </c>
      <c r="E143" s="3756">
        <v>1.0169490000000001</v>
      </c>
      <c r="F143" s="3754">
        <v>300</v>
      </c>
      <c r="G143" s="3754"/>
    </row>
    <row r="144" spans="1:7">
      <c r="A144" s="4405"/>
      <c r="B144" s="3754" t="s">
        <v>3844</v>
      </c>
      <c r="C144" s="3753" t="s">
        <v>3759</v>
      </c>
      <c r="D144" s="3755">
        <v>10</v>
      </c>
      <c r="E144" s="3756">
        <v>0.74576299999999995</v>
      </c>
      <c r="F144" s="3754">
        <v>220</v>
      </c>
      <c r="G144" s="3754"/>
    </row>
    <row r="145" spans="1:7">
      <c r="A145" s="4405"/>
      <c r="B145" s="3754" t="s">
        <v>3845</v>
      </c>
      <c r="C145" s="3754" t="s">
        <v>3825</v>
      </c>
      <c r="D145" s="3755">
        <v>10</v>
      </c>
      <c r="E145" s="3756">
        <v>5.084746</v>
      </c>
      <c r="F145" s="3754">
        <v>1500</v>
      </c>
      <c r="G145" s="3754" t="s">
        <v>3826</v>
      </c>
    </row>
    <row r="146" spans="1:7">
      <c r="A146" s="4405"/>
      <c r="B146" s="3754" t="s">
        <v>3846</v>
      </c>
      <c r="C146" s="3754" t="s">
        <v>3825</v>
      </c>
      <c r="D146" s="3755">
        <v>10</v>
      </c>
      <c r="E146" s="3756">
        <v>10.169492</v>
      </c>
      <c r="F146" s="3754">
        <v>3000</v>
      </c>
      <c r="G146" s="3754"/>
    </row>
    <row r="147" spans="1:7">
      <c r="A147" s="4405"/>
      <c r="B147" s="3763" t="s">
        <v>3847</v>
      </c>
      <c r="C147" s="3763" t="s">
        <v>3759</v>
      </c>
      <c r="D147" s="3755">
        <v>10</v>
      </c>
      <c r="E147" s="3764">
        <v>1.0169490000000001</v>
      </c>
      <c r="F147" s="3763">
        <v>300</v>
      </c>
      <c r="G147" s="3763"/>
    </row>
    <row r="148" spans="1:7">
      <c r="A148" s="4405"/>
      <c r="B148" s="3754" t="s">
        <v>3848</v>
      </c>
      <c r="C148" s="3753" t="s">
        <v>3759</v>
      </c>
      <c r="D148" s="3755">
        <v>10</v>
      </c>
      <c r="E148" s="3756">
        <v>0.20338999999999999</v>
      </c>
      <c r="F148" s="3754">
        <v>60</v>
      </c>
      <c r="G148" s="3754" t="s">
        <v>3849</v>
      </c>
    </row>
    <row r="149" spans="1:7">
      <c r="A149" s="4405"/>
      <c r="B149" s="3754" t="s">
        <v>3850</v>
      </c>
      <c r="C149" s="3753" t="s">
        <v>3759</v>
      </c>
      <c r="D149" s="3755">
        <v>10</v>
      </c>
      <c r="E149" s="3756">
        <v>0.25423699999999999</v>
      </c>
      <c r="F149" s="3754">
        <v>75</v>
      </c>
      <c r="G149" s="3754" t="s">
        <v>3851</v>
      </c>
    </row>
    <row r="150" spans="1:7">
      <c r="A150" s="4405"/>
      <c r="B150" s="3754" t="s">
        <v>3852</v>
      </c>
      <c r="C150" s="3753" t="s">
        <v>3759</v>
      </c>
      <c r="D150" s="3755">
        <v>10</v>
      </c>
      <c r="E150" s="3756">
        <v>1.6949149999999999</v>
      </c>
      <c r="F150" s="3754">
        <v>500</v>
      </c>
      <c r="G150" s="3754"/>
    </row>
    <row r="151" spans="1:7">
      <c r="A151" s="4405"/>
      <c r="B151" s="3754" t="s">
        <v>3853</v>
      </c>
      <c r="C151" s="3754" t="s">
        <v>3825</v>
      </c>
      <c r="D151" s="3755">
        <v>10</v>
      </c>
      <c r="E151" s="3756">
        <v>2.0610170000000001</v>
      </c>
      <c r="F151" s="3754">
        <v>608</v>
      </c>
      <c r="G151" s="3765" t="s">
        <v>3854</v>
      </c>
    </row>
    <row r="152" spans="1:7">
      <c r="A152" s="4405"/>
      <c r="B152" s="3754" t="s">
        <v>3855</v>
      </c>
      <c r="C152" s="3754" t="s">
        <v>3664</v>
      </c>
      <c r="D152" s="3755">
        <v>10</v>
      </c>
      <c r="E152" s="3756">
        <v>101.69491499999999</v>
      </c>
      <c r="F152" s="3754">
        <v>30000</v>
      </c>
      <c r="G152" s="3754"/>
    </row>
    <row r="153" spans="1:7">
      <c r="A153" s="4405"/>
      <c r="B153" s="3754" t="s">
        <v>3856</v>
      </c>
      <c r="C153" s="3754" t="s">
        <v>3664</v>
      </c>
      <c r="D153" s="3755">
        <v>10</v>
      </c>
      <c r="E153" s="3756">
        <v>67.796610000000001</v>
      </c>
      <c r="F153" s="3754">
        <v>20000</v>
      </c>
      <c r="G153" s="3754"/>
    </row>
    <row r="154" spans="1:7">
      <c r="A154" s="4405"/>
      <c r="B154" s="3754" t="s">
        <v>3857</v>
      </c>
      <c r="C154" s="3766" t="s">
        <v>3858</v>
      </c>
      <c r="D154" s="3755">
        <v>10</v>
      </c>
      <c r="E154" s="3756">
        <v>0.83728800000000003</v>
      </c>
      <c r="F154" s="3754">
        <v>247</v>
      </c>
      <c r="G154" s="3754"/>
    </row>
    <row r="155" spans="1:7">
      <c r="A155" s="4405"/>
      <c r="B155" s="3754" t="s">
        <v>3859</v>
      </c>
      <c r="C155" s="3766" t="s">
        <v>3858</v>
      </c>
      <c r="D155" s="3755">
        <v>10</v>
      </c>
      <c r="E155" s="3756">
        <v>0.56610199999999999</v>
      </c>
      <c r="F155" s="3754">
        <v>167</v>
      </c>
      <c r="G155" s="3754"/>
    </row>
    <row r="156" spans="1:7">
      <c r="A156" s="4405"/>
      <c r="B156" s="3754" t="s">
        <v>3860</v>
      </c>
      <c r="C156" s="3753" t="s">
        <v>3759</v>
      </c>
      <c r="D156" s="3755">
        <v>10</v>
      </c>
      <c r="E156" s="3756">
        <v>0.169492</v>
      </c>
      <c r="F156" s="3754">
        <v>50</v>
      </c>
      <c r="G156" s="3754"/>
    </row>
    <row r="157" spans="1:7">
      <c r="A157" s="4405"/>
      <c r="B157" s="3754" t="s">
        <v>3861</v>
      </c>
      <c r="C157" s="3753" t="s">
        <v>3759</v>
      </c>
      <c r="D157" s="3755">
        <v>10</v>
      </c>
      <c r="E157" s="3756">
        <v>1.6949149999999999</v>
      </c>
      <c r="F157" s="3754">
        <v>500</v>
      </c>
      <c r="G157" s="3753" t="s">
        <v>3862</v>
      </c>
    </row>
    <row r="158" spans="1:7">
      <c r="A158" s="4405"/>
      <c r="B158" s="3754" t="s">
        <v>3863</v>
      </c>
      <c r="C158" s="3753" t="s">
        <v>3759</v>
      </c>
      <c r="D158" s="3755">
        <v>10</v>
      </c>
      <c r="E158" s="3756">
        <v>5.0847000000000003E-2</v>
      </c>
      <c r="F158" s="3754">
        <v>15</v>
      </c>
      <c r="G158" s="3753"/>
    </row>
    <row r="159" spans="1:7">
      <c r="A159" s="4405"/>
      <c r="B159" s="3754" t="s">
        <v>3864</v>
      </c>
      <c r="C159" s="3753" t="s">
        <v>3759</v>
      </c>
      <c r="D159" s="3755">
        <v>10</v>
      </c>
      <c r="E159" s="3756">
        <v>0.46779700000000002</v>
      </c>
      <c r="F159" s="3754">
        <v>138</v>
      </c>
      <c r="G159" s="3753"/>
    </row>
    <row r="160" spans="1:7">
      <c r="A160" s="4405"/>
      <c r="B160" s="3754" t="s">
        <v>3865</v>
      </c>
      <c r="C160" s="3753" t="s">
        <v>3759</v>
      </c>
      <c r="D160" s="3755">
        <v>10</v>
      </c>
      <c r="E160" s="3756">
        <v>0.40677999999999997</v>
      </c>
      <c r="F160" s="3754">
        <v>120</v>
      </c>
      <c r="G160" s="3753"/>
    </row>
    <row r="161" spans="1:7">
      <c r="A161" s="4405"/>
      <c r="B161" s="3754" t="s">
        <v>3866</v>
      </c>
      <c r="C161" s="3753" t="s">
        <v>3759</v>
      </c>
      <c r="D161" s="3755">
        <v>10</v>
      </c>
      <c r="E161" s="3756">
        <v>0.67118599999999995</v>
      </c>
      <c r="F161" s="3754">
        <v>198</v>
      </c>
      <c r="G161" s="3753"/>
    </row>
    <row r="162" spans="1:7">
      <c r="A162" s="4405"/>
      <c r="B162" s="3754" t="s">
        <v>3867</v>
      </c>
      <c r="C162" s="3753" t="s">
        <v>3759</v>
      </c>
      <c r="D162" s="3755">
        <v>10</v>
      </c>
      <c r="E162" s="3756">
        <v>1.2271190000000001</v>
      </c>
      <c r="F162" s="3754">
        <v>362</v>
      </c>
      <c r="G162" s="3753"/>
    </row>
    <row r="163" spans="1:7">
      <c r="A163" s="4405"/>
      <c r="B163" s="3754" t="s">
        <v>3868</v>
      </c>
      <c r="C163" s="3753" t="s">
        <v>3759</v>
      </c>
      <c r="D163" s="3755">
        <v>10</v>
      </c>
      <c r="E163" s="3756">
        <v>1.2271190000000001</v>
      </c>
      <c r="F163" s="3754">
        <v>362</v>
      </c>
      <c r="G163" s="3754"/>
    </row>
    <row r="164" spans="1:7">
      <c r="A164" s="4405"/>
      <c r="B164" s="3754" t="s">
        <v>3869</v>
      </c>
      <c r="C164" s="3766" t="s">
        <v>3858</v>
      </c>
      <c r="D164" s="3755">
        <v>10</v>
      </c>
      <c r="E164" s="3756">
        <v>0.71186400000000005</v>
      </c>
      <c r="F164" s="3754">
        <v>210</v>
      </c>
      <c r="G164" s="3754"/>
    </row>
    <row r="165" spans="1:7">
      <c r="A165" s="4405"/>
      <c r="B165" s="3767"/>
      <c r="C165" s="3767"/>
      <c r="D165" s="3755">
        <v>10</v>
      </c>
      <c r="E165" s="3768"/>
      <c r="F165" s="3767"/>
      <c r="G165" s="3767"/>
    </row>
    <row r="166" spans="1:7">
      <c r="A166" s="4405"/>
      <c r="B166" s="3754" t="s">
        <v>3870</v>
      </c>
      <c r="C166" s="3754" t="s">
        <v>3871</v>
      </c>
      <c r="D166" s="3755">
        <v>10</v>
      </c>
      <c r="E166" s="3754">
        <v>1.2881359999999999</v>
      </c>
      <c r="F166" s="3754">
        <v>380</v>
      </c>
      <c r="G166" s="3754"/>
    </row>
    <row r="167" spans="1:7">
      <c r="A167" s="4405"/>
      <c r="B167" s="3754" t="s">
        <v>3872</v>
      </c>
      <c r="C167" s="3754" t="s">
        <v>3871</v>
      </c>
      <c r="D167" s="3755">
        <v>10</v>
      </c>
      <c r="E167" s="3754">
        <v>1.6949149999999999</v>
      </c>
      <c r="F167" s="3754">
        <v>500</v>
      </c>
      <c r="G167" s="3754"/>
    </row>
    <row r="168" spans="1:7">
      <c r="A168" s="4405"/>
      <c r="B168" s="3754" t="s">
        <v>3873</v>
      </c>
      <c r="C168" s="3754" t="s">
        <v>3871</v>
      </c>
      <c r="D168" s="3755">
        <v>10</v>
      </c>
      <c r="E168" s="3754">
        <v>0.67796599999999996</v>
      </c>
      <c r="F168" s="3754">
        <v>200</v>
      </c>
      <c r="G168" s="3754"/>
    </row>
    <row r="169" spans="1:7">
      <c r="A169" s="4405"/>
      <c r="B169" s="3754" t="s">
        <v>3874</v>
      </c>
      <c r="C169" s="3754" t="s">
        <v>3871</v>
      </c>
      <c r="D169" s="3755">
        <v>10</v>
      </c>
      <c r="E169" s="3754">
        <v>1.0169490000000001</v>
      </c>
      <c r="F169" s="3754">
        <v>300</v>
      </c>
      <c r="G169" s="3754"/>
    </row>
    <row r="170" spans="1:7">
      <c r="A170" s="4405"/>
      <c r="B170" s="3754" t="s">
        <v>3875</v>
      </c>
      <c r="C170" s="3754" t="s">
        <v>3819</v>
      </c>
      <c r="D170" s="3755">
        <v>10</v>
      </c>
      <c r="E170" s="3754">
        <v>0.169492</v>
      </c>
      <c r="F170" s="3754">
        <v>50</v>
      </c>
      <c r="G170" s="3754" t="s">
        <v>3876</v>
      </c>
    </row>
    <row r="171" spans="1:7">
      <c r="A171" s="4405"/>
      <c r="B171" s="3754" t="s">
        <v>3877</v>
      </c>
      <c r="C171" s="3754" t="s">
        <v>3871</v>
      </c>
      <c r="D171" s="3755">
        <v>10</v>
      </c>
      <c r="E171" s="3754">
        <v>5.0847000000000003E-2</v>
      </c>
      <c r="F171" s="3754">
        <v>15</v>
      </c>
      <c r="G171" s="3754" t="s">
        <v>3878</v>
      </c>
    </row>
    <row r="172" spans="1:7">
      <c r="A172" s="4405"/>
      <c r="B172" s="3754" t="s">
        <v>3879</v>
      </c>
      <c r="C172" s="3754"/>
      <c r="D172" s="3755"/>
      <c r="E172" s="3769"/>
      <c r="F172" s="3754">
        <v>32</v>
      </c>
      <c r="G172" s="3754" t="s">
        <v>3880</v>
      </c>
    </row>
    <row r="173" spans="1:7">
      <c r="A173" s="4405"/>
      <c r="B173" s="3754" t="s">
        <v>3881</v>
      </c>
      <c r="C173" s="3754"/>
      <c r="D173" s="3755"/>
      <c r="E173" s="3769"/>
      <c r="F173" s="3754">
        <v>80</v>
      </c>
      <c r="G173" s="3754" t="s">
        <v>3882</v>
      </c>
    </row>
  </sheetData>
  <mergeCells count="15">
    <mergeCell ref="A2:A90"/>
    <mergeCell ref="A92:A173"/>
    <mergeCell ref="C94:C96"/>
    <mergeCell ref="C97:C99"/>
    <mergeCell ref="C100:C101"/>
    <mergeCell ref="C102:C104"/>
    <mergeCell ref="C105:C108"/>
    <mergeCell ref="C109:C111"/>
    <mergeCell ref="C112:C113"/>
    <mergeCell ref="C114:C115"/>
    <mergeCell ref="C116:C118"/>
    <mergeCell ref="C119:C122"/>
    <mergeCell ref="C123:C125"/>
    <mergeCell ref="C126:C128"/>
    <mergeCell ref="C139:C141"/>
  </mergeCells>
  <phoneticPr fontId="228" type="noConversion"/>
  <pageMargins left="0.75" right="0.75" top="1" bottom="1"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tabColor theme="7" tint="-0.249977111117893"/>
  </sheetPr>
  <dimension ref="A1:I28"/>
  <sheetViews>
    <sheetView workbookViewId="0">
      <selection activeCell="A3" sqref="A3:H26"/>
    </sheetView>
  </sheetViews>
  <sheetFormatPr defaultRowHeight="13.5"/>
  <cols>
    <col min="1" max="1" width="8.75" style="2" customWidth="1"/>
    <col min="2" max="2" width="10.5" style="2" customWidth="1"/>
    <col min="3" max="3" width="5.375" style="2" customWidth="1"/>
    <col min="4" max="4" width="12.125" style="2" customWidth="1"/>
    <col min="5" max="5" width="6.75" style="2" customWidth="1"/>
    <col min="6" max="6" width="11.75" style="2" customWidth="1"/>
    <col min="7" max="7" width="6.375" style="2" customWidth="1"/>
    <col min="8" max="8" width="12.25" style="2" customWidth="1"/>
    <col min="9" max="9" width="9.125" style="2" customWidth="1"/>
    <col min="10" max="258" width="9" style="2"/>
    <col min="259" max="259" width="6.625" style="2" customWidth="1"/>
    <col min="260" max="260" width="20" style="2" customWidth="1"/>
    <col min="261" max="261" width="5.625" style="2" customWidth="1"/>
    <col min="262" max="262" width="6.75" style="2" customWidth="1"/>
    <col min="263" max="263" width="20.625" style="2" customWidth="1"/>
    <col min="264" max="264" width="6.375" style="2" customWidth="1"/>
    <col min="265" max="265" width="14.875" style="2" customWidth="1"/>
    <col min="266" max="514" width="9" style="2"/>
    <col min="515" max="515" width="6.625" style="2" customWidth="1"/>
    <col min="516" max="516" width="20" style="2" customWidth="1"/>
    <col min="517" max="517" width="5.625" style="2" customWidth="1"/>
    <col min="518" max="518" width="6.75" style="2" customWidth="1"/>
    <col min="519" max="519" width="20.625" style="2" customWidth="1"/>
    <col min="520" max="520" width="6.375" style="2" customWidth="1"/>
    <col min="521" max="521" width="14.875" style="2" customWidth="1"/>
    <col min="522" max="770" width="9" style="2"/>
    <col min="771" max="771" width="6.625" style="2" customWidth="1"/>
    <col min="772" max="772" width="20" style="2" customWidth="1"/>
    <col min="773" max="773" width="5.625" style="2" customWidth="1"/>
    <col min="774" max="774" width="6.75" style="2" customWidth="1"/>
    <col min="775" max="775" width="20.625" style="2" customWidth="1"/>
    <col min="776" max="776" width="6.375" style="2" customWidth="1"/>
    <col min="777" max="777" width="14.875" style="2" customWidth="1"/>
    <col min="778" max="1026" width="9" style="2"/>
    <col min="1027" max="1027" width="6.625" style="2" customWidth="1"/>
    <col min="1028" max="1028" width="20" style="2" customWidth="1"/>
    <col min="1029" max="1029" width="5.625" style="2" customWidth="1"/>
    <col min="1030" max="1030" width="6.75" style="2" customWidth="1"/>
    <col min="1031" max="1031" width="20.625" style="2" customWidth="1"/>
    <col min="1032" max="1032" width="6.375" style="2" customWidth="1"/>
    <col min="1033" max="1033" width="14.875" style="2" customWidth="1"/>
    <col min="1034" max="1282" width="9" style="2"/>
    <col min="1283" max="1283" width="6.625" style="2" customWidth="1"/>
    <col min="1284" max="1284" width="20" style="2" customWidth="1"/>
    <col min="1285" max="1285" width="5.625" style="2" customWidth="1"/>
    <col min="1286" max="1286" width="6.75" style="2" customWidth="1"/>
    <col min="1287" max="1287" width="20.625" style="2" customWidth="1"/>
    <col min="1288" max="1288" width="6.375" style="2" customWidth="1"/>
    <col min="1289" max="1289" width="14.875" style="2" customWidth="1"/>
    <col min="1290" max="1538" width="9" style="2"/>
    <col min="1539" max="1539" width="6.625" style="2" customWidth="1"/>
    <col min="1540" max="1540" width="20" style="2" customWidth="1"/>
    <col min="1541" max="1541" width="5.625" style="2" customWidth="1"/>
    <col min="1542" max="1542" width="6.75" style="2" customWidth="1"/>
    <col min="1543" max="1543" width="20.625" style="2" customWidth="1"/>
    <col min="1544" max="1544" width="6.375" style="2" customWidth="1"/>
    <col min="1545" max="1545" width="14.875" style="2" customWidth="1"/>
    <col min="1546" max="1794" width="9" style="2"/>
    <col min="1795" max="1795" width="6.625" style="2" customWidth="1"/>
    <col min="1796" max="1796" width="20" style="2" customWidth="1"/>
    <col min="1797" max="1797" width="5.625" style="2" customWidth="1"/>
    <col min="1798" max="1798" width="6.75" style="2" customWidth="1"/>
    <col min="1799" max="1799" width="20.625" style="2" customWidth="1"/>
    <col min="1800" max="1800" width="6.375" style="2" customWidth="1"/>
    <col min="1801" max="1801" width="14.875" style="2" customWidth="1"/>
    <col min="1802" max="2050" width="9" style="2"/>
    <col min="2051" max="2051" width="6.625" style="2" customWidth="1"/>
    <col min="2052" max="2052" width="20" style="2" customWidth="1"/>
    <col min="2053" max="2053" width="5.625" style="2" customWidth="1"/>
    <col min="2054" max="2054" width="6.75" style="2" customWidth="1"/>
    <col min="2055" max="2055" width="20.625" style="2" customWidth="1"/>
    <col min="2056" max="2056" width="6.375" style="2" customWidth="1"/>
    <col min="2057" max="2057" width="14.875" style="2" customWidth="1"/>
    <col min="2058" max="2306" width="9" style="2"/>
    <col min="2307" max="2307" width="6.625" style="2" customWidth="1"/>
    <col min="2308" max="2308" width="20" style="2" customWidth="1"/>
    <col min="2309" max="2309" width="5.625" style="2" customWidth="1"/>
    <col min="2310" max="2310" width="6.75" style="2" customWidth="1"/>
    <col min="2311" max="2311" width="20.625" style="2" customWidth="1"/>
    <col min="2312" max="2312" width="6.375" style="2" customWidth="1"/>
    <col min="2313" max="2313" width="14.875" style="2" customWidth="1"/>
    <col min="2314" max="2562" width="9" style="2"/>
    <col min="2563" max="2563" width="6.625" style="2" customWidth="1"/>
    <col min="2564" max="2564" width="20" style="2" customWidth="1"/>
    <col min="2565" max="2565" width="5.625" style="2" customWidth="1"/>
    <col min="2566" max="2566" width="6.75" style="2" customWidth="1"/>
    <col min="2567" max="2567" width="20.625" style="2" customWidth="1"/>
    <col min="2568" max="2568" width="6.375" style="2" customWidth="1"/>
    <col min="2569" max="2569" width="14.875" style="2" customWidth="1"/>
    <col min="2570" max="2818" width="9" style="2"/>
    <col min="2819" max="2819" width="6.625" style="2" customWidth="1"/>
    <col min="2820" max="2820" width="20" style="2" customWidth="1"/>
    <col min="2821" max="2821" width="5.625" style="2" customWidth="1"/>
    <col min="2822" max="2822" width="6.75" style="2" customWidth="1"/>
    <col min="2823" max="2823" width="20.625" style="2" customWidth="1"/>
    <col min="2824" max="2824" width="6.375" style="2" customWidth="1"/>
    <col min="2825" max="2825" width="14.875" style="2" customWidth="1"/>
    <col min="2826" max="3074" width="9" style="2"/>
    <col min="3075" max="3075" width="6.625" style="2" customWidth="1"/>
    <col min="3076" max="3076" width="20" style="2" customWidth="1"/>
    <col min="3077" max="3077" width="5.625" style="2" customWidth="1"/>
    <col min="3078" max="3078" width="6.75" style="2" customWidth="1"/>
    <col min="3079" max="3079" width="20.625" style="2" customWidth="1"/>
    <col min="3080" max="3080" width="6.375" style="2" customWidth="1"/>
    <col min="3081" max="3081" width="14.875" style="2" customWidth="1"/>
    <col min="3082" max="3330" width="9" style="2"/>
    <col min="3331" max="3331" width="6.625" style="2" customWidth="1"/>
    <col min="3332" max="3332" width="20" style="2" customWidth="1"/>
    <col min="3333" max="3333" width="5.625" style="2" customWidth="1"/>
    <col min="3334" max="3334" width="6.75" style="2" customWidth="1"/>
    <col min="3335" max="3335" width="20.625" style="2" customWidth="1"/>
    <col min="3336" max="3336" width="6.375" style="2" customWidth="1"/>
    <col min="3337" max="3337" width="14.875" style="2" customWidth="1"/>
    <col min="3338" max="3586" width="9" style="2"/>
    <col min="3587" max="3587" width="6.625" style="2" customWidth="1"/>
    <col min="3588" max="3588" width="20" style="2" customWidth="1"/>
    <col min="3589" max="3589" width="5.625" style="2" customWidth="1"/>
    <col min="3590" max="3590" width="6.75" style="2" customWidth="1"/>
    <col min="3591" max="3591" width="20.625" style="2" customWidth="1"/>
    <col min="3592" max="3592" width="6.375" style="2" customWidth="1"/>
    <col min="3593" max="3593" width="14.875" style="2" customWidth="1"/>
    <col min="3594" max="3842" width="9" style="2"/>
    <col min="3843" max="3843" width="6.625" style="2" customWidth="1"/>
    <col min="3844" max="3844" width="20" style="2" customWidth="1"/>
    <col min="3845" max="3845" width="5.625" style="2" customWidth="1"/>
    <col min="3846" max="3846" width="6.75" style="2" customWidth="1"/>
    <col min="3847" max="3847" width="20.625" style="2" customWidth="1"/>
    <col min="3848" max="3848" width="6.375" style="2" customWidth="1"/>
    <col min="3849" max="3849" width="14.875" style="2" customWidth="1"/>
    <col min="3850" max="4098" width="9" style="2"/>
    <col min="4099" max="4099" width="6.625" style="2" customWidth="1"/>
    <col min="4100" max="4100" width="20" style="2" customWidth="1"/>
    <col min="4101" max="4101" width="5.625" style="2" customWidth="1"/>
    <col min="4102" max="4102" width="6.75" style="2" customWidth="1"/>
    <col min="4103" max="4103" width="20.625" style="2" customWidth="1"/>
    <col min="4104" max="4104" width="6.375" style="2" customWidth="1"/>
    <col min="4105" max="4105" width="14.875" style="2" customWidth="1"/>
    <col min="4106" max="4354" width="9" style="2"/>
    <col min="4355" max="4355" width="6.625" style="2" customWidth="1"/>
    <col min="4356" max="4356" width="20" style="2" customWidth="1"/>
    <col min="4357" max="4357" width="5.625" style="2" customWidth="1"/>
    <col min="4358" max="4358" width="6.75" style="2" customWidth="1"/>
    <col min="4359" max="4359" width="20.625" style="2" customWidth="1"/>
    <col min="4360" max="4360" width="6.375" style="2" customWidth="1"/>
    <col min="4361" max="4361" width="14.875" style="2" customWidth="1"/>
    <col min="4362" max="4610" width="9" style="2"/>
    <col min="4611" max="4611" width="6.625" style="2" customWidth="1"/>
    <col min="4612" max="4612" width="20" style="2" customWidth="1"/>
    <col min="4613" max="4613" width="5.625" style="2" customWidth="1"/>
    <col min="4614" max="4614" width="6.75" style="2" customWidth="1"/>
    <col min="4615" max="4615" width="20.625" style="2" customWidth="1"/>
    <col min="4616" max="4616" width="6.375" style="2" customWidth="1"/>
    <col min="4617" max="4617" width="14.875" style="2" customWidth="1"/>
    <col min="4618" max="4866" width="9" style="2"/>
    <col min="4867" max="4867" width="6.625" style="2" customWidth="1"/>
    <col min="4868" max="4868" width="20" style="2" customWidth="1"/>
    <col min="4869" max="4869" width="5.625" style="2" customWidth="1"/>
    <col min="4870" max="4870" width="6.75" style="2" customWidth="1"/>
    <col min="4871" max="4871" width="20.625" style="2" customWidth="1"/>
    <col min="4872" max="4872" width="6.375" style="2" customWidth="1"/>
    <col min="4873" max="4873" width="14.875" style="2" customWidth="1"/>
    <col min="4874" max="5122" width="9" style="2"/>
    <col min="5123" max="5123" width="6.625" style="2" customWidth="1"/>
    <col min="5124" max="5124" width="20" style="2" customWidth="1"/>
    <col min="5125" max="5125" width="5.625" style="2" customWidth="1"/>
    <col min="5126" max="5126" width="6.75" style="2" customWidth="1"/>
    <col min="5127" max="5127" width="20.625" style="2" customWidth="1"/>
    <col min="5128" max="5128" width="6.375" style="2" customWidth="1"/>
    <col min="5129" max="5129" width="14.875" style="2" customWidth="1"/>
    <col min="5130" max="5378" width="9" style="2"/>
    <col min="5379" max="5379" width="6.625" style="2" customWidth="1"/>
    <col min="5380" max="5380" width="20" style="2" customWidth="1"/>
    <col min="5381" max="5381" width="5.625" style="2" customWidth="1"/>
    <col min="5382" max="5382" width="6.75" style="2" customWidth="1"/>
    <col min="5383" max="5383" width="20.625" style="2" customWidth="1"/>
    <col min="5384" max="5384" width="6.375" style="2" customWidth="1"/>
    <col min="5385" max="5385" width="14.875" style="2" customWidth="1"/>
    <col min="5386" max="5634" width="9" style="2"/>
    <col min="5635" max="5635" width="6.625" style="2" customWidth="1"/>
    <col min="5636" max="5636" width="20" style="2" customWidth="1"/>
    <col min="5637" max="5637" width="5.625" style="2" customWidth="1"/>
    <col min="5638" max="5638" width="6.75" style="2" customWidth="1"/>
    <col min="5639" max="5639" width="20.625" style="2" customWidth="1"/>
    <col min="5640" max="5640" width="6.375" style="2" customWidth="1"/>
    <col min="5641" max="5641" width="14.875" style="2" customWidth="1"/>
    <col min="5642" max="5890" width="9" style="2"/>
    <col min="5891" max="5891" width="6.625" style="2" customWidth="1"/>
    <col min="5892" max="5892" width="20" style="2" customWidth="1"/>
    <col min="5893" max="5893" width="5.625" style="2" customWidth="1"/>
    <col min="5894" max="5894" width="6.75" style="2" customWidth="1"/>
    <col min="5895" max="5895" width="20.625" style="2" customWidth="1"/>
    <col min="5896" max="5896" width="6.375" style="2" customWidth="1"/>
    <col min="5897" max="5897" width="14.875" style="2" customWidth="1"/>
    <col min="5898" max="6146" width="9" style="2"/>
    <col min="6147" max="6147" width="6.625" style="2" customWidth="1"/>
    <col min="6148" max="6148" width="20" style="2" customWidth="1"/>
    <col min="6149" max="6149" width="5.625" style="2" customWidth="1"/>
    <col min="6150" max="6150" width="6.75" style="2" customWidth="1"/>
    <col min="6151" max="6151" width="20.625" style="2" customWidth="1"/>
    <col min="6152" max="6152" width="6.375" style="2" customWidth="1"/>
    <col min="6153" max="6153" width="14.875" style="2" customWidth="1"/>
    <col min="6154" max="6402" width="9" style="2"/>
    <col min="6403" max="6403" width="6.625" style="2" customWidth="1"/>
    <col min="6404" max="6404" width="20" style="2" customWidth="1"/>
    <col min="6405" max="6405" width="5.625" style="2" customWidth="1"/>
    <col min="6406" max="6406" width="6.75" style="2" customWidth="1"/>
    <col min="6407" max="6407" width="20.625" style="2" customWidth="1"/>
    <col min="6408" max="6408" width="6.375" style="2" customWidth="1"/>
    <col min="6409" max="6409" width="14.875" style="2" customWidth="1"/>
    <col min="6410" max="6658" width="9" style="2"/>
    <col min="6659" max="6659" width="6.625" style="2" customWidth="1"/>
    <col min="6660" max="6660" width="20" style="2" customWidth="1"/>
    <col min="6661" max="6661" width="5.625" style="2" customWidth="1"/>
    <col min="6662" max="6662" width="6.75" style="2" customWidth="1"/>
    <col min="6663" max="6663" width="20.625" style="2" customWidth="1"/>
    <col min="6664" max="6664" width="6.375" style="2" customWidth="1"/>
    <col min="6665" max="6665" width="14.875" style="2" customWidth="1"/>
    <col min="6666" max="6914" width="9" style="2"/>
    <col min="6915" max="6915" width="6.625" style="2" customWidth="1"/>
    <col min="6916" max="6916" width="20" style="2" customWidth="1"/>
    <col min="6917" max="6917" width="5.625" style="2" customWidth="1"/>
    <col min="6918" max="6918" width="6.75" style="2" customWidth="1"/>
    <col min="6919" max="6919" width="20.625" style="2" customWidth="1"/>
    <col min="6920" max="6920" width="6.375" style="2" customWidth="1"/>
    <col min="6921" max="6921" width="14.875" style="2" customWidth="1"/>
    <col min="6922" max="7170" width="9" style="2"/>
    <col min="7171" max="7171" width="6.625" style="2" customWidth="1"/>
    <col min="7172" max="7172" width="20" style="2" customWidth="1"/>
    <col min="7173" max="7173" width="5.625" style="2" customWidth="1"/>
    <col min="7174" max="7174" width="6.75" style="2" customWidth="1"/>
    <col min="7175" max="7175" width="20.625" style="2" customWidth="1"/>
    <col min="7176" max="7176" width="6.375" style="2" customWidth="1"/>
    <col min="7177" max="7177" width="14.875" style="2" customWidth="1"/>
    <col min="7178" max="7426" width="9" style="2"/>
    <col min="7427" max="7427" width="6.625" style="2" customWidth="1"/>
    <col min="7428" max="7428" width="20" style="2" customWidth="1"/>
    <col min="7429" max="7429" width="5.625" style="2" customWidth="1"/>
    <col min="7430" max="7430" width="6.75" style="2" customWidth="1"/>
    <col min="7431" max="7431" width="20.625" style="2" customWidth="1"/>
    <col min="7432" max="7432" width="6.375" style="2" customWidth="1"/>
    <col min="7433" max="7433" width="14.875" style="2" customWidth="1"/>
    <col min="7434" max="7682" width="9" style="2"/>
    <col min="7683" max="7683" width="6.625" style="2" customWidth="1"/>
    <col min="7684" max="7684" width="20" style="2" customWidth="1"/>
    <col min="7685" max="7685" width="5.625" style="2" customWidth="1"/>
    <col min="7686" max="7686" width="6.75" style="2" customWidth="1"/>
    <col min="7687" max="7687" width="20.625" style="2" customWidth="1"/>
    <col min="7688" max="7688" width="6.375" style="2" customWidth="1"/>
    <col min="7689" max="7689" width="14.875" style="2" customWidth="1"/>
    <col min="7690" max="7938" width="9" style="2"/>
    <col min="7939" max="7939" width="6.625" style="2" customWidth="1"/>
    <col min="7940" max="7940" width="20" style="2" customWidth="1"/>
    <col min="7941" max="7941" width="5.625" style="2" customWidth="1"/>
    <col min="7942" max="7942" width="6.75" style="2" customWidth="1"/>
    <col min="7943" max="7943" width="20.625" style="2" customWidth="1"/>
    <col min="7944" max="7944" width="6.375" style="2" customWidth="1"/>
    <col min="7945" max="7945" width="14.875" style="2" customWidth="1"/>
    <col min="7946" max="8194" width="9" style="2"/>
    <col min="8195" max="8195" width="6.625" style="2" customWidth="1"/>
    <col min="8196" max="8196" width="20" style="2" customWidth="1"/>
    <col min="8197" max="8197" width="5.625" style="2" customWidth="1"/>
    <col min="8198" max="8198" width="6.75" style="2" customWidth="1"/>
    <col min="8199" max="8199" width="20.625" style="2" customWidth="1"/>
    <col min="8200" max="8200" width="6.375" style="2" customWidth="1"/>
    <col min="8201" max="8201" width="14.875" style="2" customWidth="1"/>
    <col min="8202" max="8450" width="9" style="2"/>
    <col min="8451" max="8451" width="6.625" style="2" customWidth="1"/>
    <col min="8452" max="8452" width="20" style="2" customWidth="1"/>
    <col min="8453" max="8453" width="5.625" style="2" customWidth="1"/>
    <col min="8454" max="8454" width="6.75" style="2" customWidth="1"/>
    <col min="8455" max="8455" width="20.625" style="2" customWidth="1"/>
    <col min="8456" max="8456" width="6.375" style="2" customWidth="1"/>
    <col min="8457" max="8457" width="14.875" style="2" customWidth="1"/>
    <col min="8458" max="8706" width="9" style="2"/>
    <col min="8707" max="8707" width="6.625" style="2" customWidth="1"/>
    <col min="8708" max="8708" width="20" style="2" customWidth="1"/>
    <col min="8709" max="8709" width="5.625" style="2" customWidth="1"/>
    <col min="8710" max="8710" width="6.75" style="2" customWidth="1"/>
    <col min="8711" max="8711" width="20.625" style="2" customWidth="1"/>
    <col min="8712" max="8712" width="6.375" style="2" customWidth="1"/>
    <col min="8713" max="8713" width="14.875" style="2" customWidth="1"/>
    <col min="8714" max="8962" width="9" style="2"/>
    <col min="8963" max="8963" width="6.625" style="2" customWidth="1"/>
    <col min="8964" max="8964" width="20" style="2" customWidth="1"/>
    <col min="8965" max="8965" width="5.625" style="2" customWidth="1"/>
    <col min="8966" max="8966" width="6.75" style="2" customWidth="1"/>
    <col min="8967" max="8967" width="20.625" style="2" customWidth="1"/>
    <col min="8968" max="8968" width="6.375" style="2" customWidth="1"/>
    <col min="8969" max="8969" width="14.875" style="2" customWidth="1"/>
    <col min="8970" max="9218" width="9" style="2"/>
    <col min="9219" max="9219" width="6.625" style="2" customWidth="1"/>
    <col min="9220" max="9220" width="20" style="2" customWidth="1"/>
    <col min="9221" max="9221" width="5.625" style="2" customWidth="1"/>
    <col min="9222" max="9222" width="6.75" style="2" customWidth="1"/>
    <col min="9223" max="9223" width="20.625" style="2" customWidth="1"/>
    <col min="9224" max="9224" width="6.375" style="2" customWidth="1"/>
    <col min="9225" max="9225" width="14.875" style="2" customWidth="1"/>
    <col min="9226" max="9474" width="9" style="2"/>
    <col min="9475" max="9475" width="6.625" style="2" customWidth="1"/>
    <col min="9476" max="9476" width="20" style="2" customWidth="1"/>
    <col min="9477" max="9477" width="5.625" style="2" customWidth="1"/>
    <col min="9478" max="9478" width="6.75" style="2" customWidth="1"/>
    <col min="9479" max="9479" width="20.625" style="2" customWidth="1"/>
    <col min="9480" max="9480" width="6.375" style="2" customWidth="1"/>
    <col min="9481" max="9481" width="14.875" style="2" customWidth="1"/>
    <col min="9482" max="9730" width="9" style="2"/>
    <col min="9731" max="9731" width="6.625" style="2" customWidth="1"/>
    <col min="9732" max="9732" width="20" style="2" customWidth="1"/>
    <col min="9733" max="9733" width="5.625" style="2" customWidth="1"/>
    <col min="9734" max="9734" width="6.75" style="2" customWidth="1"/>
    <col min="9735" max="9735" width="20.625" style="2" customWidth="1"/>
    <col min="9736" max="9736" width="6.375" style="2" customWidth="1"/>
    <col min="9737" max="9737" width="14.875" style="2" customWidth="1"/>
    <col min="9738" max="9986" width="9" style="2"/>
    <col min="9987" max="9987" width="6.625" style="2" customWidth="1"/>
    <col min="9988" max="9988" width="20" style="2" customWidth="1"/>
    <col min="9989" max="9989" width="5.625" style="2" customWidth="1"/>
    <col min="9990" max="9990" width="6.75" style="2" customWidth="1"/>
    <col min="9991" max="9991" width="20.625" style="2" customWidth="1"/>
    <col min="9992" max="9992" width="6.375" style="2" customWidth="1"/>
    <col min="9993" max="9993" width="14.875" style="2" customWidth="1"/>
    <col min="9994" max="10242" width="9" style="2"/>
    <col min="10243" max="10243" width="6.625" style="2" customWidth="1"/>
    <col min="10244" max="10244" width="20" style="2" customWidth="1"/>
    <col min="10245" max="10245" width="5.625" style="2" customWidth="1"/>
    <col min="10246" max="10246" width="6.75" style="2" customWidth="1"/>
    <col min="10247" max="10247" width="20.625" style="2" customWidth="1"/>
    <col min="10248" max="10248" width="6.375" style="2" customWidth="1"/>
    <col min="10249" max="10249" width="14.875" style="2" customWidth="1"/>
    <col min="10250" max="10498" width="9" style="2"/>
    <col min="10499" max="10499" width="6.625" style="2" customWidth="1"/>
    <col min="10500" max="10500" width="20" style="2" customWidth="1"/>
    <col min="10501" max="10501" width="5.625" style="2" customWidth="1"/>
    <col min="10502" max="10502" width="6.75" style="2" customWidth="1"/>
    <col min="10503" max="10503" width="20.625" style="2" customWidth="1"/>
    <col min="10504" max="10504" width="6.375" style="2" customWidth="1"/>
    <col min="10505" max="10505" width="14.875" style="2" customWidth="1"/>
    <col min="10506" max="10754" width="9" style="2"/>
    <col min="10755" max="10755" width="6.625" style="2" customWidth="1"/>
    <col min="10756" max="10756" width="20" style="2" customWidth="1"/>
    <col min="10757" max="10757" width="5.625" style="2" customWidth="1"/>
    <col min="10758" max="10758" width="6.75" style="2" customWidth="1"/>
    <col min="10759" max="10759" width="20.625" style="2" customWidth="1"/>
    <col min="10760" max="10760" width="6.375" style="2" customWidth="1"/>
    <col min="10761" max="10761" width="14.875" style="2" customWidth="1"/>
    <col min="10762" max="11010" width="9" style="2"/>
    <col min="11011" max="11011" width="6.625" style="2" customWidth="1"/>
    <col min="11012" max="11012" width="20" style="2" customWidth="1"/>
    <col min="11013" max="11013" width="5.625" style="2" customWidth="1"/>
    <col min="11014" max="11014" width="6.75" style="2" customWidth="1"/>
    <col min="11015" max="11015" width="20.625" style="2" customWidth="1"/>
    <col min="11016" max="11016" width="6.375" style="2" customWidth="1"/>
    <col min="11017" max="11017" width="14.875" style="2" customWidth="1"/>
    <col min="11018" max="11266" width="9" style="2"/>
    <col min="11267" max="11267" width="6.625" style="2" customWidth="1"/>
    <col min="11268" max="11268" width="20" style="2" customWidth="1"/>
    <col min="11269" max="11269" width="5.625" style="2" customWidth="1"/>
    <col min="11270" max="11270" width="6.75" style="2" customWidth="1"/>
    <col min="11271" max="11271" width="20.625" style="2" customWidth="1"/>
    <col min="11272" max="11272" width="6.375" style="2" customWidth="1"/>
    <col min="11273" max="11273" width="14.875" style="2" customWidth="1"/>
    <col min="11274" max="11522" width="9" style="2"/>
    <col min="11523" max="11523" width="6.625" style="2" customWidth="1"/>
    <col min="11524" max="11524" width="20" style="2" customWidth="1"/>
    <col min="11525" max="11525" width="5.625" style="2" customWidth="1"/>
    <col min="11526" max="11526" width="6.75" style="2" customWidth="1"/>
    <col min="11527" max="11527" width="20.625" style="2" customWidth="1"/>
    <col min="11528" max="11528" width="6.375" style="2" customWidth="1"/>
    <col min="11529" max="11529" width="14.875" style="2" customWidth="1"/>
    <col min="11530" max="11778" width="9" style="2"/>
    <col min="11779" max="11779" width="6.625" style="2" customWidth="1"/>
    <col min="11780" max="11780" width="20" style="2" customWidth="1"/>
    <col min="11781" max="11781" width="5.625" style="2" customWidth="1"/>
    <col min="11782" max="11782" width="6.75" style="2" customWidth="1"/>
    <col min="11783" max="11783" width="20.625" style="2" customWidth="1"/>
    <col min="11784" max="11784" width="6.375" style="2" customWidth="1"/>
    <col min="11785" max="11785" width="14.875" style="2" customWidth="1"/>
    <col min="11786" max="12034" width="9" style="2"/>
    <col min="12035" max="12035" width="6.625" style="2" customWidth="1"/>
    <col min="12036" max="12036" width="20" style="2" customWidth="1"/>
    <col min="12037" max="12037" width="5.625" style="2" customWidth="1"/>
    <col min="12038" max="12038" width="6.75" style="2" customWidth="1"/>
    <col min="12039" max="12039" width="20.625" style="2" customWidth="1"/>
    <col min="12040" max="12040" width="6.375" style="2" customWidth="1"/>
    <col min="12041" max="12041" width="14.875" style="2" customWidth="1"/>
    <col min="12042" max="12290" width="9" style="2"/>
    <col min="12291" max="12291" width="6.625" style="2" customWidth="1"/>
    <col min="12292" max="12292" width="20" style="2" customWidth="1"/>
    <col min="12293" max="12293" width="5.625" style="2" customWidth="1"/>
    <col min="12294" max="12294" width="6.75" style="2" customWidth="1"/>
    <col min="12295" max="12295" width="20.625" style="2" customWidth="1"/>
    <col min="12296" max="12296" width="6.375" style="2" customWidth="1"/>
    <col min="12297" max="12297" width="14.875" style="2" customWidth="1"/>
    <col min="12298" max="12546" width="9" style="2"/>
    <col min="12547" max="12547" width="6.625" style="2" customWidth="1"/>
    <col min="12548" max="12548" width="20" style="2" customWidth="1"/>
    <col min="12549" max="12549" width="5.625" style="2" customWidth="1"/>
    <col min="12550" max="12550" width="6.75" style="2" customWidth="1"/>
    <col min="12551" max="12551" width="20.625" style="2" customWidth="1"/>
    <col min="12552" max="12552" width="6.375" style="2" customWidth="1"/>
    <col min="12553" max="12553" width="14.875" style="2" customWidth="1"/>
    <col min="12554" max="12802" width="9" style="2"/>
    <col min="12803" max="12803" width="6.625" style="2" customWidth="1"/>
    <col min="12804" max="12804" width="20" style="2" customWidth="1"/>
    <col min="12805" max="12805" width="5.625" style="2" customWidth="1"/>
    <col min="12806" max="12806" width="6.75" style="2" customWidth="1"/>
    <col min="12807" max="12807" width="20.625" style="2" customWidth="1"/>
    <col min="12808" max="12808" width="6.375" style="2" customWidth="1"/>
    <col min="12809" max="12809" width="14.875" style="2" customWidth="1"/>
    <col min="12810" max="13058" width="9" style="2"/>
    <col min="13059" max="13059" width="6.625" style="2" customWidth="1"/>
    <col min="13060" max="13060" width="20" style="2" customWidth="1"/>
    <col min="13061" max="13061" width="5.625" style="2" customWidth="1"/>
    <col min="13062" max="13062" width="6.75" style="2" customWidth="1"/>
    <col min="13063" max="13063" width="20.625" style="2" customWidth="1"/>
    <col min="13064" max="13064" width="6.375" style="2" customWidth="1"/>
    <col min="13065" max="13065" width="14.875" style="2" customWidth="1"/>
    <col min="13066" max="13314" width="9" style="2"/>
    <col min="13315" max="13315" width="6.625" style="2" customWidth="1"/>
    <col min="13316" max="13316" width="20" style="2" customWidth="1"/>
    <col min="13317" max="13317" width="5.625" style="2" customWidth="1"/>
    <col min="13318" max="13318" width="6.75" style="2" customWidth="1"/>
    <col min="13319" max="13319" width="20.625" style="2" customWidth="1"/>
    <col min="13320" max="13320" width="6.375" style="2" customWidth="1"/>
    <col min="13321" max="13321" width="14.875" style="2" customWidth="1"/>
    <col min="13322" max="13570" width="9" style="2"/>
    <col min="13571" max="13571" width="6.625" style="2" customWidth="1"/>
    <col min="13572" max="13572" width="20" style="2" customWidth="1"/>
    <col min="13573" max="13573" width="5.625" style="2" customWidth="1"/>
    <col min="13574" max="13574" width="6.75" style="2" customWidth="1"/>
    <col min="13575" max="13575" width="20.625" style="2" customWidth="1"/>
    <col min="13576" max="13576" width="6.375" style="2" customWidth="1"/>
    <col min="13577" max="13577" width="14.875" style="2" customWidth="1"/>
    <col min="13578" max="13826" width="9" style="2"/>
    <col min="13827" max="13827" width="6.625" style="2" customWidth="1"/>
    <col min="13828" max="13828" width="20" style="2" customWidth="1"/>
    <col min="13829" max="13829" width="5.625" style="2" customWidth="1"/>
    <col min="13830" max="13830" width="6.75" style="2" customWidth="1"/>
    <col min="13831" max="13831" width="20.625" style="2" customWidth="1"/>
    <col min="13832" max="13832" width="6.375" style="2" customWidth="1"/>
    <col min="13833" max="13833" width="14.875" style="2" customWidth="1"/>
    <col min="13834" max="14082" width="9" style="2"/>
    <col min="14083" max="14083" width="6.625" style="2" customWidth="1"/>
    <col min="14084" max="14084" width="20" style="2" customWidth="1"/>
    <col min="14085" max="14085" width="5.625" style="2" customWidth="1"/>
    <col min="14086" max="14086" width="6.75" style="2" customWidth="1"/>
    <col min="14087" max="14087" width="20.625" style="2" customWidth="1"/>
    <col min="14088" max="14088" width="6.375" style="2" customWidth="1"/>
    <col min="14089" max="14089" width="14.875" style="2" customWidth="1"/>
    <col min="14090" max="14338" width="9" style="2"/>
    <col min="14339" max="14339" width="6.625" style="2" customWidth="1"/>
    <col min="14340" max="14340" width="20" style="2" customWidth="1"/>
    <col min="14341" max="14341" width="5.625" style="2" customWidth="1"/>
    <col min="14342" max="14342" width="6.75" style="2" customWidth="1"/>
    <col min="14343" max="14343" width="20.625" style="2" customWidth="1"/>
    <col min="14344" max="14344" width="6.375" style="2" customWidth="1"/>
    <col min="14345" max="14345" width="14.875" style="2" customWidth="1"/>
    <col min="14346" max="14594" width="9" style="2"/>
    <col min="14595" max="14595" width="6.625" style="2" customWidth="1"/>
    <col min="14596" max="14596" width="20" style="2" customWidth="1"/>
    <col min="14597" max="14597" width="5.625" style="2" customWidth="1"/>
    <col min="14598" max="14598" width="6.75" style="2" customWidth="1"/>
    <col min="14599" max="14599" width="20.625" style="2" customWidth="1"/>
    <col min="14600" max="14600" width="6.375" style="2" customWidth="1"/>
    <col min="14601" max="14601" width="14.875" style="2" customWidth="1"/>
    <col min="14602" max="14850" width="9" style="2"/>
    <col min="14851" max="14851" width="6.625" style="2" customWidth="1"/>
    <col min="14852" max="14852" width="20" style="2" customWidth="1"/>
    <col min="14853" max="14853" width="5.625" style="2" customWidth="1"/>
    <col min="14854" max="14854" width="6.75" style="2" customWidth="1"/>
    <col min="14855" max="14855" width="20.625" style="2" customWidth="1"/>
    <col min="14856" max="14856" width="6.375" style="2" customWidth="1"/>
    <col min="14857" max="14857" width="14.875" style="2" customWidth="1"/>
    <col min="14858" max="15106" width="9" style="2"/>
    <col min="15107" max="15107" width="6.625" style="2" customWidth="1"/>
    <col min="15108" max="15108" width="20" style="2" customWidth="1"/>
    <col min="15109" max="15109" width="5.625" style="2" customWidth="1"/>
    <col min="15110" max="15110" width="6.75" style="2" customWidth="1"/>
    <col min="15111" max="15111" width="20.625" style="2" customWidth="1"/>
    <col min="15112" max="15112" width="6.375" style="2" customWidth="1"/>
    <col min="15113" max="15113" width="14.875" style="2" customWidth="1"/>
    <col min="15114" max="15362" width="9" style="2"/>
    <col min="15363" max="15363" width="6.625" style="2" customWidth="1"/>
    <col min="15364" max="15364" width="20" style="2" customWidth="1"/>
    <col min="15365" max="15365" width="5.625" style="2" customWidth="1"/>
    <col min="15366" max="15366" width="6.75" style="2" customWidth="1"/>
    <col min="15367" max="15367" width="20.625" style="2" customWidth="1"/>
    <col min="15368" max="15368" width="6.375" style="2" customWidth="1"/>
    <col min="15369" max="15369" width="14.875" style="2" customWidth="1"/>
    <col min="15370" max="15618" width="9" style="2"/>
    <col min="15619" max="15619" width="6.625" style="2" customWidth="1"/>
    <col min="15620" max="15620" width="20" style="2" customWidth="1"/>
    <col min="15621" max="15621" width="5.625" style="2" customWidth="1"/>
    <col min="15622" max="15622" width="6.75" style="2" customWidth="1"/>
    <col min="15623" max="15623" width="20.625" style="2" customWidth="1"/>
    <col min="15624" max="15624" width="6.375" style="2" customWidth="1"/>
    <col min="15625" max="15625" width="14.875" style="2" customWidth="1"/>
    <col min="15626" max="15874" width="9" style="2"/>
    <col min="15875" max="15875" width="6.625" style="2" customWidth="1"/>
    <col min="15876" max="15876" width="20" style="2" customWidth="1"/>
    <col min="15877" max="15877" width="5.625" style="2" customWidth="1"/>
    <col min="15878" max="15878" width="6.75" style="2" customWidth="1"/>
    <col min="15879" max="15879" width="20.625" style="2" customWidth="1"/>
    <col min="15880" max="15880" width="6.375" style="2" customWidth="1"/>
    <col min="15881" max="15881" width="14.875" style="2" customWidth="1"/>
    <col min="15882" max="16130" width="9" style="2"/>
    <col min="16131" max="16131" width="6.625" style="2" customWidth="1"/>
    <col min="16132" max="16132" width="20" style="2" customWidth="1"/>
    <col min="16133" max="16133" width="5.625" style="2" customWidth="1"/>
    <col min="16134" max="16134" width="6.75" style="2" customWidth="1"/>
    <col min="16135" max="16135" width="20.625" style="2" customWidth="1"/>
    <col min="16136" max="16136" width="6.375" style="2" customWidth="1"/>
    <col min="16137" max="16137" width="14.875" style="2" customWidth="1"/>
    <col min="16138" max="16384" width="9" style="2"/>
  </cols>
  <sheetData>
    <row r="1" spans="1:9" ht="21.75" customHeight="1">
      <c r="A1" s="4408" t="s">
        <v>4252</v>
      </c>
      <c r="B1" s="4409"/>
      <c r="C1" s="4409"/>
      <c r="D1" s="4409"/>
      <c r="E1" s="4409"/>
      <c r="F1" s="4409"/>
      <c r="G1" s="4409"/>
      <c r="H1" s="4409"/>
      <c r="I1" s="4409"/>
    </row>
    <row r="2" spans="1:9" ht="31.5" customHeight="1">
      <c r="A2" s="3337" t="s">
        <v>3014</v>
      </c>
      <c r="B2" s="3337" t="s">
        <v>3015</v>
      </c>
      <c r="C2" s="3337" t="s">
        <v>3016</v>
      </c>
      <c r="D2" s="3336" t="s">
        <v>4251</v>
      </c>
      <c r="E2" s="3337" t="s">
        <v>3014</v>
      </c>
      <c r="F2" s="3337" t="s">
        <v>3015</v>
      </c>
      <c r="G2" s="3337" t="s">
        <v>3016</v>
      </c>
      <c r="H2" s="3337" t="str">
        <f>D2</f>
        <v>总价（元）</v>
      </c>
      <c r="I2" s="3337" t="s">
        <v>3017</v>
      </c>
    </row>
    <row r="3" spans="1:9" ht="21.75" customHeight="1">
      <c r="A3" s="3281" t="s">
        <v>3018</v>
      </c>
      <c r="B3" s="3337">
        <v>335.66</v>
      </c>
      <c r="C3" s="3337">
        <v>1</v>
      </c>
      <c r="D3" s="3337">
        <f>'输机表-建筑物及附属物'!C30</f>
        <v>267508</v>
      </c>
      <c r="E3" s="3281" t="s">
        <v>3021</v>
      </c>
      <c r="F3" s="3337">
        <v>75.8</v>
      </c>
      <c r="G3" s="3337">
        <v>1</v>
      </c>
      <c r="H3" s="3337">
        <f>'输机表-建筑物及附属物'!Z30</f>
        <v>71477</v>
      </c>
      <c r="I3" s="3337"/>
    </row>
    <row r="4" spans="1:9" ht="21.75" customHeight="1">
      <c r="A4" s="3281" t="s">
        <v>3020</v>
      </c>
      <c r="B4" s="3337">
        <v>72.36</v>
      </c>
      <c r="C4" s="3337">
        <v>1</v>
      </c>
      <c r="D4" s="3337">
        <f>'输机表-建筑物及附属物'!D30</f>
        <v>56630</v>
      </c>
      <c r="E4" s="3281" t="s">
        <v>3025</v>
      </c>
      <c r="F4" s="3337">
        <v>2.5299999999999998</v>
      </c>
      <c r="G4" s="3337">
        <v>1</v>
      </c>
      <c r="H4" s="3337">
        <f>'输机表-建筑物及附属物'!AA30</f>
        <v>2039</v>
      </c>
      <c r="I4" s="3337"/>
    </row>
    <row r="5" spans="1:9" ht="21.75" customHeight="1">
      <c r="A5" s="3281" t="s">
        <v>3024</v>
      </c>
      <c r="B5" s="3337">
        <v>2688.82</v>
      </c>
      <c r="C5" s="3337">
        <v>1</v>
      </c>
      <c r="D5" s="3337">
        <f>'输机表-建筑物及附属物'!E30</f>
        <v>3402523</v>
      </c>
      <c r="E5" s="3281" t="s">
        <v>3027</v>
      </c>
      <c r="F5" s="3337">
        <v>68.77</v>
      </c>
      <c r="G5" s="3337">
        <v>1</v>
      </c>
      <c r="H5" s="3337">
        <f>'输机表-建筑物及附属物'!AB30</f>
        <v>57833</v>
      </c>
      <c r="I5" s="3874"/>
    </row>
    <row r="6" spans="1:9" ht="21.75" customHeight="1">
      <c r="A6" s="3281" t="s">
        <v>3026</v>
      </c>
      <c r="B6" s="3337">
        <v>39.07</v>
      </c>
      <c r="C6" s="3337">
        <v>1</v>
      </c>
      <c r="D6" s="3337">
        <f>'输机表-建筑物及附属物'!F30</f>
        <v>46239</v>
      </c>
      <c r="E6" s="3281" t="s">
        <v>3029</v>
      </c>
      <c r="F6" s="3337">
        <v>39.090000000000003</v>
      </c>
      <c r="G6" s="3337">
        <v>1</v>
      </c>
      <c r="H6" s="3337">
        <f>'输机表-建筑物及附属物'!AC30</f>
        <v>57727</v>
      </c>
      <c r="I6" s="3337"/>
    </row>
    <row r="7" spans="1:9" ht="21.75" customHeight="1">
      <c r="A7" s="3282" t="s">
        <v>3028</v>
      </c>
      <c r="B7" s="3874">
        <v>74.41</v>
      </c>
      <c r="C7" s="3874">
        <v>1</v>
      </c>
      <c r="D7" s="3874">
        <f>'输机表-建筑物及附属物'!G30</f>
        <v>49316</v>
      </c>
      <c r="E7" s="3282" t="s">
        <v>3031</v>
      </c>
      <c r="F7" s="3874">
        <v>264.44</v>
      </c>
      <c r="G7" s="3874">
        <v>2</v>
      </c>
      <c r="H7" s="3874">
        <f>'输机表-建筑物及附属物'!AD30+'输机表-建筑物及附属物'!AE30</f>
        <v>371985</v>
      </c>
      <c r="I7" s="3874"/>
    </row>
    <row r="8" spans="1:9" ht="21.75" customHeight="1">
      <c r="A8" s="3282" t="s">
        <v>3030</v>
      </c>
      <c r="B8" s="3874">
        <v>43.63</v>
      </c>
      <c r="C8" s="3874">
        <v>1</v>
      </c>
      <c r="D8" s="3874">
        <f>'输机表-建筑物及附属物'!H30</f>
        <v>20833</v>
      </c>
      <c r="E8" s="3281" t="s">
        <v>3033</v>
      </c>
      <c r="F8" s="3337">
        <v>32.94</v>
      </c>
      <c r="G8" s="3337">
        <v>1</v>
      </c>
      <c r="H8" s="3337">
        <f>'输机表-建筑物及附属物'!AF30</f>
        <v>23056</v>
      </c>
      <c r="I8" s="3337"/>
    </row>
    <row r="9" spans="1:9" ht="21.75" customHeight="1">
      <c r="A9" s="3282" t="s">
        <v>3032</v>
      </c>
      <c r="B9" s="3874">
        <v>134.66999999999999</v>
      </c>
      <c r="C9" s="3874">
        <v>1</v>
      </c>
      <c r="D9" s="3874">
        <f>'输机表-建筑物及附属物'!I30</f>
        <v>100624</v>
      </c>
      <c r="E9" s="3281" t="s">
        <v>3035</v>
      </c>
      <c r="F9" s="3337">
        <v>61.1</v>
      </c>
      <c r="G9" s="3337">
        <v>1</v>
      </c>
      <c r="H9" s="3337">
        <f>'输机表-建筑物及附属物'!AG30</f>
        <v>38264</v>
      </c>
      <c r="I9" s="3874"/>
    </row>
    <row r="10" spans="1:9" ht="21.75" customHeight="1">
      <c r="A10" s="3282" t="s">
        <v>3034</v>
      </c>
      <c r="B10" s="3874">
        <v>25.34</v>
      </c>
      <c r="C10" s="3874">
        <v>1</v>
      </c>
      <c r="D10" s="3874">
        <f>'输机表-建筑物及附属物'!J30</f>
        <v>8725</v>
      </c>
      <c r="E10" s="3281" t="s">
        <v>3037</v>
      </c>
      <c r="F10" s="3337">
        <v>148.86000000000001</v>
      </c>
      <c r="G10" s="3337">
        <v>1</v>
      </c>
      <c r="H10" s="3337">
        <f>'输机表-建筑物及附属物'!AH30</f>
        <v>77237</v>
      </c>
      <c r="I10" s="3337"/>
    </row>
    <row r="11" spans="1:9" ht="21.75" customHeight="1">
      <c r="A11" s="3282" t="s">
        <v>3036</v>
      </c>
      <c r="B11" s="3874">
        <v>45.63</v>
      </c>
      <c r="C11" s="3874">
        <v>1</v>
      </c>
      <c r="D11" s="3874">
        <f>'输机表-建筑物及附属物'!K30</f>
        <v>46776</v>
      </c>
      <c r="E11" s="3281" t="s">
        <v>3039</v>
      </c>
      <c r="F11" s="3337">
        <v>755.52</v>
      </c>
      <c r="G11" s="3337">
        <v>1</v>
      </c>
      <c r="H11" s="3337">
        <f>'输机表-建筑物及附属物'!AI30</f>
        <v>763231</v>
      </c>
      <c r="I11" s="3337"/>
    </row>
    <row r="12" spans="1:9" ht="21.75" customHeight="1">
      <c r="A12" s="3282" t="s">
        <v>3038</v>
      </c>
      <c r="B12" s="3874">
        <v>30.3</v>
      </c>
      <c r="C12" s="3874">
        <v>1</v>
      </c>
      <c r="D12" s="3874">
        <f>'输机表-建筑物及附属物'!L30</f>
        <v>21297</v>
      </c>
      <c r="E12" s="3281" t="s">
        <v>3043</v>
      </c>
      <c r="F12" s="3337">
        <v>141.71</v>
      </c>
      <c r="G12" s="3337">
        <v>1</v>
      </c>
      <c r="H12" s="3337">
        <f>'输机表-建筑物及附属物'!AJ30</f>
        <v>103863</v>
      </c>
      <c r="I12" s="3337"/>
    </row>
    <row r="13" spans="1:9" ht="21.75" customHeight="1">
      <c r="A13" s="3282" t="s">
        <v>3040</v>
      </c>
      <c r="B13" s="3874">
        <v>27.07</v>
      </c>
      <c r="C13" s="3874">
        <v>1</v>
      </c>
      <c r="D13" s="3874">
        <f>'输机表-建筑物及附属物'!M30</f>
        <v>26412</v>
      </c>
      <c r="E13" s="3281" t="s">
        <v>3045</v>
      </c>
      <c r="F13" s="3337">
        <v>14.84</v>
      </c>
      <c r="G13" s="3337">
        <v>1</v>
      </c>
      <c r="H13" s="3337">
        <f>'输机表-建筑物及附属物'!AK30</f>
        <v>13687</v>
      </c>
      <c r="I13" s="3337"/>
    </row>
    <row r="14" spans="1:9" ht="21.75" customHeight="1">
      <c r="A14" s="3282" t="s">
        <v>3044</v>
      </c>
      <c r="B14" s="3874">
        <v>96.12</v>
      </c>
      <c r="C14" s="3874">
        <v>1</v>
      </c>
      <c r="D14" s="3874">
        <f>'输机表-建筑物及附属物'!N30</f>
        <v>146951</v>
      </c>
      <c r="E14" s="3281" t="s">
        <v>3047</v>
      </c>
      <c r="F14" s="3337">
        <v>190.68</v>
      </c>
      <c r="G14" s="3337">
        <v>1</v>
      </c>
      <c r="H14" s="3337">
        <f>'输机表-建筑物及附属物'!AL30</f>
        <v>194163</v>
      </c>
      <c r="I14" s="3874"/>
    </row>
    <row r="15" spans="1:9" ht="21.75" customHeight="1">
      <c r="A15" s="3282" t="s">
        <v>3048</v>
      </c>
      <c r="B15" s="3874">
        <v>62.41</v>
      </c>
      <c r="C15" s="3874">
        <v>1</v>
      </c>
      <c r="D15" s="3874">
        <f>'输机表-建筑物及附属物'!O30</f>
        <v>57623</v>
      </c>
      <c r="E15" s="3281" t="s">
        <v>3049</v>
      </c>
      <c r="F15" s="3337">
        <v>248.95</v>
      </c>
      <c r="G15" s="3337">
        <v>1</v>
      </c>
      <c r="H15" s="3337">
        <f>'输机表-建筑物及附属物'!AM30</f>
        <v>175864</v>
      </c>
      <c r="I15" s="3337"/>
    </row>
    <row r="16" spans="1:9" ht="21.75" customHeight="1">
      <c r="A16" s="3282" t="s">
        <v>3050</v>
      </c>
      <c r="B16" s="3874">
        <v>44.91</v>
      </c>
      <c r="C16" s="3874">
        <v>1</v>
      </c>
      <c r="D16" s="3874">
        <f>'输机表-建筑物及附属物'!P30</f>
        <v>39016</v>
      </c>
      <c r="E16" s="3281" t="s">
        <v>3051</v>
      </c>
      <c r="F16" s="3337">
        <v>7.64</v>
      </c>
      <c r="G16" s="3337">
        <v>1</v>
      </c>
      <c r="H16" s="3337">
        <f>'输机表-建筑物及附属物'!AN30</f>
        <v>5040</v>
      </c>
      <c r="I16" s="3337"/>
    </row>
    <row r="17" spans="1:9" ht="21.75" customHeight="1">
      <c r="A17" s="3282" t="s">
        <v>3052</v>
      </c>
      <c r="B17" s="3874">
        <v>53.52</v>
      </c>
      <c r="C17" s="3874">
        <v>1</v>
      </c>
      <c r="D17" s="3874">
        <f>'输机表-建筑物及附属物'!Q30</f>
        <v>43743</v>
      </c>
      <c r="E17" s="3281" t="s">
        <v>3053</v>
      </c>
      <c r="F17" s="3337">
        <v>104.43</v>
      </c>
      <c r="G17" s="3337">
        <v>1</v>
      </c>
      <c r="H17" s="3337">
        <f>'输机表-建筑物及附属物'!AO30</f>
        <v>91953</v>
      </c>
      <c r="I17" s="3337"/>
    </row>
    <row r="18" spans="1:9" ht="21.75" customHeight="1">
      <c r="A18" s="3282" t="s">
        <v>3054</v>
      </c>
      <c r="B18" s="3874">
        <v>198.85</v>
      </c>
      <c r="C18" s="3874">
        <v>1</v>
      </c>
      <c r="D18" s="3874">
        <f>'输机表-建筑物及附属物'!R30</f>
        <v>275054</v>
      </c>
      <c r="E18" s="3281" t="s">
        <v>3055</v>
      </c>
      <c r="F18" s="3337">
        <v>22.81</v>
      </c>
      <c r="G18" s="3337">
        <v>1</v>
      </c>
      <c r="H18" s="3337">
        <f>'输机表-建筑物及附属物'!AP30</f>
        <v>15763</v>
      </c>
      <c r="I18" s="3337"/>
    </row>
    <row r="19" spans="1:9" ht="21.75" customHeight="1">
      <c r="A19" s="3282" t="s">
        <v>3056</v>
      </c>
      <c r="B19" s="3874">
        <v>20.350000000000001</v>
      </c>
      <c r="C19" s="3874">
        <v>1</v>
      </c>
      <c r="D19" s="3874">
        <f>'输机表-建筑物及附属物'!S30</f>
        <v>15718</v>
      </c>
      <c r="E19" s="3281" t="s">
        <v>3057</v>
      </c>
      <c r="F19" s="3337">
        <v>81.99</v>
      </c>
      <c r="G19" s="3337">
        <v>1</v>
      </c>
      <c r="H19" s="3337">
        <f>'输机表-建筑物及附属物'!AQ30</f>
        <v>47968</v>
      </c>
      <c r="I19" s="3337"/>
    </row>
    <row r="20" spans="1:9" ht="21.75" customHeight="1">
      <c r="A20" s="3282" t="s">
        <v>3064</v>
      </c>
      <c r="B20" s="3874">
        <v>30.53</v>
      </c>
      <c r="C20" s="3874">
        <v>1</v>
      </c>
      <c r="D20" s="3874">
        <f>'输机表-建筑物及附属物'!T30</f>
        <v>17600</v>
      </c>
      <c r="E20" s="3281" t="s">
        <v>3059</v>
      </c>
      <c r="F20" s="3337">
        <v>385.42</v>
      </c>
      <c r="G20" s="3337">
        <v>1</v>
      </c>
      <c r="H20" s="3337">
        <f>'输机表-建筑物及附属物'!AR30</f>
        <v>255247</v>
      </c>
      <c r="I20" s="3337"/>
    </row>
    <row r="21" spans="1:9" ht="21.75" customHeight="1">
      <c r="A21" s="3282" t="s">
        <v>3066</v>
      </c>
      <c r="B21" s="3874">
        <v>152.88</v>
      </c>
      <c r="C21" s="3874">
        <v>1</v>
      </c>
      <c r="D21" s="3874">
        <f>'输机表-建筑物及附属物'!U30</f>
        <v>138214</v>
      </c>
      <c r="E21" s="3281" t="s">
        <v>3061</v>
      </c>
      <c r="F21" s="3337">
        <v>16.32</v>
      </c>
      <c r="G21" s="3337">
        <v>1</v>
      </c>
      <c r="H21" s="3337">
        <f>'输机表-建筑物及附属物'!AS30</f>
        <v>16722</v>
      </c>
      <c r="I21" s="3337"/>
    </row>
    <row r="22" spans="1:9" ht="21.75" customHeight="1">
      <c r="A22" s="3282" t="s">
        <v>3068</v>
      </c>
      <c r="B22" s="3874">
        <v>66.97</v>
      </c>
      <c r="C22" s="3874">
        <v>1</v>
      </c>
      <c r="D22" s="3874">
        <f>'输机表-建筑物及附属物'!V30</f>
        <v>50286</v>
      </c>
      <c r="E22" s="3281" t="s">
        <v>3063</v>
      </c>
      <c r="F22" s="3337">
        <v>58.39</v>
      </c>
      <c r="G22" s="3337">
        <v>1</v>
      </c>
      <c r="H22" s="3337">
        <f>'输机表-建筑物及附属物'!AT30</f>
        <v>52293</v>
      </c>
      <c r="I22" s="3337"/>
    </row>
    <row r="23" spans="1:9" ht="21.75" customHeight="1">
      <c r="A23" s="3282" t="s">
        <v>3070</v>
      </c>
      <c r="B23" s="3874">
        <v>119.15</v>
      </c>
      <c r="C23" s="3874">
        <v>1</v>
      </c>
      <c r="D23" s="3874">
        <f>'输机表-建筑物及附属物'!W30</f>
        <v>81999</v>
      </c>
      <c r="E23" s="3281" t="s">
        <v>3065</v>
      </c>
      <c r="F23" s="3337">
        <v>14.42</v>
      </c>
      <c r="G23" s="3337">
        <v>1</v>
      </c>
      <c r="H23" s="3337">
        <f>'输机表-建筑物及附属物'!AU30</f>
        <v>15635</v>
      </c>
      <c r="I23" s="3337"/>
    </row>
    <row r="24" spans="1:9" ht="21.75" customHeight="1">
      <c r="A24" s="3282" t="s">
        <v>3072</v>
      </c>
      <c r="B24" s="3874">
        <v>78.010000000000005</v>
      </c>
      <c r="C24" s="3874">
        <v>1</v>
      </c>
      <c r="D24" s="3874">
        <f>'输机表-建筑物及附属物'!X30</f>
        <v>28388</v>
      </c>
      <c r="E24" s="3281" t="s">
        <v>3067</v>
      </c>
      <c r="F24" s="3337">
        <v>44.17</v>
      </c>
      <c r="G24" s="3337">
        <v>1</v>
      </c>
      <c r="H24" s="3337">
        <f>'输机表-建筑物及附属物'!AV30</f>
        <v>25819</v>
      </c>
      <c r="I24" s="3337"/>
    </row>
    <row r="25" spans="1:9" ht="21.75" customHeight="1">
      <c r="A25" s="3281" t="s">
        <v>3019</v>
      </c>
      <c r="B25" s="3337">
        <v>536.21</v>
      </c>
      <c r="C25" s="3337">
        <v>1</v>
      </c>
      <c r="D25" s="3337">
        <f>'输机表-建筑物及附属物'!Y30</f>
        <v>616133</v>
      </c>
      <c r="E25" s="3281" t="s">
        <v>3069</v>
      </c>
      <c r="F25" s="3337">
        <v>27.48</v>
      </c>
      <c r="G25" s="3337">
        <v>1</v>
      </c>
      <c r="H25" s="3337">
        <f>'输机表-建筑物及附属物'!AW30</f>
        <v>17662</v>
      </c>
      <c r="I25" s="3337"/>
    </row>
    <row r="26" spans="1:9" ht="21.75" customHeight="1">
      <c r="A26" s="3283" t="s">
        <v>3074</v>
      </c>
      <c r="B26" s="3874">
        <f>SUM(B3:B25)</f>
        <v>4976.8700000000008</v>
      </c>
      <c r="C26" s="3874"/>
      <c r="D26" s="3874">
        <f>SUM(D3:D25)</f>
        <v>5557608</v>
      </c>
      <c r="E26" s="3283" t="s">
        <v>3075</v>
      </c>
      <c r="F26" s="3874">
        <f>SUM(F3:F25)</f>
        <v>2808.2999999999997</v>
      </c>
      <c r="G26" s="3874"/>
      <c r="H26" s="3874">
        <f>SUM(H3:H25)</f>
        <v>2494528</v>
      </c>
      <c r="I26" s="3874"/>
    </row>
    <row r="27" spans="1:9" ht="23.25" customHeight="1">
      <c r="A27" s="3875" t="s">
        <v>4198</v>
      </c>
      <c r="B27" s="4409">
        <f>B26+F26</f>
        <v>7785.17</v>
      </c>
      <c r="C27" s="4409"/>
      <c r="D27" s="4409"/>
      <c r="E27" s="4409"/>
      <c r="F27" s="4409"/>
      <c r="G27" s="4409"/>
      <c r="H27" s="4409"/>
      <c r="I27" s="4409"/>
    </row>
    <row r="28" spans="1:9" ht="24.75" customHeight="1">
      <c r="A28" s="3876" t="s">
        <v>4199</v>
      </c>
      <c r="B28" s="4409">
        <f>D26+H26</f>
        <v>8052136</v>
      </c>
      <c r="C28" s="4409"/>
      <c r="D28" s="4409"/>
      <c r="E28" s="4409"/>
      <c r="F28" s="4409"/>
      <c r="G28" s="4409"/>
      <c r="H28" s="4409"/>
      <c r="I28" s="4409"/>
    </row>
  </sheetData>
  <mergeCells count="3">
    <mergeCell ref="A1:I1"/>
    <mergeCell ref="B27:I27"/>
    <mergeCell ref="B28:I28"/>
  </mergeCells>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44268</v>
      </c>
      <c r="H1" s="2655">
        <f>IF(C1&gt;C13,0,MATCH(C1,C$13:C$100,-1))+IF(SUMIF(C13:C100,C1,D13:D100)=0,13,12)</f>
        <v>13</v>
      </c>
      <c r="I1" s="2655">
        <f ca="1">MATCH(C2,H3:H7,1)+IF(SUMIF(H3:H7,C2,I3:I7)=0,2,1)</f>
        <v>4</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v>
      </c>
      <c r="D2" s="2717" t="s">
        <v>2769</v>
      </c>
      <c r="E2" s="2720">
        <f ca="1">INDIRECT("I"&amp;$I$1)/100</f>
        <v>4.3499999999999997E-2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39" t="s">
        <v>2027</v>
      </c>
      <c r="B1" s="3939"/>
      <c r="C1" s="3939"/>
      <c r="D1" s="3939"/>
      <c r="E1" s="3939"/>
      <c r="F1" s="3939"/>
      <c r="G1" s="3939"/>
      <c r="H1" s="3939"/>
      <c r="I1" s="3939"/>
      <c r="J1" s="3939"/>
      <c r="K1" s="3939"/>
      <c r="L1" s="3939"/>
      <c r="M1" s="3939"/>
      <c r="N1" s="3939"/>
      <c r="O1" s="3939"/>
      <c r="P1" s="3939"/>
      <c r="Q1" s="3939"/>
      <c r="R1" s="3939"/>
    </row>
    <row r="2" spans="1:18">
      <c r="A2" s="1722" t="s">
        <v>2029</v>
      </c>
      <c r="B2" s="1722"/>
      <c r="C2" s="1722"/>
      <c r="D2" s="1722"/>
      <c r="E2" s="1722"/>
      <c r="F2" s="1722"/>
      <c r="G2" s="1722"/>
      <c r="H2" s="1722"/>
      <c r="I2" s="1723"/>
      <c r="J2" s="1723"/>
      <c r="K2" s="1724" t="str">
        <f>"估价期日："&amp;TEXT(项目基本情况!D3,"yyyy年m月d日;;")</f>
        <v>估价期日：2021年3月13日</v>
      </c>
      <c r="L2" s="1722"/>
      <c r="M2" s="1722"/>
      <c r="N2" s="1722"/>
      <c r="O2" s="1722"/>
      <c r="P2" s="1722"/>
      <c r="Q2" s="1722"/>
      <c r="R2" s="1724" t="str">
        <f>"估价期日的国有建设用地使用权性质："&amp;项目基本情况!B16</f>
        <v>估价期日的国有建设用地使用权性质：划拨</v>
      </c>
    </row>
    <row r="3" spans="1:18" ht="23.25" customHeight="1">
      <c r="A3" s="3940" t="s">
        <v>2018</v>
      </c>
      <c r="B3" s="3940" t="s">
        <v>2712</v>
      </c>
      <c r="C3" s="3941" t="s">
        <v>2019</v>
      </c>
      <c r="D3" s="3940" t="s">
        <v>2716</v>
      </c>
      <c r="E3" s="3943" t="s">
        <v>2020</v>
      </c>
      <c r="F3" s="3943"/>
      <c r="G3" s="3943"/>
      <c r="H3" s="3943" t="s">
        <v>2021</v>
      </c>
      <c r="I3" s="3943"/>
      <c r="J3" s="3943"/>
      <c r="K3" s="3941" t="s">
        <v>2022</v>
      </c>
      <c r="L3" s="3941" t="s">
        <v>2023</v>
      </c>
      <c r="M3" s="3940" t="s">
        <v>2713</v>
      </c>
      <c r="N3" s="3942" t="str">
        <f>"（分摊）"&amp;项目基本情况!B16&amp;"国有建设用地使用权面积/㎡"</f>
        <v>（分摊）划拨国有建设用地使用权面积/㎡</v>
      </c>
      <c r="O3" s="3940" t="s">
        <v>2052</v>
      </c>
      <c r="P3" s="3941" t="s">
        <v>2032</v>
      </c>
      <c r="Q3" s="3941" t="s">
        <v>2053</v>
      </c>
      <c r="R3" s="3941" t="s">
        <v>2024</v>
      </c>
    </row>
    <row r="4" spans="1:18" ht="36.75" customHeight="1">
      <c r="A4" s="3940"/>
      <c r="B4" s="3940"/>
      <c r="C4" s="3941"/>
      <c r="D4" s="3940"/>
      <c r="E4" s="2491" t="s">
        <v>2031</v>
      </c>
      <c r="F4" s="2491" t="s">
        <v>2725</v>
      </c>
      <c r="G4" s="2491" t="s">
        <v>2025</v>
      </c>
      <c r="H4" s="2491" t="s">
        <v>2026</v>
      </c>
      <c r="I4" s="2491" t="s">
        <v>2726</v>
      </c>
      <c r="J4" s="2491" t="s">
        <v>2025</v>
      </c>
      <c r="K4" s="3941"/>
      <c r="L4" s="3941"/>
      <c r="M4" s="3940"/>
      <c r="N4" s="3942"/>
      <c r="O4" s="3940"/>
      <c r="P4" s="3941"/>
      <c r="Q4" s="3941"/>
      <c r="R4" s="394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26088.75</v>
      </c>
      <c r="O5" s="1725">
        <f>项目基本情况!C21</f>
        <v>26088.75</v>
      </c>
      <c r="P5" s="1725">
        <f ca="1">结果表!E42</f>
        <v>756</v>
      </c>
      <c r="Q5" s="1725">
        <f ca="1">结果表!D42</f>
        <v>756</v>
      </c>
      <c r="R5" s="1726">
        <f ca="1">结果表!C42</f>
        <v>1973</v>
      </c>
    </row>
    <row r="6" spans="1:18">
      <c r="A6" s="3936" t="str">
        <f>IF(项目基本情况!B9="市场价格","——","抵押价格")</f>
        <v>——</v>
      </c>
      <c r="B6" s="3937"/>
      <c r="C6" s="3937"/>
      <c r="D6" s="3937"/>
      <c r="E6" s="3937"/>
      <c r="F6" s="3937"/>
      <c r="G6" s="3937"/>
      <c r="H6" s="3937"/>
      <c r="I6" s="3937"/>
      <c r="J6" s="3937"/>
      <c r="K6" s="3937"/>
      <c r="L6" s="3937"/>
      <c r="M6" s="3937"/>
      <c r="N6" s="3937"/>
      <c r="O6" s="3937"/>
      <c r="P6" s="3937"/>
      <c r="Q6" s="3938"/>
      <c r="R6" s="1727" t="str">
        <f>结果表!O39</f>
        <v>——</v>
      </c>
    </row>
    <row r="7" spans="1:18">
      <c r="A7" s="3936" t="str">
        <f>IF(项目基本情况!B9="市场价格","——",IF(项目基本情况!E8="已注销及未注销","抵押担保权已注销时的抵押价格","——"))</f>
        <v>——</v>
      </c>
      <c r="B7" s="3937"/>
      <c r="C7" s="3937"/>
      <c r="D7" s="3937"/>
      <c r="E7" s="3937"/>
      <c r="F7" s="3937"/>
      <c r="G7" s="3937"/>
      <c r="H7" s="3937"/>
      <c r="I7" s="3937"/>
      <c r="J7" s="3937"/>
      <c r="K7" s="3937"/>
      <c r="L7" s="3937"/>
      <c r="M7" s="3937"/>
      <c r="N7" s="3937"/>
      <c r="O7" s="3937"/>
      <c r="P7" s="3937"/>
      <c r="Q7" s="3938"/>
      <c r="R7" s="1727" t="str">
        <f>结果表!O40</f>
        <v>——</v>
      </c>
    </row>
    <row r="8" spans="1:18">
      <c r="A8" s="3936" t="str">
        <f>IF(项目基本情况!B9="市场价格","——",项目基本情况!E9)</f>
        <v>——</v>
      </c>
      <c r="B8" s="3937"/>
      <c r="C8" s="3937"/>
      <c r="D8" s="3937"/>
      <c r="E8" s="3937"/>
      <c r="F8" s="3937"/>
      <c r="G8" s="3937"/>
      <c r="H8" s="3937"/>
      <c r="I8" s="3937"/>
      <c r="J8" s="3937"/>
      <c r="K8" s="3937"/>
      <c r="L8" s="3937"/>
      <c r="M8" s="3937"/>
      <c r="N8" s="3937"/>
      <c r="O8" s="3937"/>
      <c r="P8" s="3937"/>
      <c r="Q8" s="3938"/>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tabColor theme="7" tint="-0.249977111117893"/>
  </sheetPr>
  <dimension ref="A1:I84"/>
  <sheetViews>
    <sheetView workbookViewId="0">
      <selection activeCell="G85" sqref="G85"/>
    </sheetView>
  </sheetViews>
  <sheetFormatPr defaultRowHeight="13.5"/>
  <cols>
    <col min="1" max="1" width="13.125" style="3248" customWidth="1"/>
    <col min="2" max="2" width="9.5" style="3248" customWidth="1"/>
    <col min="3" max="3" width="6.375" style="3248" customWidth="1"/>
    <col min="4" max="4" width="7.875" style="3248" customWidth="1"/>
    <col min="5" max="5" width="19.625" style="3248" customWidth="1"/>
    <col min="6" max="6" width="9.5" style="3248" customWidth="1"/>
    <col min="7" max="7" width="8.75" style="3248" customWidth="1"/>
    <col min="8" max="8" width="8.875" style="3248" customWidth="1"/>
    <col min="9" max="9" width="9" style="3248"/>
    <col min="10" max="10" width="16.375" style="3248" customWidth="1"/>
    <col min="11" max="16384" width="9" style="3248"/>
  </cols>
  <sheetData>
    <row r="1" spans="1:8" ht="27" customHeight="1">
      <c r="A1" s="4414" t="s">
        <v>4144</v>
      </c>
      <c r="B1" s="4415"/>
      <c r="C1" s="4415"/>
      <c r="D1" s="4415"/>
      <c r="E1" s="4415"/>
      <c r="F1" s="4415"/>
      <c r="G1" s="4415"/>
      <c r="H1" s="4416"/>
    </row>
    <row r="2" spans="1:8" ht="27" customHeight="1">
      <c r="A2" s="3877" t="s">
        <v>3407</v>
      </c>
      <c r="B2" s="3877" t="s">
        <v>4146</v>
      </c>
      <c r="C2" s="3877" t="s">
        <v>3332</v>
      </c>
      <c r="D2" s="3877" t="s">
        <v>3350</v>
      </c>
      <c r="E2" s="3877" t="s">
        <v>3407</v>
      </c>
      <c r="F2" s="3877" t="s">
        <v>4146</v>
      </c>
      <c r="G2" s="3877" t="s">
        <v>3332</v>
      </c>
      <c r="H2" s="3877" t="s">
        <v>3350</v>
      </c>
    </row>
    <row r="3" spans="1:8" ht="27" customHeight="1">
      <c r="A3" s="3877" t="s">
        <v>4204</v>
      </c>
      <c r="B3" s="3877">
        <f>'输机表-建筑物及附属物'!B38</f>
        <v>18144</v>
      </c>
      <c r="C3" s="3877">
        <v>147</v>
      </c>
      <c r="D3" s="3877" t="s">
        <v>3362</v>
      </c>
      <c r="E3" s="3877" t="s">
        <v>4217</v>
      </c>
      <c r="F3" s="3877">
        <f>'输机表-建筑物及附属物'!B50</f>
        <v>4215</v>
      </c>
      <c r="G3" s="3877">
        <v>33.58</v>
      </c>
      <c r="H3" s="3877" t="s">
        <v>3369</v>
      </c>
    </row>
    <row r="4" spans="1:8" ht="27" customHeight="1">
      <c r="A4" s="3877" t="s">
        <v>3702</v>
      </c>
      <c r="B4" s="3877">
        <f>'输机表-建筑物及附属物'!C38</f>
        <v>2696</v>
      </c>
      <c r="C4" s="3877">
        <v>7</v>
      </c>
      <c r="D4" s="3877" t="s">
        <v>3362</v>
      </c>
      <c r="E4" s="3877" t="s">
        <v>4218</v>
      </c>
      <c r="F4" s="3877">
        <f>'输机表-建筑物及附属物'!C50</f>
        <v>8314</v>
      </c>
      <c r="G4" s="3877">
        <v>72</v>
      </c>
      <c r="H4" s="3877" t="s">
        <v>4229</v>
      </c>
    </row>
    <row r="5" spans="1:8" ht="27" customHeight="1">
      <c r="A5" s="3877" t="s">
        <v>4205</v>
      </c>
      <c r="B5" s="3877">
        <f>'输机表-建筑物及附属物'!D38</f>
        <v>642</v>
      </c>
      <c r="C5" s="3877">
        <v>2</v>
      </c>
      <c r="D5" s="3877" t="s">
        <v>3362</v>
      </c>
      <c r="E5" s="3877" t="s">
        <v>4219</v>
      </c>
      <c r="F5" s="3877">
        <f>'输机表-建筑物及附属物'!D50</f>
        <v>5658</v>
      </c>
      <c r="G5" s="3877">
        <v>56.35</v>
      </c>
      <c r="H5" s="3877" t="s">
        <v>3369</v>
      </c>
    </row>
    <row r="6" spans="1:8" ht="27" customHeight="1">
      <c r="A6" s="3877" t="s">
        <v>4206</v>
      </c>
      <c r="B6" s="3877">
        <f>'输机表-建筑物及附属物'!E38</f>
        <v>11715</v>
      </c>
      <c r="C6" s="3877">
        <v>28</v>
      </c>
      <c r="D6" s="3877" t="s">
        <v>3362</v>
      </c>
      <c r="E6" s="3877" t="s">
        <v>4220</v>
      </c>
      <c r="F6" s="3877">
        <f>'输机表-建筑物及附属物'!F50</f>
        <v>89166</v>
      </c>
      <c r="G6" s="3877">
        <v>1720.04</v>
      </c>
      <c r="H6" s="3877" t="s">
        <v>3369</v>
      </c>
    </row>
    <row r="7" spans="1:8" ht="27" customHeight="1">
      <c r="A7" s="3877" t="s">
        <v>4207</v>
      </c>
      <c r="B7" s="3877">
        <f>'输机表-建筑物及附属物'!F38</f>
        <v>4350</v>
      </c>
      <c r="C7" s="3877">
        <v>2</v>
      </c>
      <c r="D7" s="3877" t="s">
        <v>3362</v>
      </c>
      <c r="E7" s="3877" t="s">
        <v>4221</v>
      </c>
      <c r="F7" s="3877">
        <f>'输机表-建筑物及附属物'!G50</f>
        <v>104198</v>
      </c>
      <c r="G7" s="3877">
        <v>2010</v>
      </c>
      <c r="H7" s="3877" t="s">
        <v>3369</v>
      </c>
    </row>
    <row r="8" spans="1:8" ht="27" customHeight="1">
      <c r="A8" s="3877" t="s">
        <v>4208</v>
      </c>
      <c r="B8" s="3877">
        <f>'输机表-建筑物及附属物'!G38</f>
        <v>3730</v>
      </c>
      <c r="C8" s="3877">
        <v>74.290000000000006</v>
      </c>
      <c r="D8" s="3877" t="s">
        <v>3369</v>
      </c>
      <c r="E8" s="3878" t="s">
        <v>4222</v>
      </c>
      <c r="F8" s="3877">
        <f>'输机表-建筑物及附属物'!H50</f>
        <v>1178836</v>
      </c>
      <c r="G8" s="3877">
        <v>22740</v>
      </c>
      <c r="H8" s="3877" t="s">
        <v>3369</v>
      </c>
    </row>
    <row r="9" spans="1:8" ht="27" customHeight="1">
      <c r="A9" s="3877" t="s">
        <v>4209</v>
      </c>
      <c r="B9" s="3877">
        <f>'输机表-建筑物及附属物'!H38</f>
        <v>26937</v>
      </c>
      <c r="C9" s="3877">
        <v>99.2</v>
      </c>
      <c r="D9" s="3877" t="s">
        <v>3369</v>
      </c>
      <c r="E9" s="3878" t="s">
        <v>4223</v>
      </c>
      <c r="F9" s="3879">
        <f>'输机表-建筑物及附属物'!B56</f>
        <v>13330</v>
      </c>
      <c r="G9" s="3877">
        <f>'输机表-建筑物及附属物'!B53</f>
        <v>45</v>
      </c>
      <c r="H9" s="3877" t="s">
        <v>3369</v>
      </c>
    </row>
    <row r="10" spans="1:8" ht="27" customHeight="1">
      <c r="A10" s="3877" t="s">
        <v>4210</v>
      </c>
      <c r="B10" s="3877">
        <f>'输机表-建筑物及附属物'!B44</f>
        <v>16736</v>
      </c>
      <c r="C10" s="3877">
        <v>10</v>
      </c>
      <c r="D10" s="3877" t="s">
        <v>3362</v>
      </c>
      <c r="E10" s="3878" t="s">
        <v>4224</v>
      </c>
      <c r="F10" s="3877">
        <f>'输机表-建筑物及附属物'!BH30</f>
        <v>15039</v>
      </c>
      <c r="G10" s="3877">
        <f>'输机表-建筑物及附属物'!BH8</f>
        <v>45</v>
      </c>
      <c r="H10" s="3877" t="s">
        <v>3369</v>
      </c>
    </row>
    <row r="11" spans="1:8" ht="27" customHeight="1">
      <c r="A11" s="3877" t="s">
        <v>4211</v>
      </c>
      <c r="B11" s="3877">
        <f>'输机表-建筑物及附属物'!C44</f>
        <v>5021</v>
      </c>
      <c r="C11" s="3877">
        <v>2</v>
      </c>
      <c r="D11" s="3877" t="s">
        <v>3362</v>
      </c>
      <c r="E11" s="3878" t="s">
        <v>4225</v>
      </c>
      <c r="F11" s="3877">
        <f>'输机表-建筑物及附属物'!BI30</f>
        <v>15039</v>
      </c>
      <c r="G11" s="3877">
        <f>'输机表-建筑物及附属物'!BI8</f>
        <v>45</v>
      </c>
      <c r="H11" s="3877" t="s">
        <v>3369</v>
      </c>
    </row>
    <row r="12" spans="1:8" ht="27" customHeight="1">
      <c r="A12" s="3877" t="s">
        <v>4212</v>
      </c>
      <c r="B12" s="3877">
        <f>'输机表-建筑物及附属物'!D44</f>
        <v>3942</v>
      </c>
      <c r="C12" s="3877">
        <v>13.46</v>
      </c>
      <c r="D12" s="3877" t="s">
        <v>3369</v>
      </c>
      <c r="E12" s="3880" t="s">
        <v>4226</v>
      </c>
      <c r="F12" s="3879">
        <f>'输机表-建筑物及附属物'!C56</f>
        <v>1106</v>
      </c>
      <c r="G12" s="3877">
        <v>16</v>
      </c>
      <c r="H12" s="3877" t="s">
        <v>4231</v>
      </c>
    </row>
    <row r="13" spans="1:8" ht="27" customHeight="1">
      <c r="A13" s="3877" t="s">
        <v>4213</v>
      </c>
      <c r="B13" s="3877">
        <f>'输机表-建筑物及附属物'!E44</f>
        <v>156</v>
      </c>
      <c r="C13" s="3877">
        <v>6.3</v>
      </c>
      <c r="D13" s="3877" t="s">
        <v>4229</v>
      </c>
      <c r="E13" s="3878" t="s">
        <v>4227</v>
      </c>
      <c r="F13" s="3879">
        <f>'附属物-墙地棚'!D31</f>
        <v>177290</v>
      </c>
      <c r="G13" s="3877">
        <f>'附属物-墙地棚'!B31</f>
        <v>828.63000000000011</v>
      </c>
      <c r="H13" s="3877" t="s">
        <v>4230</v>
      </c>
    </row>
    <row r="14" spans="1:8" ht="27" customHeight="1">
      <c r="A14" s="3877" t="s">
        <v>4214</v>
      </c>
      <c r="B14" s="3877">
        <f>'输机表-建筑物及附属物'!F44</f>
        <v>8504</v>
      </c>
      <c r="C14" s="3877">
        <v>13</v>
      </c>
      <c r="D14" s="3877" t="s">
        <v>3362</v>
      </c>
      <c r="E14" s="3881" t="s">
        <v>4228</v>
      </c>
      <c r="F14" s="3879">
        <f>SUM(G18:G23)</f>
        <v>955340</v>
      </c>
      <c r="G14" s="3877"/>
      <c r="H14" s="3877"/>
    </row>
    <row r="15" spans="1:8" ht="27" customHeight="1">
      <c r="A15" s="3877" t="s">
        <v>4215</v>
      </c>
      <c r="B15" s="3877">
        <f>'输机表-建筑物及附属物'!G44</f>
        <v>4118</v>
      </c>
      <c r="C15" s="3877">
        <v>12</v>
      </c>
      <c r="D15" s="3877" t="s">
        <v>3362</v>
      </c>
    </row>
    <row r="16" spans="1:8" ht="27" customHeight="1">
      <c r="A16" s="3877" t="s">
        <v>4216</v>
      </c>
      <c r="B16" s="3877">
        <f>'输机表-建筑物及附属物'!H44</f>
        <v>3012</v>
      </c>
      <c r="C16" s="3877">
        <v>9</v>
      </c>
      <c r="D16" s="3877" t="s">
        <v>4230</v>
      </c>
      <c r="E16" s="3882" t="s">
        <v>4169</v>
      </c>
      <c r="F16" s="4411">
        <f>SUM(B3:B16)+SUM(F3:F15)</f>
        <v>2677234</v>
      </c>
      <c r="G16" s="4412"/>
      <c r="H16" s="4413"/>
    </row>
    <row r="17" spans="1:9" ht="15.75" customHeight="1"/>
    <row r="18" spans="1:9" ht="21" customHeight="1">
      <c r="F18" s="3877" t="s">
        <v>4253</v>
      </c>
      <c r="G18" s="3248">
        <v>303696</v>
      </c>
      <c r="H18" s="3248">
        <v>1500</v>
      </c>
      <c r="I18" s="3248" t="s">
        <v>4269</v>
      </c>
    </row>
    <row r="19" spans="1:9" ht="21" customHeight="1">
      <c r="F19" s="3877" t="s">
        <v>4160</v>
      </c>
      <c r="G19" s="3248">
        <v>197759</v>
      </c>
      <c r="H19" s="3248">
        <v>1496</v>
      </c>
    </row>
    <row r="20" spans="1:9" ht="21" customHeight="1">
      <c r="A20" s="4410" t="s">
        <v>4203</v>
      </c>
      <c r="B20" s="4410"/>
      <c r="C20" s="4410"/>
      <c r="D20" s="4410"/>
      <c r="F20" s="3877" t="s">
        <v>4161</v>
      </c>
      <c r="G20" s="3248">
        <v>139924</v>
      </c>
      <c r="H20" s="3248">
        <v>500</v>
      </c>
    </row>
    <row r="21" spans="1:9" ht="21" customHeight="1">
      <c r="A21" s="3883" t="s">
        <v>3022</v>
      </c>
      <c r="B21" s="3851">
        <v>26.23</v>
      </c>
      <c r="C21" s="3851">
        <v>1</v>
      </c>
      <c r="D21" s="3851">
        <f>'输机表-建筑物及附属物'!AX30</f>
        <v>0</v>
      </c>
      <c r="F21" s="3877" t="s">
        <v>4162</v>
      </c>
      <c r="G21" s="3892">
        <v>145504</v>
      </c>
      <c r="H21" s="3248">
        <v>800</v>
      </c>
    </row>
    <row r="22" spans="1:9" ht="21" customHeight="1">
      <c r="A22" s="3883" t="s">
        <v>3042</v>
      </c>
      <c r="B22" s="3851">
        <v>208.67</v>
      </c>
      <c r="C22" s="3851">
        <v>1</v>
      </c>
      <c r="D22" s="3851">
        <f>'输机表-建筑物及附属物'!AY30</f>
        <v>56447</v>
      </c>
      <c r="F22" s="3877" t="s">
        <v>4164</v>
      </c>
      <c r="G22" s="3892">
        <v>26438</v>
      </c>
      <c r="H22" s="3248">
        <v>200</v>
      </c>
    </row>
    <row r="23" spans="1:9" ht="27">
      <c r="A23" s="3883" t="s">
        <v>3046</v>
      </c>
      <c r="B23" s="3851">
        <v>105.35</v>
      </c>
      <c r="C23" s="3851">
        <v>1</v>
      </c>
      <c r="D23" s="3851">
        <f>'输机表-建筑物及附属物'!AZ30</f>
        <v>24490</v>
      </c>
      <c r="F23" s="3877" t="s">
        <v>4166</v>
      </c>
      <c r="G23" s="3892">
        <v>142019</v>
      </c>
      <c r="H23" s="3248">
        <v>400</v>
      </c>
    </row>
    <row r="24" spans="1:9">
      <c r="A24" s="3883" t="s">
        <v>3058</v>
      </c>
      <c r="B24" s="3851">
        <v>119.22</v>
      </c>
      <c r="C24" s="3851">
        <v>1</v>
      </c>
      <c r="D24" s="3851">
        <f>'输机表-建筑物及附属物'!BA30</f>
        <v>35650</v>
      </c>
    </row>
    <row r="25" spans="1:9">
      <c r="A25" s="3883" t="s">
        <v>3060</v>
      </c>
      <c r="B25" s="3851">
        <v>7.45</v>
      </c>
      <c r="C25" s="3851">
        <v>1</v>
      </c>
      <c r="D25" s="3851">
        <f>'输机表-建筑物及附属物'!BB30</f>
        <v>1718</v>
      </c>
      <c r="G25" s="3906">
        <f>F16+95</f>
        <v>2677329</v>
      </c>
    </row>
    <row r="26" spans="1:9">
      <c r="A26" s="3883" t="s">
        <v>3062</v>
      </c>
      <c r="B26" s="3851">
        <v>16.39</v>
      </c>
      <c r="C26" s="3851">
        <v>1</v>
      </c>
      <c r="D26" s="3851">
        <f>'输机表-建筑物及附属物'!BC30</f>
        <v>2771</v>
      </c>
    </row>
    <row r="27" spans="1:9">
      <c r="A27" s="3883" t="s">
        <v>3023</v>
      </c>
      <c r="B27" s="3851">
        <v>137.52000000000001</v>
      </c>
      <c r="C27" s="3851">
        <v>1</v>
      </c>
      <c r="D27" s="3851">
        <f>'输机表-建筑物及附属物'!BD30</f>
        <v>23252</v>
      </c>
      <c r="E27" s="3906">
        <f>F16+'附属物-树木'!F50</f>
        <v>2737399</v>
      </c>
    </row>
    <row r="28" spans="1:9">
      <c r="A28" s="3883" t="s">
        <v>3041</v>
      </c>
      <c r="B28" s="3851">
        <v>94.57</v>
      </c>
      <c r="C28" s="3851">
        <v>1</v>
      </c>
      <c r="D28" s="3851">
        <f>'输机表-建筑物及附属物'!BE30</f>
        <v>15990</v>
      </c>
    </row>
    <row r="29" spans="1:9">
      <c r="A29" s="3883" t="s">
        <v>3071</v>
      </c>
      <c r="B29" s="3851">
        <v>12.85</v>
      </c>
      <c r="C29" s="3851">
        <v>1</v>
      </c>
      <c r="D29" s="3851">
        <v>0</v>
      </c>
    </row>
    <row r="30" spans="1:9">
      <c r="A30" s="3883" t="s">
        <v>3073</v>
      </c>
      <c r="B30" s="3851">
        <v>100.38</v>
      </c>
      <c r="C30" s="3851">
        <v>1</v>
      </c>
      <c r="D30" s="3851">
        <f>'输机表-建筑物及附属物'!BG30</f>
        <v>16972</v>
      </c>
    </row>
    <row r="31" spans="1:9">
      <c r="A31" s="3851" t="s">
        <v>4202</v>
      </c>
      <c r="B31" s="3851">
        <f>SUM(B21:B30)</f>
        <v>828.63000000000011</v>
      </c>
      <c r="C31" s="3851"/>
      <c r="D31" s="3851">
        <f>SUM(D21:D30)</f>
        <v>177290</v>
      </c>
    </row>
    <row r="32" spans="1:9">
      <c r="E32" s="3906">
        <f>F16+D31+'附属物-树木'!F50</f>
        <v>2914689</v>
      </c>
    </row>
    <row r="41" spans="4:7" ht="14.25" thickBot="1"/>
    <row r="42" spans="4:7" ht="15.75" thickBot="1">
      <c r="D42" s="3908">
        <v>1.8144</v>
      </c>
      <c r="G42" s="3908">
        <v>1.8144</v>
      </c>
    </row>
    <row r="43" spans="4:7" ht="15.75" thickBot="1">
      <c r="D43" s="3909">
        <v>0.26960000000000001</v>
      </c>
      <c r="G43" s="3909">
        <v>0.26960000000000001</v>
      </c>
    </row>
    <row r="44" spans="4:7" ht="15.75" thickBot="1">
      <c r="D44" s="3909">
        <v>6.4199999999999993E-2</v>
      </c>
      <c r="G44" s="3909">
        <v>6.4199999999999993E-2</v>
      </c>
    </row>
    <row r="45" spans="4:7" ht="15.75" thickBot="1">
      <c r="D45" s="3909">
        <v>1.1715</v>
      </c>
      <c r="G45" s="3909">
        <v>1.1715</v>
      </c>
    </row>
    <row r="46" spans="4:7" ht="15.75" thickBot="1">
      <c r="D46" s="3909">
        <v>0.435</v>
      </c>
      <c r="G46" s="3909">
        <v>0.435</v>
      </c>
    </row>
    <row r="47" spans="4:7" ht="15.75" thickBot="1">
      <c r="D47" s="3909">
        <v>0.373</v>
      </c>
      <c r="G47" s="3909">
        <v>0.373</v>
      </c>
    </row>
    <row r="48" spans="4:7" ht="15.75" thickBot="1">
      <c r="D48" s="3909">
        <v>2.6937000000000002</v>
      </c>
      <c r="G48" s="3909">
        <v>2.6937000000000002</v>
      </c>
    </row>
    <row r="49" spans="4:7" ht="15.75" thickBot="1">
      <c r="D49" s="3909">
        <v>1.6736</v>
      </c>
      <c r="G49" s="3909">
        <v>1.6736</v>
      </c>
    </row>
    <row r="50" spans="4:7" ht="15.75" thickBot="1">
      <c r="D50" s="3909">
        <v>0.50209999999999999</v>
      </c>
      <c r="G50" s="3909">
        <v>0.50209999999999999</v>
      </c>
    </row>
    <row r="51" spans="4:7" ht="15.75" thickBot="1">
      <c r="D51" s="3909">
        <v>0.39419999999999999</v>
      </c>
      <c r="G51" s="3909">
        <v>0.39419999999999999</v>
      </c>
    </row>
    <row r="52" spans="4:7" ht="15.75" thickBot="1">
      <c r="D52" s="3909">
        <v>1.5599999999999999E-2</v>
      </c>
      <c r="G52" s="3909">
        <v>1.5599999999999999E-2</v>
      </c>
    </row>
    <row r="53" spans="4:7" ht="15.75" thickBot="1">
      <c r="D53" s="3909">
        <v>0.85040000000000004</v>
      </c>
      <c r="G53" s="3909">
        <v>0.85040000000000004</v>
      </c>
    </row>
    <row r="54" spans="4:7" ht="15.75" thickBot="1">
      <c r="D54" s="3909">
        <v>0.4118</v>
      </c>
      <c r="G54" s="3909">
        <v>0.4118</v>
      </c>
    </row>
    <row r="55" spans="4:7" ht="15.75" thickBot="1">
      <c r="D55" s="3909">
        <v>0.30120000000000002</v>
      </c>
      <c r="G55" s="3909">
        <v>0.30120000000000002</v>
      </c>
    </row>
    <row r="56" spans="4:7" ht="15.75" thickBot="1">
      <c r="D56" s="3909">
        <v>0.42149999999999999</v>
      </c>
      <c r="G56" s="3909">
        <v>0.42149999999999999</v>
      </c>
    </row>
    <row r="57" spans="4:7" ht="15.75" thickBot="1">
      <c r="D57" s="3909">
        <v>0.83140000000000003</v>
      </c>
      <c r="G57" s="3909">
        <v>0.83140000000000003</v>
      </c>
    </row>
    <row r="58" spans="4:7" ht="15.75" thickBot="1">
      <c r="D58" s="3909">
        <v>0.56579999999999997</v>
      </c>
      <c r="G58" s="3909">
        <v>0.56579999999999997</v>
      </c>
    </row>
    <row r="59" spans="4:7" ht="15.75" thickBot="1">
      <c r="D59" s="3909">
        <v>8.9166000000000007</v>
      </c>
      <c r="G59" s="3909">
        <v>8.9166000000000007</v>
      </c>
    </row>
    <row r="60" spans="4:7" ht="15.75" thickBot="1">
      <c r="D60" s="3909">
        <v>10.4198</v>
      </c>
      <c r="G60" s="3909">
        <v>10.4198</v>
      </c>
    </row>
    <row r="61" spans="4:7" ht="15.75" thickBot="1">
      <c r="D61" s="3909">
        <v>117.8836</v>
      </c>
      <c r="G61" s="3909">
        <v>117.8836</v>
      </c>
    </row>
    <row r="62" spans="4:7" ht="15.75" thickBot="1">
      <c r="D62" s="3909">
        <v>1.333</v>
      </c>
      <c r="G62" s="3909">
        <v>1.333</v>
      </c>
    </row>
    <row r="63" spans="4:7" ht="15.75" thickBot="1">
      <c r="D63" s="3909">
        <v>1.5039</v>
      </c>
      <c r="G63" s="3909">
        <v>1.3882000000000001</v>
      </c>
    </row>
    <row r="64" spans="4:7" ht="15.75" thickBot="1">
      <c r="D64" s="3909">
        <v>1.5039</v>
      </c>
      <c r="G64" s="3909">
        <v>1.3882000000000001</v>
      </c>
    </row>
    <row r="65" spans="4:7" ht="15.75" thickBot="1">
      <c r="D65" s="3909">
        <v>0.1106</v>
      </c>
      <c r="G65" s="3909">
        <v>0.1106</v>
      </c>
    </row>
    <row r="66" spans="4:7" ht="15.75" thickBot="1">
      <c r="D66" s="3909">
        <v>17.728999999999999</v>
      </c>
      <c r="G66" s="3909">
        <v>16.365300000000001</v>
      </c>
    </row>
    <row r="67" spans="4:7" ht="15.75" thickBot="1">
      <c r="D67" s="3909">
        <v>0.26</v>
      </c>
      <c r="G67" s="3909">
        <v>0.26</v>
      </c>
    </row>
    <row r="68" spans="4:7" ht="15.75" thickBot="1">
      <c r="D68" s="3909">
        <v>0.6</v>
      </c>
      <c r="G68" s="3909">
        <v>0.6</v>
      </c>
    </row>
    <row r="69" spans="4:7" ht="15.75" thickBot="1">
      <c r="D69" s="3909">
        <v>0.08</v>
      </c>
      <c r="G69" s="3909">
        <v>0.08</v>
      </c>
    </row>
    <row r="70" spans="4:7" ht="15.75" thickBot="1">
      <c r="D70" s="3909">
        <v>0.04</v>
      </c>
      <c r="G70" s="3909">
        <v>0.04</v>
      </c>
    </row>
    <row r="71" spans="4:7" ht="15.75" thickBot="1">
      <c r="D71" s="3909">
        <v>0.05</v>
      </c>
      <c r="G71" s="3909">
        <v>0.05</v>
      </c>
    </row>
    <row r="72" spans="4:7" ht="15.75" thickBot="1">
      <c r="D72" s="3909">
        <v>3.6539999999999999</v>
      </c>
      <c r="G72" s="3909">
        <v>3.6539999999999999</v>
      </c>
    </row>
    <row r="73" spans="4:7" ht="15.75" thickBot="1">
      <c r="D73" s="3909">
        <v>0.2</v>
      </c>
      <c r="G73" s="3909">
        <v>0.2</v>
      </c>
    </row>
    <row r="74" spans="4:7" ht="15.75" thickBot="1">
      <c r="D74" s="3909">
        <v>0.29249999999999998</v>
      </c>
      <c r="G74" s="3909">
        <v>0.29249999999999998</v>
      </c>
    </row>
    <row r="75" spans="4:7" ht="15.75" thickBot="1">
      <c r="D75" s="3909">
        <v>0.05</v>
      </c>
      <c r="G75" s="3909">
        <v>0.05</v>
      </c>
    </row>
    <row r="76" spans="4:7" ht="15.75" thickBot="1">
      <c r="D76" s="3909">
        <v>0.28999999999999998</v>
      </c>
      <c r="G76" s="3909">
        <v>0.28999999999999998</v>
      </c>
    </row>
    <row r="77" spans="4:7" ht="15.75" thickBot="1">
      <c r="D77" s="3909">
        <v>0.1</v>
      </c>
      <c r="G77" s="3909">
        <v>0.1</v>
      </c>
    </row>
    <row r="78" spans="4:7" ht="15.75" thickBot="1">
      <c r="D78" s="3909">
        <v>0.4</v>
      </c>
      <c r="G78" s="3909">
        <v>0.4</v>
      </c>
    </row>
    <row r="79" spans="4:7" ht="15.75" thickBot="1">
      <c r="D79" s="3909">
        <v>30.369599999999998</v>
      </c>
      <c r="G79" s="3909">
        <v>30.369599999999998</v>
      </c>
    </row>
    <row r="80" spans="4:7" ht="15.75" thickBot="1">
      <c r="D80" s="3909">
        <v>19.7759</v>
      </c>
      <c r="G80" s="3909">
        <v>19.7759</v>
      </c>
    </row>
    <row r="81" spans="4:7" ht="15.75" thickBot="1">
      <c r="D81" s="3909">
        <v>13.9924</v>
      </c>
      <c r="G81" s="3909">
        <v>13.9924</v>
      </c>
    </row>
    <row r="82" spans="4:7" ht="15.75" thickBot="1">
      <c r="D82" s="3909">
        <v>14.5504</v>
      </c>
      <c r="G82" s="3909">
        <v>14.5504</v>
      </c>
    </row>
    <row r="83" spans="4:7" ht="15.75" thickBot="1">
      <c r="D83" s="3909">
        <v>2.6438000000000001</v>
      </c>
      <c r="G83" s="3909">
        <v>2.6438000000000001</v>
      </c>
    </row>
    <row r="84" spans="4:7" ht="15.75" thickBot="1">
      <c r="D84" s="3909">
        <v>14.2019</v>
      </c>
      <c r="G84" s="3909">
        <v>14.2019</v>
      </c>
    </row>
  </sheetData>
  <mergeCells count="3">
    <mergeCell ref="A20:D20"/>
    <mergeCell ref="F16:H16"/>
    <mergeCell ref="A1:H1"/>
  </mergeCells>
  <phoneticPr fontId="22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tabColor theme="7" tint="-0.249977111117893"/>
  </sheetPr>
  <dimension ref="A1:G50"/>
  <sheetViews>
    <sheetView topLeftCell="A2" workbookViewId="0">
      <selection activeCell="G50" sqref="G50"/>
    </sheetView>
  </sheetViews>
  <sheetFormatPr defaultColWidth="11.25" defaultRowHeight="24.95" customHeight="1"/>
  <cols>
    <col min="1" max="1" width="7.25" style="3835" customWidth="1"/>
    <col min="2" max="2" width="13.5" style="3835" customWidth="1"/>
    <col min="3" max="3" width="12.75" style="3836" customWidth="1"/>
    <col min="4" max="4" width="12.5" style="3836" customWidth="1"/>
    <col min="5" max="5" width="11.25" style="3836"/>
    <col min="6" max="6" width="15.125" style="3836" customWidth="1"/>
    <col min="7" max="7" width="11.25" style="3835"/>
    <col min="8" max="16384" width="11.25" style="3828"/>
  </cols>
  <sheetData>
    <row r="1" spans="1:7" ht="24.75" customHeight="1">
      <c r="A1" s="4422" t="s">
        <v>4254</v>
      </c>
      <c r="B1" s="4423"/>
      <c r="C1" s="4423"/>
      <c r="D1" s="4423"/>
      <c r="E1" s="4423"/>
      <c r="F1" s="4424"/>
    </row>
    <row r="2" spans="1:7" ht="15.75">
      <c r="A2" s="3827" t="s">
        <v>4089</v>
      </c>
      <c r="B2" s="3827" t="s">
        <v>4090</v>
      </c>
      <c r="C2" s="3826" t="s">
        <v>4091</v>
      </c>
      <c r="D2" s="3826" t="s">
        <v>4092</v>
      </c>
      <c r="E2" s="3827" t="s">
        <v>4093</v>
      </c>
      <c r="F2" s="3826" t="s">
        <v>4094</v>
      </c>
      <c r="G2" s="3828"/>
    </row>
    <row r="3" spans="1:7" ht="15" hidden="1">
      <c r="A3" s="3829">
        <v>1</v>
      </c>
      <c r="B3" s="3830" t="s">
        <v>4095</v>
      </c>
      <c r="C3" s="3831" t="s">
        <v>4096</v>
      </c>
      <c r="D3" s="3831">
        <f>(12+20)/2*(5+20)/2</f>
        <v>200</v>
      </c>
      <c r="E3" s="3831"/>
      <c r="F3" s="3831">
        <f>D3*E3</f>
        <v>0</v>
      </c>
      <c r="G3" s="3828"/>
    </row>
    <row r="4" spans="1:7" ht="15">
      <c r="A4" s="4417">
        <v>2</v>
      </c>
      <c r="B4" s="4417" t="s">
        <v>4097</v>
      </c>
      <c r="C4" s="3831" t="s">
        <v>4096</v>
      </c>
      <c r="D4" s="3831">
        <f>(12+20)/2*(5+20)/2</f>
        <v>200</v>
      </c>
      <c r="E4" s="3831">
        <v>13</v>
      </c>
      <c r="F4" s="3831">
        <f t="shared" ref="F4:F49" si="0">D4*E4</f>
        <v>2600</v>
      </c>
      <c r="G4" s="3828"/>
    </row>
    <row r="5" spans="1:7" ht="15" hidden="1">
      <c r="A5" s="4417"/>
      <c r="B5" s="4417"/>
      <c r="C5" s="3831" t="s">
        <v>4098</v>
      </c>
      <c r="D5" s="3831">
        <f>(32+48+100)/3*(25+35+45)/3</f>
        <v>2100</v>
      </c>
      <c r="E5" s="3831"/>
      <c r="F5" s="3831">
        <f t="shared" si="0"/>
        <v>0</v>
      </c>
      <c r="G5" s="3828"/>
    </row>
    <row r="6" spans="1:7" ht="15">
      <c r="A6" s="4417">
        <v>3</v>
      </c>
      <c r="B6" s="4417" t="s">
        <v>4099</v>
      </c>
      <c r="C6" s="3831" t="s">
        <v>4100</v>
      </c>
      <c r="D6" s="3831">
        <f>(28+52)/2*(5+20)/2</f>
        <v>500</v>
      </c>
      <c r="E6" s="3831">
        <v>12</v>
      </c>
      <c r="F6" s="3831">
        <f t="shared" si="0"/>
        <v>6000</v>
      </c>
      <c r="G6" s="3828"/>
    </row>
    <row r="7" spans="1:7" ht="15" hidden="1">
      <c r="A7" s="4417"/>
      <c r="B7" s="4417"/>
      <c r="C7" s="3831" t="s">
        <v>4098</v>
      </c>
      <c r="D7" s="3831">
        <f>(76+104+150)/3*(25+35+45)/3</f>
        <v>3850</v>
      </c>
      <c r="E7" s="3831"/>
      <c r="F7" s="3831">
        <f t="shared" si="0"/>
        <v>0</v>
      </c>
      <c r="G7" s="3828"/>
    </row>
    <row r="8" spans="1:7" ht="15" hidden="1">
      <c r="A8" s="4417"/>
      <c r="B8" s="4417"/>
      <c r="C8" s="3831" t="s">
        <v>4101</v>
      </c>
      <c r="D8" s="3831">
        <f>150*50</f>
        <v>7500</v>
      </c>
      <c r="E8" s="3831"/>
      <c r="F8" s="3831">
        <f t="shared" si="0"/>
        <v>0</v>
      </c>
      <c r="G8" s="3828"/>
    </row>
    <row r="9" spans="1:7" ht="15" hidden="1">
      <c r="A9" s="3831">
        <v>4</v>
      </c>
      <c r="B9" s="3831" t="s">
        <v>4102</v>
      </c>
      <c r="C9" s="3831" t="s">
        <v>4100</v>
      </c>
      <c r="D9" s="3831">
        <f>(28+52)/2*(5+20)/2</f>
        <v>500</v>
      </c>
      <c r="E9" s="3831"/>
      <c r="F9" s="3831">
        <f t="shared" si="0"/>
        <v>0</v>
      </c>
      <c r="G9" s="3828"/>
    </row>
    <row r="10" spans="1:7" ht="15" hidden="1">
      <c r="A10" s="4417">
        <v>5</v>
      </c>
      <c r="B10" s="4417" t="s">
        <v>4103</v>
      </c>
      <c r="C10" s="3831" t="s">
        <v>4100</v>
      </c>
      <c r="D10" s="3831">
        <f>(12+20)/2*(5+20)/2</f>
        <v>200</v>
      </c>
      <c r="E10" s="3831"/>
      <c r="F10" s="3831">
        <f t="shared" si="0"/>
        <v>0</v>
      </c>
      <c r="G10" s="3828"/>
    </row>
    <row r="11" spans="1:7" ht="15" hidden="1">
      <c r="A11" s="4417"/>
      <c r="B11" s="4417"/>
      <c r="C11" s="3831" t="s">
        <v>4098</v>
      </c>
      <c r="D11" s="3831">
        <f>(32+48+100)/3*(25+35+45)/3</f>
        <v>2100</v>
      </c>
      <c r="E11" s="3831"/>
      <c r="F11" s="3831">
        <f t="shared" si="0"/>
        <v>0</v>
      </c>
      <c r="G11" s="3828"/>
    </row>
    <row r="12" spans="1:7" ht="15" hidden="1">
      <c r="A12" s="4417"/>
      <c r="B12" s="4417"/>
      <c r="C12" s="3831" t="s">
        <v>4101</v>
      </c>
      <c r="D12" s="3831">
        <f>100*50</f>
        <v>5000</v>
      </c>
      <c r="E12" s="3831"/>
      <c r="F12" s="3831">
        <f t="shared" si="0"/>
        <v>0</v>
      </c>
      <c r="G12" s="3828"/>
    </row>
    <row r="13" spans="1:7" ht="15" hidden="1">
      <c r="A13" s="4417">
        <v>6</v>
      </c>
      <c r="B13" s="4417" t="s">
        <v>4104</v>
      </c>
      <c r="C13" s="3831" t="s">
        <v>4100</v>
      </c>
      <c r="D13" s="3831">
        <f>ROUND((6+12)/2*(5+20)/2,0)</f>
        <v>113</v>
      </c>
      <c r="E13" s="3831"/>
      <c r="F13" s="3831">
        <f t="shared" si="0"/>
        <v>0</v>
      </c>
      <c r="G13" s="3828"/>
    </row>
    <row r="14" spans="1:7" ht="15" hidden="1">
      <c r="A14" s="4417"/>
      <c r="B14" s="4417"/>
      <c r="C14" s="3831" t="s">
        <v>4098</v>
      </c>
      <c r="D14" s="3831">
        <f>(20+32+56)/3*(25+35+45)/3</f>
        <v>1260</v>
      </c>
      <c r="E14" s="3831"/>
      <c r="F14" s="3831">
        <f t="shared" si="0"/>
        <v>0</v>
      </c>
      <c r="G14" s="3828"/>
    </row>
    <row r="15" spans="1:7" ht="15" hidden="1">
      <c r="A15" s="4417"/>
      <c r="B15" s="4417"/>
      <c r="C15" s="3831" t="s">
        <v>4101</v>
      </c>
      <c r="D15" s="3831">
        <f>56*50</f>
        <v>2800</v>
      </c>
      <c r="E15" s="3831"/>
      <c r="F15" s="3831">
        <f t="shared" si="0"/>
        <v>0</v>
      </c>
      <c r="G15" s="3828"/>
    </row>
    <row r="16" spans="1:7" ht="15">
      <c r="A16" s="3831">
        <v>7</v>
      </c>
      <c r="B16" s="3831" t="s">
        <v>4105</v>
      </c>
      <c r="C16" s="3831" t="s">
        <v>4100</v>
      </c>
      <c r="D16" s="3831">
        <f>(12+20)/2*(5+20)/2</f>
        <v>200</v>
      </c>
      <c r="E16" s="3831">
        <v>4</v>
      </c>
      <c r="F16" s="3831">
        <f t="shared" si="0"/>
        <v>800</v>
      </c>
      <c r="G16" s="3828"/>
    </row>
    <row r="17" spans="1:7" ht="15">
      <c r="A17" s="4417">
        <v>8</v>
      </c>
      <c r="B17" s="4417" t="s">
        <v>4106</v>
      </c>
      <c r="C17" s="3831" t="s">
        <v>4100</v>
      </c>
      <c r="D17" s="3831">
        <f>(12+20)/2*(5+20)/2</f>
        <v>200</v>
      </c>
      <c r="E17" s="3831">
        <v>2</v>
      </c>
      <c r="F17" s="3831">
        <f t="shared" si="0"/>
        <v>400</v>
      </c>
      <c r="G17" s="3828"/>
    </row>
    <row r="18" spans="1:7" ht="15" hidden="1">
      <c r="A18" s="4417"/>
      <c r="B18" s="4417"/>
      <c r="C18" s="3831" t="s">
        <v>4098</v>
      </c>
      <c r="D18" s="3831">
        <f>(32+48+100)/3*(25+35+45)/3</f>
        <v>2100</v>
      </c>
      <c r="E18" s="3831"/>
      <c r="F18" s="3831">
        <f t="shared" si="0"/>
        <v>0</v>
      </c>
      <c r="G18" s="3828"/>
    </row>
    <row r="19" spans="1:7" ht="15" hidden="1">
      <c r="A19" s="4417"/>
      <c r="B19" s="4417"/>
      <c r="C19" s="3831" t="s">
        <v>4101</v>
      </c>
      <c r="D19" s="3831">
        <f>100*50</f>
        <v>5000</v>
      </c>
      <c r="E19" s="3831"/>
      <c r="F19" s="3831">
        <f t="shared" si="0"/>
        <v>0</v>
      </c>
      <c r="G19" s="3828"/>
    </row>
    <row r="20" spans="1:7" ht="15" hidden="1">
      <c r="A20" s="3831">
        <v>9</v>
      </c>
      <c r="B20" s="3831" t="s">
        <v>4107</v>
      </c>
      <c r="C20" s="3831" t="s">
        <v>4100</v>
      </c>
      <c r="D20" s="3831">
        <f>(28+52)/2*(5+20)/2</f>
        <v>500</v>
      </c>
      <c r="E20" s="3831"/>
      <c r="F20" s="3831">
        <f t="shared" si="0"/>
        <v>0</v>
      </c>
      <c r="G20" s="3828"/>
    </row>
    <row r="21" spans="1:7" ht="15">
      <c r="A21" s="4417">
        <v>10</v>
      </c>
      <c r="B21" s="4417" t="s">
        <v>4108</v>
      </c>
      <c r="C21" s="3831" t="s">
        <v>4100</v>
      </c>
      <c r="D21" s="3831">
        <f>(28+52)/2*(5+20)/2</f>
        <v>500</v>
      </c>
      <c r="E21" s="3831">
        <v>1</v>
      </c>
      <c r="F21" s="3831">
        <f t="shared" si="0"/>
        <v>500</v>
      </c>
      <c r="G21" s="3828"/>
    </row>
    <row r="22" spans="1:7" ht="15" hidden="1">
      <c r="A22" s="4417"/>
      <c r="B22" s="4417"/>
      <c r="C22" s="3831" t="s">
        <v>4098</v>
      </c>
      <c r="D22" s="3831">
        <f>(76+104+150)/3*(25+35+45)/3</f>
        <v>3850</v>
      </c>
      <c r="E22" s="3831"/>
      <c r="F22" s="3831">
        <f t="shared" si="0"/>
        <v>0</v>
      </c>
      <c r="G22" s="3828"/>
    </row>
    <row r="23" spans="1:7" ht="15" hidden="1">
      <c r="A23" s="4417">
        <v>11</v>
      </c>
      <c r="B23" s="4417" t="s">
        <v>4109</v>
      </c>
      <c r="C23" s="3831" t="s">
        <v>4100</v>
      </c>
      <c r="D23" s="3831">
        <f>(12+20)/2*(5+20)/2</f>
        <v>200</v>
      </c>
      <c r="E23" s="3831"/>
      <c r="F23" s="3831">
        <f t="shared" si="0"/>
        <v>0</v>
      </c>
      <c r="G23" s="3828"/>
    </row>
    <row r="24" spans="1:7" ht="15" hidden="1">
      <c r="A24" s="4417"/>
      <c r="B24" s="4417"/>
      <c r="C24" s="3831" t="s">
        <v>4098</v>
      </c>
      <c r="D24" s="3831">
        <f>(32+48+100)/3*(25+35+45)/3</f>
        <v>2100</v>
      </c>
      <c r="E24" s="3831"/>
      <c r="F24" s="3831">
        <f t="shared" si="0"/>
        <v>0</v>
      </c>
      <c r="G24" s="3828"/>
    </row>
    <row r="25" spans="1:7" ht="15" hidden="1">
      <c r="A25" s="4417">
        <v>12</v>
      </c>
      <c r="B25" s="4417" t="s">
        <v>4110</v>
      </c>
      <c r="C25" s="3831" t="s">
        <v>4100</v>
      </c>
      <c r="D25" s="3831">
        <f>(28+52)/2*(5+20)/2</f>
        <v>500</v>
      </c>
      <c r="E25" s="3831"/>
      <c r="F25" s="3831">
        <f t="shared" si="0"/>
        <v>0</v>
      </c>
      <c r="G25" s="3828"/>
    </row>
    <row r="26" spans="1:7" ht="15" hidden="1">
      <c r="A26" s="4417"/>
      <c r="B26" s="4417"/>
      <c r="C26" s="3831" t="s">
        <v>4098</v>
      </c>
      <c r="D26" s="3831">
        <f>(76+104+150)/3*(25+35+45)/3</f>
        <v>3850</v>
      </c>
      <c r="E26" s="3831"/>
      <c r="F26" s="3831">
        <f t="shared" si="0"/>
        <v>0</v>
      </c>
      <c r="G26" s="3828"/>
    </row>
    <row r="27" spans="1:7" ht="15" hidden="1">
      <c r="A27" s="4417">
        <v>13</v>
      </c>
      <c r="B27" s="4417" t="s">
        <v>4111</v>
      </c>
      <c r="C27" s="3831" t="s">
        <v>4100</v>
      </c>
      <c r="D27" s="3831">
        <f>(12+20)/2*(5+20)/2</f>
        <v>200</v>
      </c>
      <c r="E27" s="3831"/>
      <c r="F27" s="3831">
        <f t="shared" si="0"/>
        <v>0</v>
      </c>
      <c r="G27" s="3828"/>
    </row>
    <row r="28" spans="1:7" ht="15" hidden="1">
      <c r="A28" s="4417"/>
      <c r="B28" s="4417"/>
      <c r="C28" s="3831" t="s">
        <v>4098</v>
      </c>
      <c r="D28" s="3831">
        <f>(32+48+100)/3*(25+35+45)/3</f>
        <v>2100</v>
      </c>
      <c r="E28" s="3831"/>
      <c r="F28" s="3831">
        <f t="shared" si="0"/>
        <v>0</v>
      </c>
      <c r="G28" s="3828"/>
    </row>
    <row r="29" spans="1:7" ht="15" hidden="1">
      <c r="A29" s="4417"/>
      <c r="B29" s="4417"/>
      <c r="C29" s="3831" t="s">
        <v>4101</v>
      </c>
      <c r="D29" s="3831">
        <f>100*50</f>
        <v>5000</v>
      </c>
      <c r="E29" s="3831"/>
      <c r="F29" s="3831">
        <f t="shared" si="0"/>
        <v>0</v>
      </c>
      <c r="G29" s="3828"/>
    </row>
    <row r="30" spans="1:7" ht="15" hidden="1">
      <c r="A30" s="3831">
        <v>14</v>
      </c>
      <c r="B30" s="3831" t="s">
        <v>4112</v>
      </c>
      <c r="C30" s="3831" t="s">
        <v>4098</v>
      </c>
      <c r="D30" s="3831">
        <f>(84+144+240)/2*(5+20)/2</f>
        <v>2925</v>
      </c>
      <c r="E30" s="3831"/>
      <c r="F30" s="3831">
        <f t="shared" si="0"/>
        <v>0</v>
      </c>
      <c r="G30" s="3828"/>
    </row>
    <row r="31" spans="1:7" ht="15" hidden="1">
      <c r="A31" s="3831">
        <v>15</v>
      </c>
      <c r="B31" s="3831" t="s">
        <v>4113</v>
      </c>
      <c r="C31" s="3831" t="s">
        <v>4114</v>
      </c>
      <c r="D31" s="3831">
        <v>0</v>
      </c>
      <c r="E31" s="3831"/>
      <c r="F31" s="3831">
        <f t="shared" si="0"/>
        <v>0</v>
      </c>
      <c r="G31" s="3828"/>
    </row>
    <row r="32" spans="1:7" ht="15" hidden="1">
      <c r="A32" s="4417">
        <v>16</v>
      </c>
      <c r="B32" s="4417" t="s">
        <v>4115</v>
      </c>
      <c r="C32" s="3831" t="s">
        <v>4116</v>
      </c>
      <c r="D32" s="3831">
        <v>150</v>
      </c>
      <c r="E32" s="3831"/>
      <c r="F32" s="3831">
        <f t="shared" si="0"/>
        <v>0</v>
      </c>
      <c r="G32" s="3828"/>
    </row>
    <row r="33" spans="1:7" ht="15" hidden="1">
      <c r="A33" s="4417"/>
      <c r="B33" s="4417"/>
      <c r="C33" s="3831" t="s">
        <v>4117</v>
      </c>
      <c r="D33" s="3831">
        <v>150</v>
      </c>
      <c r="E33" s="3831"/>
      <c r="F33" s="3831">
        <f t="shared" si="0"/>
        <v>0</v>
      </c>
      <c r="G33" s="3828"/>
    </row>
    <row r="34" spans="1:7" ht="15" hidden="1">
      <c r="A34" s="4417">
        <v>17</v>
      </c>
      <c r="B34" s="4417" t="s">
        <v>4118</v>
      </c>
      <c r="C34" s="3831" t="s">
        <v>4100</v>
      </c>
      <c r="D34" s="3831">
        <f>ROUND((6+12)/2*(5+20)/2,0)</f>
        <v>113</v>
      </c>
      <c r="E34" s="3831"/>
      <c r="F34" s="3831">
        <f t="shared" si="0"/>
        <v>0</v>
      </c>
      <c r="G34" s="3828"/>
    </row>
    <row r="35" spans="1:7" ht="15">
      <c r="A35" s="4417"/>
      <c r="B35" s="4417"/>
      <c r="C35" s="3831" t="s">
        <v>4098</v>
      </c>
      <c r="D35" s="3831">
        <f>(20+32+56)/3*(25+35+45)/3</f>
        <v>1260</v>
      </c>
      <c r="E35" s="3831">
        <v>29</v>
      </c>
      <c r="F35" s="3831">
        <f t="shared" si="0"/>
        <v>36540</v>
      </c>
      <c r="G35" s="3828"/>
    </row>
    <row r="36" spans="1:7" ht="15" hidden="1">
      <c r="A36" s="4417"/>
      <c r="B36" s="4417"/>
      <c r="C36" s="3831" t="s">
        <v>4101</v>
      </c>
      <c r="D36" s="3831">
        <f>56*50</f>
        <v>2800</v>
      </c>
      <c r="E36" s="3831"/>
      <c r="F36" s="3831">
        <f t="shared" si="0"/>
        <v>0</v>
      </c>
      <c r="G36" s="3828"/>
    </row>
    <row r="37" spans="1:7" ht="15" hidden="1">
      <c r="A37" s="4417">
        <v>18</v>
      </c>
      <c r="B37" s="4417" t="s">
        <v>4119</v>
      </c>
      <c r="C37" s="3831" t="s">
        <v>4120</v>
      </c>
      <c r="D37" s="3831">
        <f>(28+52)/2*(5+20)/2</f>
        <v>500</v>
      </c>
      <c r="E37" s="3831"/>
      <c r="F37" s="3831">
        <f t="shared" si="0"/>
        <v>0</v>
      </c>
      <c r="G37" s="3828"/>
    </row>
    <row r="38" spans="1:7" ht="15" hidden="1">
      <c r="A38" s="4417"/>
      <c r="B38" s="4417"/>
      <c r="C38" s="3831" t="s">
        <v>4121</v>
      </c>
      <c r="D38" s="3831">
        <f>(76+104+150)/3*(25+35+45)/3</f>
        <v>3850</v>
      </c>
      <c r="E38" s="3831"/>
      <c r="F38" s="3831">
        <f t="shared" si="0"/>
        <v>0</v>
      </c>
      <c r="G38" s="3828"/>
    </row>
    <row r="39" spans="1:7" ht="15">
      <c r="A39" s="4417">
        <v>19</v>
      </c>
      <c r="B39" s="4417" t="s">
        <v>4122</v>
      </c>
      <c r="C39" s="3831" t="s">
        <v>4120</v>
      </c>
      <c r="D39" s="3831">
        <f>(12+20)/2*(5+20)/2</f>
        <v>200</v>
      </c>
      <c r="E39" s="3831">
        <v>10</v>
      </c>
      <c r="F39" s="3831">
        <f t="shared" si="0"/>
        <v>2000</v>
      </c>
      <c r="G39" s="3828"/>
    </row>
    <row r="40" spans="1:7" ht="15" hidden="1">
      <c r="A40" s="4417"/>
      <c r="B40" s="4417"/>
      <c r="C40" s="3831" t="s">
        <v>4121</v>
      </c>
      <c r="D40" s="3831">
        <f>(32+48+100)/3*(25+35+45)/3</f>
        <v>2100</v>
      </c>
      <c r="E40" s="3831"/>
      <c r="F40" s="3831">
        <f t="shared" si="0"/>
        <v>0</v>
      </c>
      <c r="G40" s="3828"/>
    </row>
    <row r="41" spans="1:7" ht="15" hidden="1">
      <c r="A41" s="4417"/>
      <c r="B41" s="4417"/>
      <c r="C41" s="3831" t="s">
        <v>4123</v>
      </c>
      <c r="D41" s="3831">
        <f>100*50</f>
        <v>5000</v>
      </c>
      <c r="E41" s="3831"/>
      <c r="F41" s="3831">
        <f t="shared" si="0"/>
        <v>0</v>
      </c>
      <c r="G41" s="3828"/>
    </row>
    <row r="42" spans="1:7" ht="15" hidden="1">
      <c r="A42" s="4417">
        <v>20</v>
      </c>
      <c r="B42" s="4417" t="s">
        <v>4124</v>
      </c>
      <c r="C42" s="3831" t="s">
        <v>4100</v>
      </c>
      <c r="D42" s="3831">
        <f>(20+44)/2*(5+20)/2</f>
        <v>400</v>
      </c>
      <c r="E42" s="3831"/>
      <c r="F42" s="3831">
        <f t="shared" si="0"/>
        <v>0</v>
      </c>
      <c r="G42" s="3828"/>
    </row>
    <row r="43" spans="1:7" ht="15">
      <c r="A43" s="4417"/>
      <c r="B43" s="4417"/>
      <c r="C43" s="3831" t="s">
        <v>4098</v>
      </c>
      <c r="D43" s="3831">
        <f>D30</f>
        <v>2925</v>
      </c>
      <c r="E43" s="3831">
        <v>1</v>
      </c>
      <c r="F43" s="3831">
        <f t="shared" si="0"/>
        <v>2925</v>
      </c>
      <c r="G43" s="3828"/>
    </row>
    <row r="44" spans="1:7" ht="15">
      <c r="A44" s="3841">
        <v>21</v>
      </c>
      <c r="B44" s="3842" t="s">
        <v>4127</v>
      </c>
      <c r="C44" s="3841" t="s">
        <v>4121</v>
      </c>
      <c r="D44" s="3841">
        <f>(28+52)/2*(5+20)/2</f>
        <v>500</v>
      </c>
      <c r="E44" s="3831">
        <v>1</v>
      </c>
      <c r="F44" s="3831">
        <f t="shared" si="0"/>
        <v>500</v>
      </c>
      <c r="G44" s="3828"/>
    </row>
    <row r="45" spans="1:7" ht="15">
      <c r="A45" s="3841">
        <v>22</v>
      </c>
      <c r="B45" s="3842" t="s">
        <v>4128</v>
      </c>
      <c r="C45" s="3841" t="s">
        <v>4131</v>
      </c>
      <c r="D45" s="3884">
        <v>20</v>
      </c>
      <c r="E45" s="3831">
        <v>145</v>
      </c>
      <c r="F45" s="3831">
        <f t="shared" si="0"/>
        <v>2900</v>
      </c>
      <c r="G45" s="3828"/>
    </row>
    <row r="46" spans="1:7" ht="15">
      <c r="A46" s="4418">
        <v>23</v>
      </c>
      <c r="B46" s="4420" t="s">
        <v>4129</v>
      </c>
      <c r="C46" s="3841" t="s">
        <v>4131</v>
      </c>
      <c r="D46" s="3841">
        <f>(12+20)/2*(5+20)/2</f>
        <v>200</v>
      </c>
      <c r="E46" s="3831">
        <v>5</v>
      </c>
      <c r="F46" s="3831">
        <f t="shared" si="0"/>
        <v>1000</v>
      </c>
      <c r="G46" s="3828"/>
    </row>
    <row r="47" spans="1:7" ht="15" hidden="1">
      <c r="A47" s="4419"/>
      <c r="B47" s="4421"/>
      <c r="C47" s="3841" t="s">
        <v>4121</v>
      </c>
      <c r="D47" s="3841">
        <f>(32+48+100)/3*(25+35+45)/3</f>
        <v>2100</v>
      </c>
      <c r="E47" s="3831"/>
      <c r="F47" s="3831">
        <f t="shared" si="0"/>
        <v>0</v>
      </c>
      <c r="G47" s="3828"/>
    </row>
    <row r="48" spans="1:7" ht="15">
      <c r="A48" s="3841">
        <v>24</v>
      </c>
      <c r="B48" s="3842" t="s">
        <v>4130</v>
      </c>
      <c r="C48" s="3841" t="s">
        <v>4131</v>
      </c>
      <c r="D48" s="3841">
        <v>200</v>
      </c>
      <c r="E48" s="3831">
        <v>20</v>
      </c>
      <c r="F48" s="3831">
        <f t="shared" si="0"/>
        <v>4000</v>
      </c>
      <c r="G48" s="3828"/>
    </row>
    <row r="49" spans="1:7" ht="15" hidden="1">
      <c r="A49" s="3829">
        <v>25</v>
      </c>
      <c r="B49" s="3829" t="s">
        <v>4125</v>
      </c>
      <c r="C49" s="3831" t="s">
        <v>4098</v>
      </c>
      <c r="D49" s="3831">
        <f>D30</f>
        <v>2925</v>
      </c>
      <c r="E49" s="3831"/>
      <c r="F49" s="3831">
        <f t="shared" si="0"/>
        <v>0</v>
      </c>
      <c r="G49" s="3828"/>
    </row>
    <row r="50" spans="1:7" ht="15.75">
      <c r="A50" s="3832" t="s">
        <v>4126</v>
      </c>
      <c r="B50" s="3833"/>
      <c r="C50" s="3833"/>
      <c r="D50" s="3833"/>
      <c r="E50" s="3834">
        <f>SUM(E3:E49)</f>
        <v>243</v>
      </c>
      <c r="F50" s="3840">
        <f>ROUND(SUM(F3:F49),4)</f>
        <v>60165</v>
      </c>
      <c r="G50" s="3907"/>
    </row>
  </sheetData>
  <mergeCells count="31">
    <mergeCell ref="A1:F1"/>
    <mergeCell ref="A39:A41"/>
    <mergeCell ref="B39:B41"/>
    <mergeCell ref="A42:A43"/>
    <mergeCell ref="B42:B43"/>
    <mergeCell ref="A23:A24"/>
    <mergeCell ref="B23:B24"/>
    <mergeCell ref="A25:A26"/>
    <mergeCell ref="B25:B26"/>
    <mergeCell ref="A27:A29"/>
    <mergeCell ref="B27:B29"/>
    <mergeCell ref="A13:A15"/>
    <mergeCell ref="B13:B15"/>
    <mergeCell ref="A17:A19"/>
    <mergeCell ref="B17:B19"/>
    <mergeCell ref="A21:A22"/>
    <mergeCell ref="A46:A47"/>
    <mergeCell ref="B46:B47"/>
    <mergeCell ref="A32:A33"/>
    <mergeCell ref="B32:B33"/>
    <mergeCell ref="A34:A36"/>
    <mergeCell ref="B34:B36"/>
    <mergeCell ref="A37:A38"/>
    <mergeCell ref="B37:B38"/>
    <mergeCell ref="B21:B22"/>
    <mergeCell ref="A4:A5"/>
    <mergeCell ref="B4:B5"/>
    <mergeCell ref="A6:A8"/>
    <mergeCell ref="B6:B8"/>
    <mergeCell ref="A10:A12"/>
    <mergeCell ref="B10:B12"/>
  </mergeCells>
  <phoneticPr fontId="228"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7">
    <tabColor rgb="FF92D050"/>
    <pageSetUpPr fitToPage="1"/>
  </sheetPr>
  <dimension ref="A1:AC236"/>
  <sheetViews>
    <sheetView view="pageBreakPreview" zoomScale="91" zoomScaleNormal="60" zoomScaleSheetLayoutView="91" workbookViewId="0">
      <selection activeCell="P15" sqref="P15:P28"/>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4158" t="s">
        <v>516</v>
      </c>
      <c r="D4" s="4159"/>
      <c r="E4" s="4216" t="s">
        <v>517</v>
      </c>
      <c r="F4" s="4217"/>
      <c r="G4" s="4158" t="s">
        <v>518</v>
      </c>
      <c r="H4" s="4159"/>
      <c r="I4" s="4158" t="s">
        <v>519</v>
      </c>
      <c r="J4" s="4159"/>
      <c r="K4" s="508" t="s">
        <v>520</v>
      </c>
      <c r="L4" s="2015"/>
      <c r="M4" s="2016"/>
      <c r="N4" s="2016"/>
      <c r="O4" s="2016"/>
      <c r="P4" s="4160" t="s">
        <v>521</v>
      </c>
      <c r="Q4" s="4161"/>
      <c r="R4" s="4146" t="s">
        <v>517</v>
      </c>
      <c r="S4" s="4147"/>
      <c r="T4" s="4146" t="s">
        <v>518</v>
      </c>
      <c r="U4" s="4147"/>
      <c r="V4" s="4166" t="s">
        <v>519</v>
      </c>
      <c r="W4" s="4166"/>
      <c r="X4" s="1502"/>
      <c r="Y4" s="4146" t="s">
        <v>521</v>
      </c>
      <c r="Z4" s="4147"/>
      <c r="AA4" s="4141" t="s">
        <v>517</v>
      </c>
      <c r="AB4" s="4142" t="s">
        <v>518</v>
      </c>
      <c r="AC4" s="4141" t="s">
        <v>519</v>
      </c>
    </row>
    <row r="5" spans="1:29" ht="15">
      <c r="A5" s="509"/>
      <c r="B5" s="510"/>
      <c r="C5" s="4169" t="s">
        <v>2897</v>
      </c>
      <c r="D5" s="4170"/>
      <c r="E5" s="4212" t="s">
        <v>2898</v>
      </c>
      <c r="F5" s="4213"/>
      <c r="G5" s="4169" t="s">
        <v>2899</v>
      </c>
      <c r="H5" s="4170"/>
      <c r="I5" s="4169" t="s">
        <v>2900</v>
      </c>
      <c r="J5" s="4170"/>
      <c r="K5" s="508"/>
      <c r="L5" s="2015"/>
      <c r="M5" s="2016"/>
      <c r="N5" s="2016"/>
      <c r="O5" s="2016"/>
      <c r="P5" s="4162"/>
      <c r="Q5" s="4163"/>
      <c r="R5" s="4148"/>
      <c r="S5" s="4149"/>
      <c r="T5" s="4148"/>
      <c r="U5" s="4149"/>
      <c r="V5" s="4166"/>
      <c r="W5" s="4166"/>
      <c r="X5" s="1502"/>
      <c r="Y5" s="4148"/>
      <c r="Z5" s="4149"/>
      <c r="AA5" s="4142"/>
      <c r="AB5" s="4142"/>
      <c r="AC5" s="4142"/>
    </row>
    <row r="6" spans="1:29" ht="15.75" thickBot="1">
      <c r="A6" s="511"/>
      <c r="B6" s="512"/>
      <c r="C6" s="4167" t="s">
        <v>2901</v>
      </c>
      <c r="D6" s="4168"/>
      <c r="E6" s="4214" t="s">
        <v>2901</v>
      </c>
      <c r="F6" s="4215"/>
      <c r="G6" s="4167" t="s">
        <v>2901</v>
      </c>
      <c r="H6" s="4168"/>
      <c r="I6" s="4167" t="s">
        <v>2901</v>
      </c>
      <c r="J6" s="4168"/>
      <c r="K6" s="508" t="s">
        <v>522</v>
      </c>
      <c r="L6" s="2015"/>
      <c r="M6" s="2016"/>
      <c r="N6" s="2016"/>
      <c r="O6" s="2016"/>
      <c r="P6" s="4164"/>
      <c r="Q6" s="4165"/>
      <c r="R6" s="4148"/>
      <c r="S6" s="4149"/>
      <c r="T6" s="4150"/>
      <c r="U6" s="4151"/>
      <c r="V6" s="4166"/>
      <c r="W6" s="4166"/>
      <c r="X6" s="1502"/>
      <c r="Y6" s="4150"/>
      <c r="Z6" s="4151"/>
      <c r="AA6" s="4143"/>
      <c r="AB6" s="4143"/>
      <c r="AC6" s="4143"/>
    </row>
    <row r="7" spans="1:29" s="1203" customFormat="1" ht="15.75" thickBot="1">
      <c r="A7" s="2629"/>
      <c r="B7" s="2636" t="s">
        <v>523</v>
      </c>
      <c r="C7" s="513">
        <f>'数据-取费表'!B2</f>
        <v>44268</v>
      </c>
      <c r="D7" s="514">
        <v>100</v>
      </c>
      <c r="E7" s="515"/>
      <c r="F7" s="516">
        <f>SUMIF(52:52,YEAR(E7)&amp;"-"&amp;MONTH(E7),53:53)</f>
        <v>0</v>
      </c>
      <c r="G7" s="515"/>
      <c r="H7" s="514">
        <f>SUMIF(52:52,YEAR(G7)&amp;"-"&amp;MONTH(G7),53:53)</f>
        <v>0</v>
      </c>
      <c r="I7" s="515"/>
      <c r="J7" s="514">
        <f>SUMIF(52:52,YEAR(I7)&amp;"-"&amp;MONTH(I7),53:53)</f>
        <v>0</v>
      </c>
      <c r="K7" s="518"/>
      <c r="L7" s="2017"/>
      <c r="M7" s="2018"/>
      <c r="N7" s="2018"/>
      <c r="O7" s="2018"/>
      <c r="P7" s="4144" t="s">
        <v>524</v>
      </c>
      <c r="Q7" s="4153"/>
      <c r="R7" s="1503" t="s">
        <v>8</v>
      </c>
      <c r="S7" s="1504">
        <f t="shared" ref="S7:S15" si="0">F7</f>
        <v>0</v>
      </c>
      <c r="T7" s="1503" t="s">
        <v>8</v>
      </c>
      <c r="U7" s="1504">
        <f t="shared" ref="U7:U15" si="1">H7</f>
        <v>0</v>
      </c>
      <c r="V7" s="1503" t="s">
        <v>8</v>
      </c>
      <c r="W7" s="1504">
        <f t="shared" ref="W7:W15" si="2">J7</f>
        <v>0</v>
      </c>
      <c r="X7" s="1505"/>
      <c r="Y7" s="4144" t="s">
        <v>524</v>
      </c>
      <c r="Z7" s="4145"/>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4144" t="s">
        <v>527</v>
      </c>
      <c r="Q8" s="4145"/>
      <c r="R8" s="1503" t="s">
        <v>8</v>
      </c>
      <c r="S8" s="1504">
        <f t="shared" si="0"/>
        <v>0</v>
      </c>
      <c r="T8" s="1503" t="s">
        <v>8</v>
      </c>
      <c r="U8" s="1504">
        <f t="shared" si="1"/>
        <v>0</v>
      </c>
      <c r="V8" s="1503" t="s">
        <v>8</v>
      </c>
      <c r="W8" s="1504">
        <f t="shared" si="2"/>
        <v>0</v>
      </c>
      <c r="X8" s="1505"/>
      <c r="Y8" s="4144" t="s">
        <v>527</v>
      </c>
      <c r="Z8" s="4145"/>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4152" t="s">
        <v>529</v>
      </c>
      <c r="Q9" s="1134" t="str">
        <f t="shared" ref="Q9:Q15" si="6">B9</f>
        <v>用途</v>
      </c>
      <c r="R9" s="1503" t="s">
        <v>8</v>
      </c>
      <c r="S9" s="1504">
        <f t="shared" si="0"/>
        <v>100</v>
      </c>
      <c r="T9" s="1503" t="s">
        <v>8</v>
      </c>
      <c r="U9" s="1504">
        <f t="shared" si="1"/>
        <v>100</v>
      </c>
      <c r="V9" s="1503" t="s">
        <v>8</v>
      </c>
      <c r="W9" s="1504">
        <f t="shared" si="2"/>
        <v>100</v>
      </c>
      <c r="X9" s="1505"/>
      <c r="Y9" s="407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4152"/>
      <c r="Q10" s="1134" t="str">
        <f t="shared" si="6"/>
        <v>土地使用年限（年）</v>
      </c>
      <c r="R10" s="1503" t="s">
        <v>8</v>
      </c>
      <c r="S10" s="1504">
        <f t="shared" si="0"/>
        <v>100</v>
      </c>
      <c r="T10" s="1503" t="s">
        <v>8</v>
      </c>
      <c r="U10" s="1504">
        <f t="shared" si="1"/>
        <v>100</v>
      </c>
      <c r="V10" s="1503" t="s">
        <v>8</v>
      </c>
      <c r="W10" s="1504">
        <f t="shared" si="2"/>
        <v>100</v>
      </c>
      <c r="X10" s="1505"/>
      <c r="Y10" s="407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4152"/>
      <c r="Q11" s="1134" t="str">
        <f t="shared" si="6"/>
        <v>容积率</v>
      </c>
      <c r="R11" s="1503" t="s">
        <v>8</v>
      </c>
      <c r="S11" s="1504" t="e">
        <f t="shared" si="0"/>
        <v>#N/A</v>
      </c>
      <c r="T11" s="1503" t="s">
        <v>8</v>
      </c>
      <c r="U11" s="1504" t="e">
        <f t="shared" si="1"/>
        <v>#N/A</v>
      </c>
      <c r="V11" s="1503" t="s">
        <v>8</v>
      </c>
      <c r="W11" s="1504" t="e">
        <f t="shared" si="2"/>
        <v>#N/A</v>
      </c>
      <c r="X11" s="1505"/>
      <c r="Y11" s="407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4152"/>
      <c r="Q12" s="1134">
        <f t="shared" si="6"/>
        <v>111</v>
      </c>
      <c r="R12" s="1503" t="s">
        <v>8</v>
      </c>
      <c r="S12" s="1504">
        <f t="shared" si="0"/>
        <v>100</v>
      </c>
      <c r="T12" s="1503" t="s">
        <v>8</v>
      </c>
      <c r="U12" s="1504">
        <f t="shared" si="1"/>
        <v>100</v>
      </c>
      <c r="V12" s="1503" t="s">
        <v>8</v>
      </c>
      <c r="W12" s="1504">
        <f t="shared" si="2"/>
        <v>100</v>
      </c>
      <c r="X12" s="1505"/>
      <c r="Y12" s="407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4152"/>
      <c r="Q13" s="1134">
        <f t="shared" si="6"/>
        <v>111</v>
      </c>
      <c r="R13" s="1503" t="s">
        <v>8</v>
      </c>
      <c r="S13" s="1504">
        <f t="shared" si="0"/>
        <v>100</v>
      </c>
      <c r="T13" s="1503" t="s">
        <v>8</v>
      </c>
      <c r="U13" s="1504">
        <f t="shared" si="1"/>
        <v>100</v>
      </c>
      <c r="V13" s="1503" t="s">
        <v>8</v>
      </c>
      <c r="W13" s="1504">
        <f t="shared" si="2"/>
        <v>100</v>
      </c>
      <c r="X13" s="1505"/>
      <c r="Y13" s="407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4152"/>
      <c r="Q14" s="1134">
        <f t="shared" si="6"/>
        <v>111</v>
      </c>
      <c r="R14" s="1503" t="s">
        <v>8</v>
      </c>
      <c r="S14" s="1504">
        <f t="shared" si="0"/>
        <v>100</v>
      </c>
      <c r="T14" s="1503" t="s">
        <v>8</v>
      </c>
      <c r="U14" s="1504">
        <f t="shared" si="1"/>
        <v>100</v>
      </c>
      <c r="V14" s="1503" t="s">
        <v>8</v>
      </c>
      <c r="W14" s="1504">
        <f t="shared" si="2"/>
        <v>100</v>
      </c>
      <c r="X14" s="1505"/>
      <c r="Y14" s="407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4154" t="s">
        <v>534</v>
      </c>
      <c r="Q15" s="1507" t="str">
        <f t="shared" si="6"/>
        <v>产业集聚程度</v>
      </c>
      <c r="R15" s="1508" t="s">
        <v>8</v>
      </c>
      <c r="S15" s="1509">
        <f t="shared" si="0"/>
        <v>100</v>
      </c>
      <c r="T15" s="1508" t="s">
        <v>8</v>
      </c>
      <c r="U15" s="1509">
        <f t="shared" si="1"/>
        <v>100</v>
      </c>
      <c r="V15" s="1508" t="s">
        <v>8</v>
      </c>
      <c r="W15" s="1509">
        <f t="shared" si="2"/>
        <v>100</v>
      </c>
      <c r="X15" s="1502"/>
      <c r="Y15" s="4154"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4155"/>
      <c r="Q16" s="1507"/>
      <c r="R16" s="1508"/>
      <c r="S16" s="1509"/>
      <c r="T16" s="1508"/>
      <c r="U16" s="1509"/>
      <c r="V16" s="1508"/>
      <c r="W16" s="1509"/>
      <c r="X16" s="1502"/>
      <c r="Y16" s="4155"/>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4155"/>
      <c r="Q17" s="1507" t="str">
        <f>B17</f>
        <v>交通便捷度</v>
      </c>
      <c r="R17" s="1508" t="s">
        <v>8</v>
      </c>
      <c r="S17" s="1509">
        <f>F17</f>
        <v>100</v>
      </c>
      <c r="T17" s="1508" t="s">
        <v>8</v>
      </c>
      <c r="U17" s="1509">
        <f>H17</f>
        <v>100</v>
      </c>
      <c r="V17" s="1508" t="s">
        <v>8</v>
      </c>
      <c r="W17" s="1509">
        <f>J17</f>
        <v>100</v>
      </c>
      <c r="X17" s="1502"/>
      <c r="Y17" s="4155"/>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4155"/>
      <c r="Q18" s="1507"/>
      <c r="R18" s="1508"/>
      <c r="S18" s="1509"/>
      <c r="T18" s="1508"/>
      <c r="U18" s="1509"/>
      <c r="V18" s="1508"/>
      <c r="W18" s="1509"/>
      <c r="X18" s="1502"/>
      <c r="Y18" s="4155"/>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4155"/>
      <c r="Q19" s="1507" t="str">
        <f>B19</f>
        <v>公共配套设施</v>
      </c>
      <c r="R19" s="1508" t="s">
        <v>8</v>
      </c>
      <c r="S19" s="1509">
        <f>F19</f>
        <v>100</v>
      </c>
      <c r="T19" s="1508" t="s">
        <v>8</v>
      </c>
      <c r="U19" s="1509">
        <f>H19</f>
        <v>100</v>
      </c>
      <c r="V19" s="1508" t="s">
        <v>8</v>
      </c>
      <c r="W19" s="1509">
        <f>J19</f>
        <v>100</v>
      </c>
      <c r="X19" s="1502"/>
      <c r="Y19" s="4155"/>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4155"/>
      <c r="Q20" s="1507"/>
      <c r="R20" s="1508"/>
      <c r="S20" s="1509"/>
      <c r="T20" s="1508"/>
      <c r="U20" s="1509"/>
      <c r="V20" s="1508"/>
      <c r="W20" s="1509"/>
      <c r="X20" s="1502"/>
      <c r="Y20" s="4155"/>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4155"/>
      <c r="Q21" s="2429" t="str">
        <f>B21</f>
        <v>基础设施水平</v>
      </c>
      <c r="R21" s="1508" t="s">
        <v>8</v>
      </c>
      <c r="S21" s="1509">
        <f>F21</f>
        <v>100</v>
      </c>
      <c r="T21" s="1508" t="s">
        <v>8</v>
      </c>
      <c r="U21" s="1509">
        <f>H21</f>
        <v>100</v>
      </c>
      <c r="V21" s="1508" t="s">
        <v>8</v>
      </c>
      <c r="W21" s="1509">
        <f>J21</f>
        <v>100</v>
      </c>
      <c r="X21" s="2431"/>
      <c r="Y21" s="4155"/>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4155"/>
      <c r="Q22" s="2429"/>
      <c r="R22" s="1508"/>
      <c r="S22" s="1509"/>
      <c r="T22" s="1508"/>
      <c r="U22" s="1509"/>
      <c r="V22" s="1508"/>
      <c r="W22" s="1509"/>
      <c r="X22" s="2431"/>
      <c r="Y22" s="4155"/>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4155"/>
      <c r="Q23" s="1507" t="str">
        <f>B23</f>
        <v>环境质量</v>
      </c>
      <c r="R23" s="1508" t="s">
        <v>8</v>
      </c>
      <c r="S23" s="1509">
        <f>F23</f>
        <v>100</v>
      </c>
      <c r="T23" s="1508" t="s">
        <v>8</v>
      </c>
      <c r="U23" s="1509">
        <f>H23</f>
        <v>100</v>
      </c>
      <c r="V23" s="1508" t="s">
        <v>8</v>
      </c>
      <c r="W23" s="1509">
        <f>J23</f>
        <v>100</v>
      </c>
      <c r="X23" s="1502"/>
      <c r="Y23" s="4155"/>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4155"/>
      <c r="Q24" s="1507"/>
      <c r="R24" s="1508"/>
      <c r="S24" s="1509"/>
      <c r="T24" s="1508"/>
      <c r="U24" s="1509"/>
      <c r="V24" s="1508"/>
      <c r="W24" s="1509"/>
      <c r="X24" s="1502"/>
      <c r="Y24" s="4155"/>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4155"/>
      <c r="Q25" s="1507">
        <f>B25</f>
        <v>111</v>
      </c>
      <c r="R25" s="1508" t="s">
        <v>8</v>
      </c>
      <c r="S25" s="1509">
        <f>F25</f>
        <v>100</v>
      </c>
      <c r="T25" s="1508" t="s">
        <v>8</v>
      </c>
      <c r="U25" s="1509">
        <f>H25</f>
        <v>100</v>
      </c>
      <c r="V25" s="1508" t="s">
        <v>8</v>
      </c>
      <c r="W25" s="1509">
        <f>J25</f>
        <v>100</v>
      </c>
      <c r="X25" s="1502"/>
      <c r="Y25" s="4155"/>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4155"/>
      <c r="Q26" s="1507">
        <f t="shared" ref="Q26:Q40" si="11">B26</f>
        <v>111</v>
      </c>
      <c r="R26" s="1508" t="s">
        <v>8</v>
      </c>
      <c r="S26" s="1509">
        <f>F26</f>
        <v>100</v>
      </c>
      <c r="T26" s="1508" t="s">
        <v>8</v>
      </c>
      <c r="U26" s="1509">
        <f>H26</f>
        <v>100</v>
      </c>
      <c r="V26" s="1508" t="s">
        <v>8</v>
      </c>
      <c r="W26" s="1509">
        <f>J26</f>
        <v>100</v>
      </c>
      <c r="X26" s="1502"/>
      <c r="Y26" s="4155"/>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4155"/>
      <c r="Q27" s="1134">
        <f t="shared" si="11"/>
        <v>111</v>
      </c>
      <c r="R27" s="1503" t="s">
        <v>8</v>
      </c>
      <c r="S27" s="1504">
        <f>F27</f>
        <v>100</v>
      </c>
      <c r="T27" s="1503" t="s">
        <v>8</v>
      </c>
      <c r="U27" s="1504">
        <f>H27</f>
        <v>100</v>
      </c>
      <c r="V27" s="1503" t="s">
        <v>8</v>
      </c>
      <c r="W27" s="1504">
        <f>J27</f>
        <v>100</v>
      </c>
      <c r="X27" s="1505"/>
      <c r="Y27" s="4155"/>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4155"/>
      <c r="Q28" s="1507">
        <f t="shared" si="11"/>
        <v>111</v>
      </c>
      <c r="R28" s="1508" t="s">
        <v>8</v>
      </c>
      <c r="S28" s="1509">
        <f t="shared" ref="S28:S40" si="12">F28</f>
        <v>100</v>
      </c>
      <c r="T28" s="1508" t="s">
        <v>8</v>
      </c>
      <c r="U28" s="1509">
        <f t="shared" ref="U28:U40" si="13">H28</f>
        <v>100</v>
      </c>
      <c r="V28" s="1508" t="s">
        <v>8</v>
      </c>
      <c r="W28" s="1509">
        <f t="shared" ref="W28:W40" si="14">J28</f>
        <v>100</v>
      </c>
      <c r="X28" s="1502"/>
      <c r="Y28" s="4155"/>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4156" t="s">
        <v>544</v>
      </c>
      <c r="Q29" s="1507" t="str">
        <f t="shared" si="11"/>
        <v>建筑类型</v>
      </c>
      <c r="R29" s="1508" t="s">
        <v>8</v>
      </c>
      <c r="S29" s="1509">
        <f t="shared" si="12"/>
        <v>100</v>
      </c>
      <c r="T29" s="1508" t="s">
        <v>8</v>
      </c>
      <c r="U29" s="1509">
        <f t="shared" si="13"/>
        <v>100</v>
      </c>
      <c r="V29" s="1508" t="s">
        <v>8</v>
      </c>
      <c r="W29" s="1509">
        <f t="shared" si="14"/>
        <v>100</v>
      </c>
      <c r="X29" s="1502"/>
      <c r="Y29" s="4157"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4157"/>
      <c r="Q30" s="1536" t="str">
        <f t="shared" si="11"/>
        <v>项目建筑规模</v>
      </c>
      <c r="R30" s="1512" t="s">
        <v>8</v>
      </c>
      <c r="S30" s="1513" t="e">
        <f t="shared" si="12"/>
        <v>#N/A</v>
      </c>
      <c r="T30" s="1512" t="s">
        <v>8</v>
      </c>
      <c r="U30" s="1513" t="e">
        <f t="shared" si="13"/>
        <v>#N/A</v>
      </c>
      <c r="V30" s="1512" t="s">
        <v>8</v>
      </c>
      <c r="W30" s="1513" t="e">
        <f t="shared" si="14"/>
        <v>#N/A</v>
      </c>
      <c r="X30" s="1514"/>
      <c r="Y30" s="4157"/>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4157"/>
      <c r="Q31" s="1507" t="str">
        <f t="shared" si="11"/>
        <v>建筑结构</v>
      </c>
      <c r="R31" s="1508" t="s">
        <v>8</v>
      </c>
      <c r="S31" s="1509">
        <f t="shared" si="12"/>
        <v>100</v>
      </c>
      <c r="T31" s="1508" t="s">
        <v>8</v>
      </c>
      <c r="U31" s="1509">
        <f t="shared" si="13"/>
        <v>100</v>
      </c>
      <c r="V31" s="1508" t="s">
        <v>8</v>
      </c>
      <c r="W31" s="1509">
        <f t="shared" si="14"/>
        <v>100</v>
      </c>
      <c r="X31" s="1502"/>
      <c r="Y31" s="4157"/>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4157"/>
      <c r="Q32" s="1507" t="str">
        <f t="shared" si="11"/>
        <v>公共部分装修</v>
      </c>
      <c r="R32" s="1508" t="s">
        <v>8</v>
      </c>
      <c r="S32" s="1509">
        <f t="shared" si="12"/>
        <v>100</v>
      </c>
      <c r="T32" s="1508" t="s">
        <v>8</v>
      </c>
      <c r="U32" s="1509">
        <f t="shared" si="13"/>
        <v>100</v>
      </c>
      <c r="V32" s="1508" t="s">
        <v>8</v>
      </c>
      <c r="W32" s="1509">
        <f t="shared" si="14"/>
        <v>100</v>
      </c>
      <c r="X32" s="1502"/>
      <c r="Y32" s="4157"/>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4157"/>
      <c r="Q33" s="1507" t="str">
        <f t="shared" si="11"/>
        <v>成新度</v>
      </c>
      <c r="R33" s="1508" t="s">
        <v>8</v>
      </c>
      <c r="S33" s="1509" t="e">
        <f t="shared" si="12"/>
        <v>#N/A</v>
      </c>
      <c r="T33" s="1508" t="s">
        <v>8</v>
      </c>
      <c r="U33" s="1509" t="e">
        <f t="shared" si="13"/>
        <v>#N/A</v>
      </c>
      <c r="V33" s="1508" t="s">
        <v>8</v>
      </c>
      <c r="W33" s="1509" t="e">
        <f t="shared" si="14"/>
        <v>#N/A</v>
      </c>
      <c r="X33" s="1502"/>
      <c r="Y33" s="4157"/>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4157"/>
      <c r="Q34" s="1134" t="str">
        <f t="shared" si="11"/>
        <v>物业管理</v>
      </c>
      <c r="R34" s="1503" t="s">
        <v>8</v>
      </c>
      <c r="S34" s="1504">
        <f t="shared" si="12"/>
        <v>100</v>
      </c>
      <c r="T34" s="1503" t="s">
        <v>8</v>
      </c>
      <c r="U34" s="1504">
        <f t="shared" si="13"/>
        <v>100</v>
      </c>
      <c r="V34" s="1503" t="s">
        <v>8</v>
      </c>
      <c r="W34" s="1504">
        <f t="shared" si="14"/>
        <v>100</v>
      </c>
      <c r="X34" s="1505"/>
      <c r="Y34" s="4157"/>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4157" t="s">
        <v>544</v>
      </c>
      <c r="Q35" s="1507" t="str">
        <f t="shared" si="11"/>
        <v>市政基础设施</v>
      </c>
      <c r="R35" s="1508" t="s">
        <v>8</v>
      </c>
      <c r="S35" s="1509">
        <f t="shared" si="12"/>
        <v>100</v>
      </c>
      <c r="T35" s="1508" t="s">
        <v>8</v>
      </c>
      <c r="U35" s="1509">
        <f t="shared" si="13"/>
        <v>100</v>
      </c>
      <c r="V35" s="1508" t="s">
        <v>8</v>
      </c>
      <c r="W35" s="1509">
        <f t="shared" si="14"/>
        <v>100</v>
      </c>
      <c r="X35" s="1502"/>
      <c r="Y35" s="4157"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4157"/>
      <c r="Q36" s="1507" t="str">
        <f t="shared" si="11"/>
        <v>内部装修</v>
      </c>
      <c r="R36" s="1508" t="s">
        <v>8</v>
      </c>
      <c r="S36" s="1509">
        <f t="shared" si="12"/>
        <v>100</v>
      </c>
      <c r="T36" s="1508" t="s">
        <v>8</v>
      </c>
      <c r="U36" s="1509">
        <f t="shared" si="13"/>
        <v>100</v>
      </c>
      <c r="V36" s="1508" t="s">
        <v>8</v>
      </c>
      <c r="W36" s="1509">
        <f t="shared" si="14"/>
        <v>100</v>
      </c>
      <c r="X36" s="1502"/>
      <c r="Y36" s="4157"/>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4157"/>
      <c r="Q37" s="1507" t="str">
        <f t="shared" si="11"/>
        <v>内部装修状况</v>
      </c>
      <c r="R37" s="1508" t="s">
        <v>8</v>
      </c>
      <c r="S37" s="1509">
        <f t="shared" si="12"/>
        <v>100</v>
      </c>
      <c r="T37" s="1508" t="s">
        <v>8</v>
      </c>
      <c r="U37" s="1509">
        <f t="shared" si="13"/>
        <v>100</v>
      </c>
      <c r="V37" s="1508" t="s">
        <v>8</v>
      </c>
      <c r="W37" s="1509">
        <f t="shared" si="14"/>
        <v>100</v>
      </c>
      <c r="X37" s="1502"/>
      <c r="Y37" s="4157"/>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4157"/>
      <c r="Q38" s="1536">
        <f t="shared" si="11"/>
        <v>111</v>
      </c>
      <c r="R38" s="1512" t="s">
        <v>8</v>
      </c>
      <c r="S38" s="1513">
        <f t="shared" si="12"/>
        <v>100</v>
      </c>
      <c r="T38" s="1512" t="s">
        <v>8</v>
      </c>
      <c r="U38" s="1513">
        <f t="shared" si="13"/>
        <v>100</v>
      </c>
      <c r="V38" s="1512" t="s">
        <v>8</v>
      </c>
      <c r="W38" s="1513">
        <f t="shared" si="14"/>
        <v>100</v>
      </c>
      <c r="X38" s="1514"/>
      <c r="Y38" s="4157"/>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4157"/>
      <c r="Q39" s="1507">
        <f t="shared" si="11"/>
        <v>111</v>
      </c>
      <c r="R39" s="1508" t="s">
        <v>8</v>
      </c>
      <c r="S39" s="1509">
        <f t="shared" si="12"/>
        <v>100</v>
      </c>
      <c r="T39" s="1508" t="s">
        <v>8</v>
      </c>
      <c r="U39" s="1509">
        <f t="shared" si="13"/>
        <v>100</v>
      </c>
      <c r="V39" s="1508" t="s">
        <v>8</v>
      </c>
      <c r="W39" s="1509">
        <f t="shared" si="14"/>
        <v>100</v>
      </c>
      <c r="X39" s="1502"/>
      <c r="Y39" s="4157"/>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4220"/>
      <c r="Q40" s="1507">
        <f t="shared" si="11"/>
        <v>111</v>
      </c>
      <c r="R40" s="1508" t="s">
        <v>8</v>
      </c>
      <c r="S40" s="1509">
        <f t="shared" si="12"/>
        <v>100</v>
      </c>
      <c r="T40" s="1508" t="s">
        <v>8</v>
      </c>
      <c r="U40" s="1509">
        <f t="shared" si="13"/>
        <v>100</v>
      </c>
      <c r="V40" s="1508" t="s">
        <v>8</v>
      </c>
      <c r="W40" s="1509">
        <f t="shared" si="14"/>
        <v>100</v>
      </c>
      <c r="X40" s="1502"/>
      <c r="Y40" s="4220"/>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4152" t="str">
        <f>A41</f>
        <v>成交单价（元/平方米）</v>
      </c>
      <c r="Q41" s="4152"/>
      <c r="R41" s="4219">
        <f>E41</f>
        <v>0</v>
      </c>
      <c r="S41" s="4219"/>
      <c r="T41" s="4219">
        <f>G41</f>
        <v>0</v>
      </c>
      <c r="U41" s="4219"/>
      <c r="V41" s="4219">
        <f>I41</f>
        <v>0</v>
      </c>
      <c r="W41" s="4219"/>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4152" t="str">
        <f>A42</f>
        <v>比较价格（元/平方米）</v>
      </c>
      <c r="Q42" s="4152"/>
      <c r="R42" s="4219" t="e">
        <f>IF(F1="售价",ROUND(PRODUCT(R41,AA7:AA40),0),ROUND(PRODUCT(R41,AA7:AA40),1))</f>
        <v>#DIV/0!</v>
      </c>
      <c r="S42" s="4219"/>
      <c r="T42" s="4219" t="e">
        <f>IF(F1="售价",ROUND(PRODUCT(T41,AB7:AB40),0),ROUND(PRODUCT(T41,AB7:AB40),1))</f>
        <v>#DIV/0!</v>
      </c>
      <c r="U42" s="4219"/>
      <c r="V42" s="4219" t="e">
        <f>IF(F1="售价",ROUND(PRODUCT(V41,AC7:AC40),0),ROUND(PRODUCT(V41,AC7:AC40),1))</f>
        <v>#DIV/0!</v>
      </c>
      <c r="W42" s="4219"/>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4173" t="str">
        <f>A43</f>
        <v>估价对象XX用房的比较价格（楼面单价，元/平方米）</v>
      </c>
      <c r="Q43" s="4174"/>
      <c r="R43" s="4218" t="e">
        <f>IF(F1="售价",ROUND(IF(D42="简单平均",AVERAGE(R42:V42),R42*F42+T42*H42+V42*J42),0),ROUND(IF(D42="简单平均",AVERAGE(R42:V42),R42*F42+T42*H42+V42*J42),1))</f>
        <v>#DIV/0!</v>
      </c>
      <c r="S43" s="4218"/>
      <c r="T43" s="4218"/>
      <c r="U43" s="4218"/>
      <c r="V43" s="4218"/>
      <c r="W43" s="4218"/>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9" priority="20" stopIfTrue="1" operator="containsText" text="超过">
      <formula>NOT(ISERROR(SEARCH("超过",F46)))</formula>
    </cfRule>
  </conditionalFormatting>
  <conditionalFormatting sqref="H48">
    <cfRule type="containsText" dxfId="18" priority="19" stopIfTrue="1" operator="containsText" text="超过">
      <formula>NOT(ISERROR(SEARCH("超过",H48)))</formula>
    </cfRule>
  </conditionalFormatting>
  <conditionalFormatting sqref="F48">
    <cfRule type="containsText" dxfId="17" priority="18" stopIfTrue="1" operator="containsText" text="超过">
      <formula>NOT(ISERROR(SEARCH("超过",F48)))</formula>
    </cfRule>
  </conditionalFormatting>
  <conditionalFormatting sqref="F47 H47">
    <cfRule type="containsText" dxfId="16" priority="17" stopIfTrue="1" operator="containsText" text="超过">
      <formula>NOT(ISERROR(SEARCH("超过",F47)))</formula>
    </cfRule>
  </conditionalFormatting>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G48">
    <cfRule type="expression" dxfId="12" priority="13" stopIfTrue="1">
      <formula>$H$48="超过30%"</formula>
    </cfRule>
  </conditionalFormatting>
  <conditionalFormatting sqref="G46">
    <cfRule type="expression" dxfId="11" priority="12" stopIfTrue="1">
      <formula>$H$46="超过30%"</formula>
    </cfRule>
  </conditionalFormatting>
  <conditionalFormatting sqref="G47">
    <cfRule type="expression" dxfId="10" priority="11" stopIfTrue="1">
      <formula>$H$47="超过20%"</formula>
    </cfRule>
  </conditionalFormatting>
  <conditionalFormatting sqref="J46">
    <cfRule type="containsText" dxfId="9" priority="10" stopIfTrue="1" operator="containsText" text="超过">
      <formula>NOT(ISERROR(SEARCH("超过",J46)))</formula>
    </cfRule>
  </conditionalFormatting>
  <conditionalFormatting sqref="J48">
    <cfRule type="containsText" dxfId="8" priority="9" stopIfTrue="1" operator="containsText" text="超过">
      <formula>NOT(ISERROR(SEARCH("超过",J48)))</formula>
    </cfRule>
  </conditionalFormatting>
  <conditionalFormatting sqref="J47">
    <cfRule type="containsText" dxfId="7" priority="8" stopIfTrue="1" operator="containsText" text="超过">
      <formula>NOT(ISERROR(SEARCH("超过",J47)))</formula>
    </cfRule>
  </conditionalFormatting>
  <conditionalFormatting sqref="I46">
    <cfRule type="expression" dxfId="6" priority="7" stopIfTrue="1">
      <formula>$J$46="超过30%"</formula>
    </cfRule>
  </conditionalFormatting>
  <conditionalFormatting sqref="I47">
    <cfRule type="expression" dxfId="5" priority="6" stopIfTrue="1">
      <formula>$J$47="超过20%"</formula>
    </cfRule>
  </conditionalFormatting>
  <conditionalFormatting sqref="I48">
    <cfRule type="expression" dxfId="4" priority="5" stopIfTrue="1">
      <formula>$J$48="超过30%"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18">
    <dataValidation type="list" allowBlank="1" showInputMessage="1" showErrorMessage="1" sqref="C10 E10 G10 I10" xr:uid="{00000000-0002-0000-3200-000000000000}">
      <formula1>土地年限区间</formula1>
    </dataValidation>
    <dataValidation type="list" allowBlank="1" showInputMessage="1" showErrorMessage="1" sqref="D1" xr:uid="{00000000-0002-0000-3200-000001000000}">
      <formula1>项目类型</formula1>
    </dataValidation>
    <dataValidation type="list" allowBlank="1" showInputMessage="1" showErrorMessage="1" sqref="C20 G20 I20 E20" xr:uid="{00000000-0002-0000-3200-000002000000}">
      <formula1>公共配套设施</formula1>
    </dataValidation>
    <dataValidation type="list" allowBlank="1" showInputMessage="1" showErrorMessage="1" sqref="E18 G18 I18 C18" xr:uid="{00000000-0002-0000-3200-000003000000}">
      <formula1>交通便捷度</formula1>
    </dataValidation>
    <dataValidation type="list" allowBlank="1" showInputMessage="1" showErrorMessage="1" sqref="E24 G24 I24 C24" xr:uid="{00000000-0002-0000-3200-000004000000}">
      <formula1>环境</formula1>
    </dataValidation>
    <dataValidation type="list" allowBlank="1" showInputMessage="1" showErrorMessage="1" sqref="C8 E8 G8 I8" xr:uid="{00000000-0002-0000-3200-000005000000}">
      <formula1>工业交易情况</formula1>
    </dataValidation>
    <dataValidation type="list" allowBlank="1" showInputMessage="1" showErrorMessage="1" sqref="E9 G9 I9" xr:uid="{00000000-0002-0000-3200-000006000000}">
      <formula1>工业用途</formula1>
    </dataValidation>
    <dataValidation type="list" allowBlank="1" showInputMessage="1" showErrorMessage="1" sqref="C29 E29 G29 I29" xr:uid="{00000000-0002-0000-3200-000007000000}">
      <formula1>工业建筑类型</formula1>
    </dataValidation>
    <dataValidation type="list" allowBlank="1" showInputMessage="1" showErrorMessage="1" sqref="C31 E31 G31 I31" xr:uid="{00000000-0002-0000-3200-000008000000}">
      <formula1>工业建筑结构</formula1>
    </dataValidation>
    <dataValidation type="list" allowBlank="1" showInputMessage="1" showErrorMessage="1" sqref="C32 E32 G32 I32" xr:uid="{00000000-0002-0000-3200-000009000000}">
      <formula1>工业公共部分装修</formula1>
    </dataValidation>
    <dataValidation type="list" allowBlank="1" showInputMessage="1" showErrorMessage="1" sqref="C34 E34 G34 I34" xr:uid="{00000000-0002-0000-3200-00000A000000}">
      <formula1>工业物业管理</formula1>
    </dataValidation>
    <dataValidation type="list" allowBlank="1" showInputMessage="1" showErrorMessage="1" sqref="C35 E35 G35 I35" xr:uid="{00000000-0002-0000-3200-00000B000000}">
      <formula1>工业基础设施水平</formula1>
    </dataValidation>
    <dataValidation type="list" allowBlank="1" showInputMessage="1" showErrorMessage="1" sqref="C36 E36 G36 I36" xr:uid="{00000000-0002-0000-3200-00000C000000}">
      <formula1>工业内部装修</formula1>
    </dataValidation>
    <dataValidation type="list" allowBlank="1" showInputMessage="1" showErrorMessage="1" sqref="C37 E37 G37 I37" xr:uid="{00000000-0002-0000-3200-00000D000000}">
      <formula1>内部装修维护情况</formula1>
    </dataValidation>
    <dataValidation type="list" allowBlank="1" showInputMessage="1" showErrorMessage="1" sqref="C16 E16 G16 I16" xr:uid="{00000000-0002-0000-3200-00000E000000}">
      <formula1>产业集聚程度</formula1>
    </dataValidation>
    <dataValidation type="list" allowBlank="1" showInputMessage="1" showErrorMessage="1" sqref="C22 E22 G22 I22" xr:uid="{00000000-0002-0000-3200-00000F000000}">
      <formula1>基础设施水平</formula1>
    </dataValidation>
    <dataValidation type="list" allowBlank="1" showInputMessage="1" showErrorMessage="1" sqref="F1" xr:uid="{00000000-0002-0000-3200-000010000000}">
      <formula1>"售价,租金"</formula1>
    </dataValidation>
    <dataValidation type="list" allowBlank="1" showInputMessage="1" showErrorMessage="1" sqref="D42" xr:uid="{00000000-0002-0000-32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0">
    <tabColor theme="7" tint="-0.249977111117893"/>
  </sheetPr>
  <dimension ref="A1:G33"/>
  <sheetViews>
    <sheetView zoomScale="90" zoomScaleNormal="90" workbookViewId="0">
      <selection activeCell="F18" sqref="F18"/>
    </sheetView>
  </sheetViews>
  <sheetFormatPr defaultRowHeight="13.5"/>
  <cols>
    <col min="1" max="1" width="17.125" customWidth="1"/>
    <col min="2" max="2" width="11.875" customWidth="1"/>
    <col min="3" max="3" width="11.375" customWidth="1"/>
    <col min="4" max="4" width="11.875" customWidth="1"/>
    <col min="5" max="5" width="1.625" customWidth="1"/>
    <col min="6" max="6" width="26.625" customWidth="1"/>
    <col min="7" max="7" width="7.625" customWidth="1"/>
  </cols>
  <sheetData>
    <row r="1" spans="1:7">
      <c r="F1" s="3248" t="s">
        <v>4200</v>
      </c>
      <c r="G1" s="3248" t="s">
        <v>4236</v>
      </c>
    </row>
    <row r="2" spans="1:7">
      <c r="A2" s="4427" t="s">
        <v>3908</v>
      </c>
      <c r="B2" s="4427"/>
      <c r="C2" s="4427"/>
      <c r="D2" s="4427"/>
      <c r="F2" s="3248" t="s">
        <v>4232</v>
      </c>
      <c r="G2" s="3855">
        <v>0.44</v>
      </c>
    </row>
    <row r="3" spans="1:7">
      <c r="A3" s="4425" t="s">
        <v>3909</v>
      </c>
      <c r="B3" s="4425"/>
      <c r="C3" s="4426">
        <v>0.75</v>
      </c>
      <c r="D3" s="4426"/>
      <c r="F3" s="3856" t="s">
        <v>4233</v>
      </c>
      <c r="G3" s="3857">
        <v>0.3</v>
      </c>
    </row>
    <row r="4" spans="1:7">
      <c r="A4" s="4425" t="s">
        <v>3910</v>
      </c>
      <c r="B4" s="4425"/>
      <c r="C4" s="4426">
        <v>30</v>
      </c>
      <c r="D4" s="4426"/>
      <c r="F4" s="3248" t="s">
        <v>4234</v>
      </c>
      <c r="G4" s="3855">
        <v>0.16</v>
      </c>
    </row>
    <row r="5" spans="1:7">
      <c r="A5" s="4425" t="s">
        <v>3911</v>
      </c>
      <c r="B5" s="4425"/>
      <c r="C5" s="4426">
        <v>7785.17</v>
      </c>
      <c r="D5" s="4426"/>
      <c r="F5" s="3248" t="s">
        <v>4235</v>
      </c>
      <c r="G5" s="3855">
        <v>0.1</v>
      </c>
    </row>
    <row r="6" spans="1:7">
      <c r="A6" s="4425" t="s">
        <v>3912</v>
      </c>
      <c r="B6" s="4425"/>
      <c r="C6" s="4426">
        <f>ROUND(C3*C4*C5/10000,2)</f>
        <v>17.52</v>
      </c>
      <c r="D6" s="4426"/>
    </row>
    <row r="8" spans="1:7" ht="53.25" customHeight="1">
      <c r="A8" s="4427" t="s">
        <v>3913</v>
      </c>
      <c r="B8" s="4427"/>
      <c r="C8" s="4427"/>
      <c r="D8" s="4427"/>
      <c r="F8" s="3825" t="s">
        <v>3914</v>
      </c>
      <c r="G8" s="3248"/>
    </row>
    <row r="9" spans="1:7">
      <c r="A9" s="3794"/>
      <c r="B9" s="3793" t="s">
        <v>3915</v>
      </c>
      <c r="C9" s="3795" t="s">
        <v>3916</v>
      </c>
      <c r="D9" s="3795" t="s">
        <v>3917</v>
      </c>
      <c r="F9" s="3796">
        <f>ROUND((C6+B14+C19)*C24,4)</f>
        <v>617.98800000000006</v>
      </c>
    </row>
    <row r="10" spans="1:7">
      <c r="A10" s="3794" t="s">
        <v>4087</v>
      </c>
      <c r="B10" s="3797">
        <f>丰怀利润表!G8</f>
        <v>2041056.4</v>
      </c>
      <c r="C10" s="3795" t="s">
        <v>3918</v>
      </c>
      <c r="D10" s="3798">
        <f>ROUND(B10/12,2)</f>
        <v>170088.03</v>
      </c>
      <c r="F10" s="3854">
        <f>ROUND(F9*G3,4)</f>
        <v>185.3964</v>
      </c>
    </row>
    <row r="11" spans="1:7">
      <c r="A11" s="3794" t="s">
        <v>4201</v>
      </c>
      <c r="B11" s="3793" t="s">
        <v>3918</v>
      </c>
      <c r="C11" s="3853">
        <v>0</v>
      </c>
      <c r="D11" s="3798">
        <f>ROUND(C11/5,2)</f>
        <v>0</v>
      </c>
    </row>
    <row r="12" spans="1:7">
      <c r="A12" s="3794" t="s">
        <v>3919</v>
      </c>
      <c r="B12" s="4430">
        <f>D10</f>
        <v>170088.03</v>
      </c>
      <c r="C12" s="4431"/>
      <c r="D12" s="4431"/>
      <c r="F12" s="3248"/>
    </row>
    <row r="13" spans="1:7">
      <c r="A13" s="3794" t="s">
        <v>3920</v>
      </c>
      <c r="B13" s="4431">
        <v>1.2</v>
      </c>
      <c r="C13" s="4431"/>
      <c r="D13" s="4431"/>
    </row>
    <row r="14" spans="1:7">
      <c r="A14" s="3794" t="s">
        <v>3912</v>
      </c>
      <c r="B14" s="4426">
        <f>ROUND(B12*B13/10000,2)</f>
        <v>20.41</v>
      </c>
      <c r="C14" s="4426"/>
      <c r="D14" s="4426"/>
    </row>
    <row r="16" spans="1:7">
      <c r="A16" s="4427" t="s">
        <v>3921</v>
      </c>
      <c r="B16" s="4427"/>
      <c r="C16" s="4427"/>
      <c r="D16" s="4427"/>
    </row>
    <row r="17" spans="1:7">
      <c r="A17" s="4425" t="s">
        <v>3922</v>
      </c>
      <c r="B17" s="4425"/>
      <c r="C17" s="4426">
        <v>162</v>
      </c>
      <c r="D17" s="4426"/>
    </row>
    <row r="18" spans="1:7">
      <c r="A18" s="4428" t="s">
        <v>3923</v>
      </c>
      <c r="B18" s="4428"/>
      <c r="C18" s="4426">
        <v>2200</v>
      </c>
      <c r="D18" s="4426"/>
    </row>
    <row r="19" spans="1:7">
      <c r="A19" s="4428" t="s">
        <v>3924</v>
      </c>
      <c r="B19" s="4428"/>
      <c r="C19" s="4429">
        <f>ROUND(C17*C18/10000,2)</f>
        <v>35.64</v>
      </c>
      <c r="D19" s="4429"/>
    </row>
    <row r="21" spans="1:7" ht="27" customHeight="1">
      <c r="A21" s="4427" t="s">
        <v>3925</v>
      </c>
      <c r="B21" s="4427"/>
      <c r="C21" s="4427"/>
      <c r="D21" s="4427"/>
    </row>
    <row r="22" spans="1:7">
      <c r="A22" s="4425" t="s">
        <v>3926</v>
      </c>
      <c r="B22" s="4425"/>
      <c r="C22" s="4426">
        <v>7</v>
      </c>
      <c r="D22" s="4426"/>
    </row>
    <row r="23" spans="1:7">
      <c r="A23" s="4425" t="s">
        <v>3927</v>
      </c>
      <c r="B23" s="4425"/>
      <c r="C23" s="4426">
        <v>1.2</v>
      </c>
      <c r="D23" s="4426"/>
    </row>
    <row r="24" spans="1:7">
      <c r="A24" s="4425" t="s">
        <v>3884</v>
      </c>
      <c r="B24" s="4425"/>
      <c r="C24" s="4426">
        <f>C22*C23</f>
        <v>8.4</v>
      </c>
      <c r="D24" s="4426"/>
    </row>
    <row r="26" spans="1:7" ht="27" hidden="1" customHeight="1">
      <c r="A26" s="4427" t="s">
        <v>3928</v>
      </c>
      <c r="B26" s="4427"/>
      <c r="C26" s="4427"/>
      <c r="D26" s="4427"/>
      <c r="E26" s="4427"/>
    </row>
    <row r="27" spans="1:7" ht="19.5" hidden="1" customHeight="1">
      <c r="A27" s="3280"/>
      <c r="B27" s="3793" t="s">
        <v>3929</v>
      </c>
      <c r="C27" s="3793" t="s">
        <v>3930</v>
      </c>
      <c r="D27" s="3793" t="s">
        <v>3931</v>
      </c>
      <c r="E27" s="3793" t="s">
        <v>3932</v>
      </c>
    </row>
    <row r="28" spans="1:7" ht="19.5" hidden="1" customHeight="1">
      <c r="A28" s="3280">
        <v>2016</v>
      </c>
      <c r="B28" s="3280">
        <v>2786326.89</v>
      </c>
      <c r="C28" s="3280">
        <v>3469815.75</v>
      </c>
      <c r="D28" s="3280">
        <v>2100387.9</v>
      </c>
      <c r="E28" s="3280">
        <v>0</v>
      </c>
    </row>
    <row r="29" spans="1:7" ht="19.5" hidden="1" customHeight="1">
      <c r="A29" s="3280">
        <v>2017</v>
      </c>
      <c r="B29" s="3280">
        <v>2189387.89</v>
      </c>
      <c r="C29" s="3280">
        <v>4253423.3099999996</v>
      </c>
      <c r="D29" s="3280">
        <v>1492644.47</v>
      </c>
      <c r="E29" s="3280">
        <v>256668.24</v>
      </c>
    </row>
    <row r="30" spans="1:7" ht="19.5" hidden="1" customHeight="1">
      <c r="A30" s="3280">
        <v>2018</v>
      </c>
      <c r="B30" s="3280">
        <v>1665874.21</v>
      </c>
      <c r="C30" s="3793" t="s">
        <v>3883</v>
      </c>
      <c r="D30" s="3793" t="s">
        <v>3883</v>
      </c>
      <c r="E30" s="3793" t="s">
        <v>3883</v>
      </c>
      <c r="G30">
        <f>B30+C29+D29+E29</f>
        <v>7668610.2299999995</v>
      </c>
    </row>
    <row r="31" spans="1:7" hidden="1">
      <c r="G31" s="3799"/>
    </row>
    <row r="32" spans="1:7" hidden="1">
      <c r="G32">
        <f>G30/12</f>
        <v>639050.85249999992</v>
      </c>
    </row>
    <row r="33" spans="7:7" hidden="1">
      <c r="G33" s="3800">
        <f>G32/0.25*0.75</f>
        <v>1917152.5574999996</v>
      </c>
    </row>
  </sheetData>
  <mergeCells count="28">
    <mergeCell ref="A26:E26"/>
    <mergeCell ref="A21:D21"/>
    <mergeCell ref="A22:B22"/>
    <mergeCell ref="C22:D22"/>
    <mergeCell ref="A23:B23"/>
    <mergeCell ref="C23:D23"/>
    <mergeCell ref="A24:B24"/>
    <mergeCell ref="C24:D24"/>
    <mergeCell ref="A19:B19"/>
    <mergeCell ref="C19:D19"/>
    <mergeCell ref="A6:B6"/>
    <mergeCell ref="C6:D6"/>
    <mergeCell ref="A8:D8"/>
    <mergeCell ref="B12:D12"/>
    <mergeCell ref="B13:D13"/>
    <mergeCell ref="B14:D14"/>
    <mergeCell ref="A16:D16"/>
    <mergeCell ref="A17:B17"/>
    <mergeCell ref="C17:D17"/>
    <mergeCell ref="A18:B18"/>
    <mergeCell ref="C18:D18"/>
    <mergeCell ref="A5:B5"/>
    <mergeCell ref="C5:D5"/>
    <mergeCell ref="A2:D2"/>
    <mergeCell ref="A3:B3"/>
    <mergeCell ref="C3:D3"/>
    <mergeCell ref="A4:B4"/>
    <mergeCell ref="C4:D4"/>
  </mergeCells>
  <phoneticPr fontId="22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42"/>
  <sheetViews>
    <sheetView topLeftCell="A7" workbookViewId="0">
      <selection activeCell="G8" sqref="G8"/>
    </sheetView>
  </sheetViews>
  <sheetFormatPr defaultColWidth="9" defaultRowHeight="13.5"/>
  <cols>
    <col min="1" max="1" width="46.5" style="3802" customWidth="1"/>
    <col min="2" max="2" width="5.625" style="3802" customWidth="1"/>
    <col min="3" max="4" width="17.125" style="3802" customWidth="1"/>
    <col min="5" max="5" width="37.625" style="3802" customWidth="1"/>
    <col min="6" max="6" width="5.625" style="3802" customWidth="1"/>
    <col min="7" max="7" width="14.625" style="3802" customWidth="1"/>
    <col min="8" max="8" width="17.125" style="3802" customWidth="1"/>
    <col min="9" max="16384" width="9" style="3802"/>
  </cols>
  <sheetData>
    <row r="1" spans="1:9" ht="27">
      <c r="A1" s="3801"/>
      <c r="E1" s="3803" t="s">
        <v>3933</v>
      </c>
      <c r="G1" s="3802">
        <f>G8/12</f>
        <v>170088.03333333333</v>
      </c>
    </row>
    <row r="2" spans="1:9">
      <c r="G2" s="3804">
        <f>G6-G7</f>
        <v>2041056.4</v>
      </c>
      <c r="H2" s="3805" t="s">
        <v>3934</v>
      </c>
    </row>
    <row r="3" spans="1:9" ht="14.25" thickBot="1">
      <c r="A3" s="3801" t="s">
        <v>3935</v>
      </c>
      <c r="E3" s="3806" t="s">
        <v>3936</v>
      </c>
      <c r="H3" s="3805" t="s">
        <v>3937</v>
      </c>
    </row>
    <row r="4" spans="1:9" ht="15" customHeight="1" thickTop="1">
      <c r="A4" s="3807" t="s">
        <v>3938</v>
      </c>
      <c r="B4" s="3807" t="s">
        <v>3939</v>
      </c>
      <c r="C4" s="3807" t="s">
        <v>3940</v>
      </c>
      <c r="D4" s="3807" t="s">
        <v>3941</v>
      </c>
      <c r="E4" s="3807" t="s">
        <v>3938</v>
      </c>
      <c r="F4" s="3807" t="s">
        <v>3939</v>
      </c>
      <c r="G4" s="3807" t="s">
        <v>3940</v>
      </c>
      <c r="H4" s="3808" t="s">
        <v>3941</v>
      </c>
      <c r="I4" s="3809"/>
    </row>
    <row r="5" spans="1:9" ht="15" customHeight="1">
      <c r="A5" s="3810" t="s">
        <v>3942</v>
      </c>
      <c r="B5" s="3811" t="s">
        <v>3943</v>
      </c>
      <c r="C5" s="3812">
        <v>113274960.45999999</v>
      </c>
      <c r="D5" s="3812">
        <v>89355105.969999999</v>
      </c>
      <c r="E5" s="3813" t="s">
        <v>3944</v>
      </c>
      <c r="F5" s="3811" t="s">
        <v>3945</v>
      </c>
      <c r="G5" s="3812">
        <v>111987.67</v>
      </c>
      <c r="H5" s="3814">
        <v>33904.28</v>
      </c>
      <c r="I5" s="3809"/>
    </row>
    <row r="6" spans="1:9" ht="15" customHeight="1">
      <c r="A6" s="3813" t="s">
        <v>3946</v>
      </c>
      <c r="B6" s="3811" t="s">
        <v>3947</v>
      </c>
      <c r="C6" s="3812">
        <v>113274960.45999999</v>
      </c>
      <c r="D6" s="3812">
        <v>89355105.969999999</v>
      </c>
      <c r="E6" s="3810" t="s">
        <v>3948</v>
      </c>
      <c r="F6" s="3811" t="s">
        <v>3949</v>
      </c>
      <c r="G6" s="3812">
        <v>2033323.42</v>
      </c>
      <c r="H6" s="3814">
        <v>-10301895.18</v>
      </c>
      <c r="I6" s="3809"/>
    </row>
    <row r="7" spans="1:9" ht="15" customHeight="1">
      <c r="A7" s="3813" t="s">
        <v>3950</v>
      </c>
      <c r="B7" s="3811" t="s">
        <v>3951</v>
      </c>
      <c r="C7" s="3812">
        <v>0</v>
      </c>
      <c r="D7" s="3812">
        <v>0</v>
      </c>
      <c r="E7" s="3813" t="s">
        <v>3952</v>
      </c>
      <c r="F7" s="3811" t="s">
        <v>3953</v>
      </c>
      <c r="G7" s="3812">
        <v>-7732.98</v>
      </c>
      <c r="H7" s="3814">
        <v>-60309.07</v>
      </c>
      <c r="I7" s="3809"/>
    </row>
    <row r="8" spans="1:9" ht="15" customHeight="1">
      <c r="A8" s="3813" t="s">
        <v>3954</v>
      </c>
      <c r="B8" s="3811" t="s">
        <v>3955</v>
      </c>
      <c r="C8" s="3812">
        <v>0</v>
      </c>
      <c r="D8" s="3812">
        <v>0</v>
      </c>
      <c r="E8" s="3810" t="s">
        <v>3956</v>
      </c>
      <c r="F8" s="3811" t="s">
        <v>3957</v>
      </c>
      <c r="G8" s="3852">
        <v>2041056.4</v>
      </c>
      <c r="H8" s="3814">
        <v>-10241586.109999999</v>
      </c>
      <c r="I8" s="3809"/>
    </row>
    <row r="9" spans="1:9" ht="15" customHeight="1">
      <c r="A9" s="3813" t="s">
        <v>3958</v>
      </c>
      <c r="B9" s="3811" t="s">
        <v>3959</v>
      </c>
      <c r="C9" s="3812">
        <v>0</v>
      </c>
      <c r="D9" s="3812">
        <v>0</v>
      </c>
      <c r="E9" s="3813" t="s">
        <v>3960</v>
      </c>
      <c r="F9" s="3811" t="s">
        <v>3961</v>
      </c>
      <c r="G9" s="3815" t="s">
        <v>3962</v>
      </c>
      <c r="H9" s="3816" t="s">
        <v>3962</v>
      </c>
      <c r="I9" s="3809"/>
    </row>
    <row r="10" spans="1:9" ht="15" customHeight="1">
      <c r="A10" s="3810" t="s">
        <v>3963</v>
      </c>
      <c r="B10" s="3811" t="s">
        <v>3964</v>
      </c>
      <c r="C10" s="3812">
        <v>111924914.31</v>
      </c>
      <c r="D10" s="3812">
        <v>99648898.530000001</v>
      </c>
      <c r="E10" s="3813" t="s">
        <v>3965</v>
      </c>
      <c r="F10" s="3811" t="s">
        <v>3966</v>
      </c>
      <c r="G10" s="3812">
        <v>2041056.4</v>
      </c>
      <c r="H10" s="3814">
        <v>-10241586.109999999</v>
      </c>
      <c r="I10" s="3809"/>
    </row>
    <row r="11" spans="1:9" ht="15" customHeight="1">
      <c r="A11" s="3813" t="s">
        <v>3967</v>
      </c>
      <c r="B11" s="3811" t="s">
        <v>3968</v>
      </c>
      <c r="C11" s="3812">
        <v>93977437.549999997</v>
      </c>
      <c r="D11" s="3812">
        <v>77287981.799999997</v>
      </c>
      <c r="E11" s="3813" t="s">
        <v>3969</v>
      </c>
      <c r="F11" s="3811" t="s">
        <v>3970</v>
      </c>
      <c r="G11" s="3812">
        <v>0</v>
      </c>
      <c r="H11" s="3814">
        <v>0</v>
      </c>
      <c r="I11" s="3809"/>
    </row>
    <row r="12" spans="1:9" ht="15" customHeight="1">
      <c r="A12" s="3813" t="s">
        <v>3971</v>
      </c>
      <c r="B12" s="3811" t="s">
        <v>3972</v>
      </c>
      <c r="C12" s="3812">
        <v>0</v>
      </c>
      <c r="D12" s="3812">
        <v>0</v>
      </c>
      <c r="E12" s="3813" t="s">
        <v>3973</v>
      </c>
      <c r="F12" s="3811" t="s">
        <v>3974</v>
      </c>
      <c r="G12" s="3815" t="s">
        <v>3962</v>
      </c>
      <c r="H12" s="3816" t="s">
        <v>3962</v>
      </c>
      <c r="I12" s="3809"/>
    </row>
    <row r="13" spans="1:9" ht="15" customHeight="1">
      <c r="A13" s="3813" t="s">
        <v>3975</v>
      </c>
      <c r="B13" s="3811" t="s">
        <v>3976</v>
      </c>
      <c r="C13" s="3812">
        <v>0</v>
      </c>
      <c r="D13" s="3812">
        <v>0</v>
      </c>
      <c r="E13" s="3813" t="s">
        <v>3977</v>
      </c>
      <c r="F13" s="3811" t="s">
        <v>3978</v>
      </c>
      <c r="G13" s="3812">
        <v>2041056.4</v>
      </c>
      <c r="H13" s="3814">
        <v>-10241586.109999999</v>
      </c>
      <c r="I13" s="3809"/>
    </row>
    <row r="14" spans="1:9" ht="15" customHeight="1">
      <c r="A14" s="3813" t="s">
        <v>3979</v>
      </c>
      <c r="B14" s="3811" t="s">
        <v>3980</v>
      </c>
      <c r="C14" s="3812">
        <v>0</v>
      </c>
      <c r="D14" s="3812">
        <v>0</v>
      </c>
      <c r="E14" s="3813" t="s">
        <v>3981</v>
      </c>
      <c r="F14" s="3811" t="s">
        <v>3982</v>
      </c>
      <c r="G14" s="3812">
        <v>0</v>
      </c>
      <c r="H14" s="3814">
        <v>0</v>
      </c>
      <c r="I14" s="3809"/>
    </row>
    <row r="15" spans="1:9" ht="15" customHeight="1">
      <c r="A15" s="3813" t="s">
        <v>3983</v>
      </c>
      <c r="B15" s="3811" t="s">
        <v>3984</v>
      </c>
      <c r="C15" s="3812">
        <v>0</v>
      </c>
      <c r="D15" s="3812">
        <v>0</v>
      </c>
      <c r="E15" s="3810" t="s">
        <v>3985</v>
      </c>
      <c r="F15" s="3811" t="s">
        <v>3986</v>
      </c>
      <c r="G15" s="3812">
        <v>0</v>
      </c>
      <c r="H15" s="3814">
        <v>0</v>
      </c>
      <c r="I15" s="3809"/>
    </row>
    <row r="16" spans="1:9" ht="15" customHeight="1">
      <c r="A16" s="3813" t="s">
        <v>3987</v>
      </c>
      <c r="B16" s="3811" t="s">
        <v>3988</v>
      </c>
      <c r="C16" s="3812">
        <v>0</v>
      </c>
      <c r="D16" s="3812">
        <v>0</v>
      </c>
      <c r="E16" s="3813" t="s">
        <v>3989</v>
      </c>
      <c r="F16" s="3811" t="s">
        <v>3990</v>
      </c>
      <c r="G16" s="3812">
        <v>0</v>
      </c>
      <c r="H16" s="3814">
        <v>0</v>
      </c>
      <c r="I16" s="3809"/>
    </row>
    <row r="17" spans="1:9" ht="15" customHeight="1">
      <c r="A17" s="3813" t="s">
        <v>3991</v>
      </c>
      <c r="B17" s="3811" t="s">
        <v>3992</v>
      </c>
      <c r="C17" s="3812">
        <v>0</v>
      </c>
      <c r="D17" s="3812">
        <v>0</v>
      </c>
      <c r="E17" s="3813" t="s">
        <v>3993</v>
      </c>
      <c r="F17" s="3811" t="s">
        <v>3994</v>
      </c>
      <c r="G17" s="3812">
        <v>0</v>
      </c>
      <c r="H17" s="3814">
        <v>0</v>
      </c>
      <c r="I17" s="3809"/>
    </row>
    <row r="18" spans="1:9" ht="15" customHeight="1">
      <c r="A18" s="3813" t="s">
        <v>3995</v>
      </c>
      <c r="B18" s="3811" t="s">
        <v>3996</v>
      </c>
      <c r="C18" s="3812">
        <v>0</v>
      </c>
      <c r="D18" s="3812">
        <v>0</v>
      </c>
      <c r="E18" s="3813" t="s">
        <v>3997</v>
      </c>
      <c r="F18" s="3811" t="s">
        <v>3998</v>
      </c>
      <c r="G18" s="3812">
        <v>0</v>
      </c>
      <c r="H18" s="3814">
        <v>0</v>
      </c>
      <c r="I18" s="3809"/>
    </row>
    <row r="19" spans="1:9" ht="15" customHeight="1">
      <c r="A19" s="3813" t="s">
        <v>3999</v>
      </c>
      <c r="B19" s="3811" t="s">
        <v>4000</v>
      </c>
      <c r="C19" s="3812">
        <v>1115572.28</v>
      </c>
      <c r="D19" s="3812">
        <v>481109.36</v>
      </c>
      <c r="E19" s="3813" t="s">
        <v>4001</v>
      </c>
      <c r="F19" s="3811" t="s">
        <v>4002</v>
      </c>
      <c r="G19" s="3812">
        <v>0</v>
      </c>
      <c r="H19" s="3814">
        <v>0</v>
      </c>
      <c r="I19" s="3809"/>
    </row>
    <row r="20" spans="1:9" ht="15" customHeight="1">
      <c r="A20" s="3813" t="s">
        <v>4003</v>
      </c>
      <c r="B20" s="3811" t="s">
        <v>4004</v>
      </c>
      <c r="C20" s="3812">
        <v>10603768.76</v>
      </c>
      <c r="D20" s="3812">
        <v>15418759.369999999</v>
      </c>
      <c r="E20" s="3813" t="s">
        <v>4005</v>
      </c>
      <c r="F20" s="3811" t="s">
        <v>4006</v>
      </c>
      <c r="G20" s="3812">
        <v>0</v>
      </c>
      <c r="H20" s="3814">
        <v>0</v>
      </c>
      <c r="I20" s="3809"/>
    </row>
    <row r="21" spans="1:9" ht="15" customHeight="1">
      <c r="A21" s="3813" t="s">
        <v>4007</v>
      </c>
      <c r="B21" s="3811" t="s">
        <v>4008</v>
      </c>
      <c r="C21" s="3812">
        <v>6070064.5899999999</v>
      </c>
      <c r="D21" s="3812">
        <v>6261205.8499999996</v>
      </c>
      <c r="E21" s="3813" t="s">
        <v>4009</v>
      </c>
      <c r="F21" s="3811" t="s">
        <v>4010</v>
      </c>
      <c r="G21" s="3812">
        <v>0</v>
      </c>
      <c r="H21" s="3814">
        <v>0</v>
      </c>
      <c r="I21" s="3809"/>
    </row>
    <row r="22" spans="1:9" ht="15" customHeight="1">
      <c r="A22" s="3813" t="s">
        <v>4011</v>
      </c>
      <c r="B22" s="3811" t="s">
        <v>4012</v>
      </c>
      <c r="C22" s="3812">
        <v>0</v>
      </c>
      <c r="D22" s="3812">
        <v>0</v>
      </c>
      <c r="E22" s="3813" t="s">
        <v>4013</v>
      </c>
      <c r="F22" s="3811" t="s">
        <v>4014</v>
      </c>
      <c r="G22" s="3812">
        <v>0</v>
      </c>
      <c r="H22" s="3814">
        <v>0</v>
      </c>
      <c r="I22" s="3809"/>
    </row>
    <row r="23" spans="1:9" ht="15" customHeight="1">
      <c r="A23" s="3813" t="s">
        <v>4015</v>
      </c>
      <c r="B23" s="3811" t="s">
        <v>4016</v>
      </c>
      <c r="C23" s="3812">
        <v>158071.13</v>
      </c>
      <c r="D23" s="3812">
        <v>199842.15</v>
      </c>
      <c r="E23" s="3813" t="s">
        <v>4017</v>
      </c>
      <c r="F23" s="3811" t="s">
        <v>4018</v>
      </c>
      <c r="G23" s="3812">
        <v>0</v>
      </c>
      <c r="H23" s="3814">
        <v>0</v>
      </c>
      <c r="I23" s="3809"/>
    </row>
    <row r="24" spans="1:9" ht="15" customHeight="1">
      <c r="A24" s="3813" t="s">
        <v>4019</v>
      </c>
      <c r="B24" s="3811" t="s">
        <v>4020</v>
      </c>
      <c r="C24" s="3812">
        <v>157976.06</v>
      </c>
      <c r="D24" s="3812">
        <v>203241.69</v>
      </c>
      <c r="E24" s="3813" t="s">
        <v>4021</v>
      </c>
      <c r="F24" s="3811" t="s">
        <v>4022</v>
      </c>
      <c r="G24" s="3812">
        <v>0</v>
      </c>
      <c r="H24" s="3814">
        <v>0</v>
      </c>
      <c r="I24" s="3809"/>
    </row>
    <row r="25" spans="1:9" ht="15" customHeight="1">
      <c r="A25" s="3813" t="s">
        <v>4023</v>
      </c>
      <c r="B25" s="3811" t="s">
        <v>4024</v>
      </c>
      <c r="C25" s="3812">
        <v>7598.76</v>
      </c>
      <c r="D25" s="3812">
        <v>11676.68</v>
      </c>
      <c r="E25" s="3813" t="s">
        <v>4025</v>
      </c>
      <c r="F25" s="3811" t="s">
        <v>4026</v>
      </c>
      <c r="G25" s="3812">
        <v>0</v>
      </c>
      <c r="H25" s="3814">
        <v>0</v>
      </c>
      <c r="I25" s="3809"/>
    </row>
    <row r="26" spans="1:9" ht="15" customHeight="1">
      <c r="A26" s="3813" t="s">
        <v>4027</v>
      </c>
      <c r="B26" s="3811" t="s">
        <v>4028</v>
      </c>
      <c r="C26" s="3812">
        <v>0</v>
      </c>
      <c r="D26" s="3812">
        <v>0</v>
      </c>
      <c r="E26" s="3813" t="s">
        <v>4029</v>
      </c>
      <c r="F26" s="3811" t="s">
        <v>4030</v>
      </c>
      <c r="G26" s="3812">
        <v>0</v>
      </c>
      <c r="H26" s="3814">
        <v>0</v>
      </c>
      <c r="I26" s="3809"/>
    </row>
    <row r="27" spans="1:9" ht="15" customHeight="1">
      <c r="A27" s="3813" t="s">
        <v>4031</v>
      </c>
      <c r="B27" s="3811" t="s">
        <v>4032</v>
      </c>
      <c r="C27" s="3812">
        <v>0</v>
      </c>
      <c r="D27" s="3812">
        <v>0</v>
      </c>
      <c r="E27" s="3813" t="s">
        <v>4033</v>
      </c>
      <c r="F27" s="3811" t="s">
        <v>4034</v>
      </c>
      <c r="G27" s="3812">
        <v>0</v>
      </c>
      <c r="H27" s="3814">
        <v>0</v>
      </c>
      <c r="I27" s="3809"/>
    </row>
    <row r="28" spans="1:9" ht="15" customHeight="1">
      <c r="A28" s="3813" t="s">
        <v>4035</v>
      </c>
      <c r="B28" s="3811" t="s">
        <v>4036</v>
      </c>
      <c r="C28" s="3812">
        <v>619400.72</v>
      </c>
      <c r="D28" s="3812">
        <v>-737</v>
      </c>
      <c r="E28" s="3813" t="s">
        <v>4037</v>
      </c>
      <c r="F28" s="3811" t="s">
        <v>4038</v>
      </c>
      <c r="G28" s="3812">
        <v>0</v>
      </c>
      <c r="H28" s="3814">
        <v>0</v>
      </c>
      <c r="I28" s="3809"/>
    </row>
    <row r="29" spans="1:9" ht="15" customHeight="1">
      <c r="A29" s="3813" t="s">
        <v>4039</v>
      </c>
      <c r="B29" s="3811" t="s">
        <v>4040</v>
      </c>
      <c r="C29" s="3812">
        <v>0</v>
      </c>
      <c r="D29" s="3812">
        <v>0</v>
      </c>
      <c r="E29" s="3813" t="s">
        <v>4041</v>
      </c>
      <c r="F29" s="3811" t="s">
        <v>4042</v>
      </c>
      <c r="G29" s="3812">
        <v>0</v>
      </c>
      <c r="H29" s="3814">
        <v>0</v>
      </c>
      <c r="I29" s="3809"/>
    </row>
    <row r="30" spans="1:9" ht="15" customHeight="1">
      <c r="A30" s="3813" t="s">
        <v>4043</v>
      </c>
      <c r="B30" s="3811" t="s">
        <v>4044</v>
      </c>
      <c r="C30" s="3812">
        <v>0</v>
      </c>
      <c r="D30" s="3812">
        <v>0</v>
      </c>
      <c r="E30" s="3813" t="s">
        <v>4045</v>
      </c>
      <c r="F30" s="3811" t="s">
        <v>4046</v>
      </c>
      <c r="G30" s="3812">
        <v>0</v>
      </c>
      <c r="H30" s="3814">
        <v>0</v>
      </c>
      <c r="I30" s="3809"/>
    </row>
    <row r="31" spans="1:9" ht="15" customHeight="1">
      <c r="A31" s="3813" t="s">
        <v>4047</v>
      </c>
      <c r="B31" s="3811" t="s">
        <v>4048</v>
      </c>
      <c r="C31" s="3812">
        <v>0</v>
      </c>
      <c r="D31" s="3812">
        <v>0</v>
      </c>
      <c r="E31" s="3813" t="s">
        <v>4049</v>
      </c>
      <c r="F31" s="3811" t="s">
        <v>4050</v>
      </c>
      <c r="G31" s="3812">
        <v>0</v>
      </c>
      <c r="H31" s="3814">
        <v>0</v>
      </c>
      <c r="I31" s="3809"/>
    </row>
    <row r="32" spans="1:9" ht="15" customHeight="1">
      <c r="A32" s="3813" t="s">
        <v>4051</v>
      </c>
      <c r="B32" s="3811" t="s">
        <v>4052</v>
      </c>
      <c r="C32" s="3812">
        <v>0</v>
      </c>
      <c r="D32" s="3812">
        <v>0</v>
      </c>
      <c r="E32" s="3813" t="s">
        <v>4053</v>
      </c>
      <c r="F32" s="3811" t="s">
        <v>4054</v>
      </c>
      <c r="G32" s="3812">
        <v>0</v>
      </c>
      <c r="H32" s="3814">
        <v>0</v>
      </c>
      <c r="I32" s="3809"/>
    </row>
    <row r="33" spans="1:9" ht="15" customHeight="1">
      <c r="A33" s="3813" t="s">
        <v>4055</v>
      </c>
      <c r="B33" s="3811" t="s">
        <v>4056</v>
      </c>
      <c r="C33" s="3812">
        <v>0</v>
      </c>
      <c r="D33" s="3812">
        <v>0</v>
      </c>
      <c r="E33" s="3813" t="s">
        <v>4057</v>
      </c>
      <c r="F33" s="3811" t="s">
        <v>4058</v>
      </c>
      <c r="G33" s="3812">
        <v>0</v>
      </c>
      <c r="H33" s="3814">
        <v>0</v>
      </c>
      <c r="I33" s="3809"/>
    </row>
    <row r="34" spans="1:9" ht="15" customHeight="1">
      <c r="A34" s="3813" t="s">
        <v>4059</v>
      </c>
      <c r="B34" s="3811" t="s">
        <v>4060</v>
      </c>
      <c r="C34" s="3812">
        <v>0</v>
      </c>
      <c r="D34" s="3812">
        <v>0</v>
      </c>
      <c r="E34" s="3810" t="s">
        <v>4061</v>
      </c>
      <c r="F34" s="3811" t="s">
        <v>4062</v>
      </c>
      <c r="G34" s="3812">
        <v>2041056.4</v>
      </c>
      <c r="H34" s="3814">
        <v>-10241586.109999999</v>
      </c>
      <c r="I34" s="3809"/>
    </row>
    <row r="35" spans="1:9" ht="15" customHeight="1">
      <c r="A35" s="3813" t="s">
        <v>4063</v>
      </c>
      <c r="B35" s="3811" t="s">
        <v>4064</v>
      </c>
      <c r="C35" s="3812">
        <v>0</v>
      </c>
      <c r="D35" s="3812">
        <v>0</v>
      </c>
      <c r="E35" s="3813" t="s">
        <v>4065</v>
      </c>
      <c r="F35" s="3811" t="s">
        <v>4066</v>
      </c>
      <c r="G35" s="3812">
        <v>2041056.4</v>
      </c>
      <c r="H35" s="3814">
        <v>-10241586.109999999</v>
      </c>
      <c r="I35" s="3809"/>
    </row>
    <row r="36" spans="1:9" ht="15" customHeight="1">
      <c r="A36" s="3813" t="s">
        <v>4067</v>
      </c>
      <c r="B36" s="3811" t="s">
        <v>4068</v>
      </c>
      <c r="C36" s="3812">
        <v>-30931.9</v>
      </c>
      <c r="D36" s="3812">
        <v>-241236.26</v>
      </c>
      <c r="E36" s="3813" t="s">
        <v>4069</v>
      </c>
      <c r="F36" s="3811" t="s">
        <v>4070</v>
      </c>
      <c r="G36" s="3812">
        <v>0</v>
      </c>
      <c r="H36" s="3814">
        <v>0</v>
      </c>
      <c r="I36" s="3809"/>
    </row>
    <row r="37" spans="1:9" ht="15" customHeight="1">
      <c r="A37" s="3813" t="s">
        <v>4071</v>
      </c>
      <c r="B37" s="3811" t="s">
        <v>4072</v>
      </c>
      <c r="C37" s="3812">
        <v>0</v>
      </c>
      <c r="D37" s="3812">
        <v>0</v>
      </c>
      <c r="E37" s="3810" t="s">
        <v>4073</v>
      </c>
      <c r="F37" s="3811" t="s">
        <v>4074</v>
      </c>
      <c r="G37" s="3815" t="s">
        <v>3962</v>
      </c>
      <c r="H37" s="3816" t="s">
        <v>3962</v>
      </c>
      <c r="I37" s="3809"/>
    </row>
    <row r="38" spans="1:9" ht="15" customHeight="1">
      <c r="A38" s="3810" t="s">
        <v>4075</v>
      </c>
      <c r="B38" s="3811" t="s">
        <v>4076</v>
      </c>
      <c r="C38" s="3812">
        <v>1938514.97</v>
      </c>
      <c r="D38" s="3812">
        <v>-10535765.82</v>
      </c>
      <c r="E38" s="3813" t="s">
        <v>4077</v>
      </c>
      <c r="F38" s="3811" t="s">
        <v>4078</v>
      </c>
      <c r="G38" s="3817">
        <v>0</v>
      </c>
      <c r="H38" s="3818">
        <v>0</v>
      </c>
      <c r="I38" s="3809"/>
    </row>
    <row r="39" spans="1:9" ht="15" customHeight="1">
      <c r="A39" s="3813" t="s">
        <v>4079</v>
      </c>
      <c r="B39" s="3811" t="s">
        <v>4080</v>
      </c>
      <c r="C39" s="3812">
        <v>206796.12</v>
      </c>
      <c r="D39" s="3812">
        <v>267774.92</v>
      </c>
      <c r="E39" s="3813" t="s">
        <v>4081</v>
      </c>
      <c r="F39" s="3811" t="s">
        <v>4082</v>
      </c>
      <c r="G39" s="3817">
        <v>0</v>
      </c>
      <c r="H39" s="3818">
        <v>0</v>
      </c>
      <c r="I39" s="3809"/>
    </row>
    <row r="40" spans="1:9" ht="15" customHeight="1" thickBot="1">
      <c r="A40" s="3819" t="s">
        <v>4083</v>
      </c>
      <c r="B40" s="3820" t="s">
        <v>4084</v>
      </c>
      <c r="C40" s="3821">
        <v>0</v>
      </c>
      <c r="D40" s="3821">
        <v>0</v>
      </c>
      <c r="E40" s="3822"/>
      <c r="F40" s="3820" t="s">
        <v>4085</v>
      </c>
      <c r="G40" s="3821"/>
      <c r="H40" s="3823"/>
      <c r="I40" s="3809"/>
    </row>
    <row r="41" spans="1:9" ht="15" customHeight="1" thickTop="1">
      <c r="A41" s="4432" t="s">
        <v>4086</v>
      </c>
      <c r="B41" s="4433"/>
      <c r="C41" s="4433"/>
      <c r="D41" s="4433"/>
      <c r="E41" s="4433"/>
      <c r="F41" s="4433"/>
      <c r="G41" s="4433"/>
      <c r="H41" s="4433"/>
      <c r="I41" s="3809"/>
    </row>
    <row r="42" spans="1:9">
      <c r="A42" s="3824"/>
      <c r="B42" s="3824"/>
      <c r="C42" s="3824"/>
      <c r="D42" s="3824"/>
      <c r="E42" s="3824"/>
      <c r="F42" s="3824"/>
      <c r="G42" s="3824"/>
      <c r="H42" s="3824"/>
    </row>
  </sheetData>
  <mergeCells count="1">
    <mergeCell ref="A41:H41"/>
  </mergeCells>
  <phoneticPr fontId="22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P63"/>
  <sheetViews>
    <sheetView topLeftCell="A41" workbookViewId="0">
      <selection activeCell="F76" sqref="F76"/>
    </sheetView>
  </sheetViews>
  <sheetFormatPr defaultRowHeight="14.25"/>
  <cols>
    <col min="1" max="1" width="20.25" style="3843" customWidth="1"/>
    <col min="2" max="2" width="12.875" style="3843" customWidth="1"/>
    <col min="3" max="3" width="10.25" style="3843" customWidth="1"/>
    <col min="4" max="4" width="19.25" style="3843" customWidth="1"/>
    <col min="5" max="5" width="18.125" style="3843" customWidth="1"/>
    <col min="6" max="6" width="11" style="3843" customWidth="1"/>
    <col min="7" max="7" width="9.375" style="3843" customWidth="1"/>
    <col min="8" max="8" width="18.75" style="3843" customWidth="1"/>
    <col min="9" max="9" width="9" style="3843"/>
    <col min="10" max="10" width="9.5" style="3843" bestFit="1" customWidth="1"/>
    <col min="11" max="13" width="9" style="3843"/>
    <col min="14" max="14" width="11.625" style="3843" customWidth="1"/>
    <col min="15" max="15" width="9.5" style="3843" bestFit="1" customWidth="1"/>
    <col min="16" max="256" width="9" style="3843"/>
    <col min="257" max="257" width="20.25" style="3843" customWidth="1"/>
    <col min="258" max="258" width="12.875" style="3843" customWidth="1"/>
    <col min="259" max="259" width="10.25" style="3843" customWidth="1"/>
    <col min="260" max="260" width="19.25" style="3843" customWidth="1"/>
    <col min="261" max="261" width="18.125" style="3843" customWidth="1"/>
    <col min="262" max="262" width="11" style="3843" customWidth="1"/>
    <col min="263" max="263" width="9.375" style="3843" customWidth="1"/>
    <col min="264" max="264" width="18.75" style="3843" customWidth="1"/>
    <col min="265" max="265" width="9" style="3843"/>
    <col min="266" max="266" width="9.5" style="3843" bestFit="1" customWidth="1"/>
    <col min="267" max="269" width="9" style="3843"/>
    <col min="270" max="270" width="11.625" style="3843" customWidth="1"/>
    <col min="271" max="271" width="9.5" style="3843" bestFit="1" customWidth="1"/>
    <col min="272" max="512" width="9" style="3843"/>
    <col min="513" max="513" width="20.25" style="3843" customWidth="1"/>
    <col min="514" max="514" width="12.875" style="3843" customWidth="1"/>
    <col min="515" max="515" width="10.25" style="3843" customWidth="1"/>
    <col min="516" max="516" width="19.25" style="3843" customWidth="1"/>
    <col min="517" max="517" width="18.125" style="3843" customWidth="1"/>
    <col min="518" max="518" width="11" style="3843" customWidth="1"/>
    <col min="519" max="519" width="9.375" style="3843" customWidth="1"/>
    <col min="520" max="520" width="18.75" style="3843" customWidth="1"/>
    <col min="521" max="521" width="9" style="3843"/>
    <col min="522" max="522" width="9.5" style="3843" bestFit="1" customWidth="1"/>
    <col min="523" max="525" width="9" style="3843"/>
    <col min="526" max="526" width="11.625" style="3843" customWidth="1"/>
    <col min="527" max="527" width="9.5" style="3843" bestFit="1" customWidth="1"/>
    <col min="528" max="768" width="9" style="3843"/>
    <col min="769" max="769" width="20.25" style="3843" customWidth="1"/>
    <col min="770" max="770" width="12.875" style="3843" customWidth="1"/>
    <col min="771" max="771" width="10.25" style="3843" customWidth="1"/>
    <col min="772" max="772" width="19.25" style="3843" customWidth="1"/>
    <col min="773" max="773" width="18.125" style="3843" customWidth="1"/>
    <col min="774" max="774" width="11" style="3843" customWidth="1"/>
    <col min="775" max="775" width="9.375" style="3843" customWidth="1"/>
    <col min="776" max="776" width="18.75" style="3843" customWidth="1"/>
    <col min="777" max="777" width="9" style="3843"/>
    <col min="778" max="778" width="9.5" style="3843" bestFit="1" customWidth="1"/>
    <col min="779" max="781" width="9" style="3843"/>
    <col min="782" max="782" width="11.625" style="3843" customWidth="1"/>
    <col min="783" max="783" width="9.5" style="3843" bestFit="1" customWidth="1"/>
    <col min="784" max="1024" width="9" style="3843"/>
    <col min="1025" max="1025" width="20.25" style="3843" customWidth="1"/>
    <col min="1026" max="1026" width="12.875" style="3843" customWidth="1"/>
    <col min="1027" max="1027" width="10.25" style="3843" customWidth="1"/>
    <col min="1028" max="1028" width="19.25" style="3843" customWidth="1"/>
    <col min="1029" max="1029" width="18.125" style="3843" customWidth="1"/>
    <col min="1030" max="1030" width="11" style="3843" customWidth="1"/>
    <col min="1031" max="1031" width="9.375" style="3843" customWidth="1"/>
    <col min="1032" max="1032" width="18.75" style="3843" customWidth="1"/>
    <col min="1033" max="1033" width="9" style="3843"/>
    <col min="1034" max="1034" width="9.5" style="3843" bestFit="1" customWidth="1"/>
    <col min="1035" max="1037" width="9" style="3843"/>
    <col min="1038" max="1038" width="11.625" style="3843" customWidth="1"/>
    <col min="1039" max="1039" width="9.5" style="3843" bestFit="1" customWidth="1"/>
    <col min="1040" max="1280" width="9" style="3843"/>
    <col min="1281" max="1281" width="20.25" style="3843" customWidth="1"/>
    <col min="1282" max="1282" width="12.875" style="3843" customWidth="1"/>
    <col min="1283" max="1283" width="10.25" style="3843" customWidth="1"/>
    <col min="1284" max="1284" width="19.25" style="3843" customWidth="1"/>
    <col min="1285" max="1285" width="18.125" style="3843" customWidth="1"/>
    <col min="1286" max="1286" width="11" style="3843" customWidth="1"/>
    <col min="1287" max="1287" width="9.375" style="3843" customWidth="1"/>
    <col min="1288" max="1288" width="18.75" style="3843" customWidth="1"/>
    <col min="1289" max="1289" width="9" style="3843"/>
    <col min="1290" max="1290" width="9.5" style="3843" bestFit="1" customWidth="1"/>
    <col min="1291" max="1293" width="9" style="3843"/>
    <col min="1294" max="1294" width="11.625" style="3843" customWidth="1"/>
    <col min="1295" max="1295" width="9.5" style="3843" bestFit="1" customWidth="1"/>
    <col min="1296" max="1536" width="9" style="3843"/>
    <col min="1537" max="1537" width="20.25" style="3843" customWidth="1"/>
    <col min="1538" max="1538" width="12.875" style="3843" customWidth="1"/>
    <col min="1539" max="1539" width="10.25" style="3843" customWidth="1"/>
    <col min="1540" max="1540" width="19.25" style="3843" customWidth="1"/>
    <col min="1541" max="1541" width="18.125" style="3843" customWidth="1"/>
    <col min="1542" max="1542" width="11" style="3843" customWidth="1"/>
    <col min="1543" max="1543" width="9.375" style="3843" customWidth="1"/>
    <col min="1544" max="1544" width="18.75" style="3843" customWidth="1"/>
    <col min="1545" max="1545" width="9" style="3843"/>
    <col min="1546" max="1546" width="9.5" style="3843" bestFit="1" customWidth="1"/>
    <col min="1547" max="1549" width="9" style="3843"/>
    <col min="1550" max="1550" width="11.625" style="3843" customWidth="1"/>
    <col min="1551" max="1551" width="9.5" style="3843" bestFit="1" customWidth="1"/>
    <col min="1552" max="1792" width="9" style="3843"/>
    <col min="1793" max="1793" width="20.25" style="3843" customWidth="1"/>
    <col min="1794" max="1794" width="12.875" style="3843" customWidth="1"/>
    <col min="1795" max="1795" width="10.25" style="3843" customWidth="1"/>
    <col min="1796" max="1796" width="19.25" style="3843" customWidth="1"/>
    <col min="1797" max="1797" width="18.125" style="3843" customWidth="1"/>
    <col min="1798" max="1798" width="11" style="3843" customWidth="1"/>
    <col min="1799" max="1799" width="9.375" style="3843" customWidth="1"/>
    <col min="1800" max="1800" width="18.75" style="3843" customWidth="1"/>
    <col min="1801" max="1801" width="9" style="3843"/>
    <col min="1802" max="1802" width="9.5" style="3843" bestFit="1" customWidth="1"/>
    <col min="1803" max="1805" width="9" style="3843"/>
    <col min="1806" max="1806" width="11.625" style="3843" customWidth="1"/>
    <col min="1807" max="1807" width="9.5" style="3843" bestFit="1" customWidth="1"/>
    <col min="1808" max="2048" width="9" style="3843"/>
    <col min="2049" max="2049" width="20.25" style="3843" customWidth="1"/>
    <col min="2050" max="2050" width="12.875" style="3843" customWidth="1"/>
    <col min="2051" max="2051" width="10.25" style="3843" customWidth="1"/>
    <col min="2052" max="2052" width="19.25" style="3843" customWidth="1"/>
    <col min="2053" max="2053" width="18.125" style="3843" customWidth="1"/>
    <col min="2054" max="2054" width="11" style="3843" customWidth="1"/>
    <col min="2055" max="2055" width="9.375" style="3843" customWidth="1"/>
    <col min="2056" max="2056" width="18.75" style="3843" customWidth="1"/>
    <col min="2057" max="2057" width="9" style="3843"/>
    <col min="2058" max="2058" width="9.5" style="3843" bestFit="1" customWidth="1"/>
    <col min="2059" max="2061" width="9" style="3843"/>
    <col min="2062" max="2062" width="11.625" style="3843" customWidth="1"/>
    <col min="2063" max="2063" width="9.5" style="3843" bestFit="1" customWidth="1"/>
    <col min="2064" max="2304" width="9" style="3843"/>
    <col min="2305" max="2305" width="20.25" style="3843" customWidth="1"/>
    <col min="2306" max="2306" width="12.875" style="3843" customWidth="1"/>
    <col min="2307" max="2307" width="10.25" style="3843" customWidth="1"/>
    <col min="2308" max="2308" width="19.25" style="3843" customWidth="1"/>
    <col min="2309" max="2309" width="18.125" style="3843" customWidth="1"/>
    <col min="2310" max="2310" width="11" style="3843" customWidth="1"/>
    <col min="2311" max="2311" width="9.375" style="3843" customWidth="1"/>
    <col min="2312" max="2312" width="18.75" style="3843" customWidth="1"/>
    <col min="2313" max="2313" width="9" style="3843"/>
    <col min="2314" max="2314" width="9.5" style="3843" bestFit="1" customWidth="1"/>
    <col min="2315" max="2317" width="9" style="3843"/>
    <col min="2318" max="2318" width="11.625" style="3843" customWidth="1"/>
    <col min="2319" max="2319" width="9.5" style="3843" bestFit="1" customWidth="1"/>
    <col min="2320" max="2560" width="9" style="3843"/>
    <col min="2561" max="2561" width="20.25" style="3843" customWidth="1"/>
    <col min="2562" max="2562" width="12.875" style="3843" customWidth="1"/>
    <col min="2563" max="2563" width="10.25" style="3843" customWidth="1"/>
    <col min="2564" max="2564" width="19.25" style="3843" customWidth="1"/>
    <col min="2565" max="2565" width="18.125" style="3843" customWidth="1"/>
    <col min="2566" max="2566" width="11" style="3843" customWidth="1"/>
    <col min="2567" max="2567" width="9.375" style="3843" customWidth="1"/>
    <col min="2568" max="2568" width="18.75" style="3843" customWidth="1"/>
    <col min="2569" max="2569" width="9" style="3843"/>
    <col min="2570" max="2570" width="9.5" style="3843" bestFit="1" customWidth="1"/>
    <col min="2571" max="2573" width="9" style="3843"/>
    <col min="2574" max="2574" width="11.625" style="3843" customWidth="1"/>
    <col min="2575" max="2575" width="9.5" style="3843" bestFit="1" customWidth="1"/>
    <col min="2576" max="2816" width="9" style="3843"/>
    <col min="2817" max="2817" width="20.25" style="3843" customWidth="1"/>
    <col min="2818" max="2818" width="12.875" style="3843" customWidth="1"/>
    <col min="2819" max="2819" width="10.25" style="3843" customWidth="1"/>
    <col min="2820" max="2820" width="19.25" style="3843" customWidth="1"/>
    <col min="2821" max="2821" width="18.125" style="3843" customWidth="1"/>
    <col min="2822" max="2822" width="11" style="3843" customWidth="1"/>
    <col min="2823" max="2823" width="9.375" style="3843" customWidth="1"/>
    <col min="2824" max="2824" width="18.75" style="3843" customWidth="1"/>
    <col min="2825" max="2825" width="9" style="3843"/>
    <col min="2826" max="2826" width="9.5" style="3843" bestFit="1" customWidth="1"/>
    <col min="2827" max="2829" width="9" style="3843"/>
    <col min="2830" max="2830" width="11.625" style="3843" customWidth="1"/>
    <col min="2831" max="2831" width="9.5" style="3843" bestFit="1" customWidth="1"/>
    <col min="2832" max="3072" width="9" style="3843"/>
    <col min="3073" max="3073" width="20.25" style="3843" customWidth="1"/>
    <col min="3074" max="3074" width="12.875" style="3843" customWidth="1"/>
    <col min="3075" max="3075" width="10.25" style="3843" customWidth="1"/>
    <col min="3076" max="3076" width="19.25" style="3843" customWidth="1"/>
    <col min="3077" max="3077" width="18.125" style="3843" customWidth="1"/>
    <col min="3078" max="3078" width="11" style="3843" customWidth="1"/>
    <col min="3079" max="3079" width="9.375" style="3843" customWidth="1"/>
    <col min="3080" max="3080" width="18.75" style="3843" customWidth="1"/>
    <col min="3081" max="3081" width="9" style="3843"/>
    <col min="3082" max="3082" width="9.5" style="3843" bestFit="1" customWidth="1"/>
    <col min="3083" max="3085" width="9" style="3843"/>
    <col min="3086" max="3086" width="11.625" style="3843" customWidth="1"/>
    <col min="3087" max="3087" width="9.5" style="3843" bestFit="1" customWidth="1"/>
    <col min="3088" max="3328" width="9" style="3843"/>
    <col min="3329" max="3329" width="20.25" style="3843" customWidth="1"/>
    <col min="3330" max="3330" width="12.875" style="3843" customWidth="1"/>
    <col min="3331" max="3331" width="10.25" style="3843" customWidth="1"/>
    <col min="3332" max="3332" width="19.25" style="3843" customWidth="1"/>
    <col min="3333" max="3333" width="18.125" style="3843" customWidth="1"/>
    <col min="3334" max="3334" width="11" style="3843" customWidth="1"/>
    <col min="3335" max="3335" width="9.375" style="3843" customWidth="1"/>
    <col min="3336" max="3336" width="18.75" style="3843" customWidth="1"/>
    <col min="3337" max="3337" width="9" style="3843"/>
    <col min="3338" max="3338" width="9.5" style="3843" bestFit="1" customWidth="1"/>
    <col min="3339" max="3341" width="9" style="3843"/>
    <col min="3342" max="3342" width="11.625" style="3843" customWidth="1"/>
    <col min="3343" max="3343" width="9.5" style="3843" bestFit="1" customWidth="1"/>
    <col min="3344" max="3584" width="9" style="3843"/>
    <col min="3585" max="3585" width="20.25" style="3843" customWidth="1"/>
    <col min="3586" max="3586" width="12.875" style="3843" customWidth="1"/>
    <col min="3587" max="3587" width="10.25" style="3843" customWidth="1"/>
    <col min="3588" max="3588" width="19.25" style="3843" customWidth="1"/>
    <col min="3589" max="3589" width="18.125" style="3843" customWidth="1"/>
    <col min="3590" max="3590" width="11" style="3843" customWidth="1"/>
    <col min="3591" max="3591" width="9.375" style="3843" customWidth="1"/>
    <col min="3592" max="3592" width="18.75" style="3843" customWidth="1"/>
    <col min="3593" max="3593" width="9" style="3843"/>
    <col min="3594" max="3594" width="9.5" style="3843" bestFit="1" customWidth="1"/>
    <col min="3595" max="3597" width="9" style="3843"/>
    <col min="3598" max="3598" width="11.625" style="3843" customWidth="1"/>
    <col min="3599" max="3599" width="9.5" style="3843" bestFit="1" customWidth="1"/>
    <col min="3600" max="3840" width="9" style="3843"/>
    <col min="3841" max="3841" width="20.25" style="3843" customWidth="1"/>
    <col min="3842" max="3842" width="12.875" style="3843" customWidth="1"/>
    <col min="3843" max="3843" width="10.25" style="3843" customWidth="1"/>
    <col min="3844" max="3844" width="19.25" style="3843" customWidth="1"/>
    <col min="3845" max="3845" width="18.125" style="3843" customWidth="1"/>
    <col min="3846" max="3846" width="11" style="3843" customWidth="1"/>
    <col min="3847" max="3847" width="9.375" style="3843" customWidth="1"/>
    <col min="3848" max="3848" width="18.75" style="3843" customWidth="1"/>
    <col min="3849" max="3849" width="9" style="3843"/>
    <col min="3850" max="3850" width="9.5" style="3843" bestFit="1" customWidth="1"/>
    <col min="3851" max="3853" width="9" style="3843"/>
    <col min="3854" max="3854" width="11.625" style="3843" customWidth="1"/>
    <col min="3855" max="3855" width="9.5" style="3843" bestFit="1" customWidth="1"/>
    <col min="3856" max="4096" width="9" style="3843"/>
    <col min="4097" max="4097" width="20.25" style="3843" customWidth="1"/>
    <col min="4098" max="4098" width="12.875" style="3843" customWidth="1"/>
    <col min="4099" max="4099" width="10.25" style="3843" customWidth="1"/>
    <col min="4100" max="4100" width="19.25" style="3843" customWidth="1"/>
    <col min="4101" max="4101" width="18.125" style="3843" customWidth="1"/>
    <col min="4102" max="4102" width="11" style="3843" customWidth="1"/>
    <col min="4103" max="4103" width="9.375" style="3843" customWidth="1"/>
    <col min="4104" max="4104" width="18.75" style="3843" customWidth="1"/>
    <col min="4105" max="4105" width="9" style="3843"/>
    <col min="4106" max="4106" width="9.5" style="3843" bestFit="1" customWidth="1"/>
    <col min="4107" max="4109" width="9" style="3843"/>
    <col min="4110" max="4110" width="11.625" style="3843" customWidth="1"/>
    <col min="4111" max="4111" width="9.5" style="3843" bestFit="1" customWidth="1"/>
    <col min="4112" max="4352" width="9" style="3843"/>
    <col min="4353" max="4353" width="20.25" style="3843" customWidth="1"/>
    <col min="4354" max="4354" width="12.875" style="3843" customWidth="1"/>
    <col min="4355" max="4355" width="10.25" style="3843" customWidth="1"/>
    <col min="4356" max="4356" width="19.25" style="3843" customWidth="1"/>
    <col min="4357" max="4357" width="18.125" style="3843" customWidth="1"/>
    <col min="4358" max="4358" width="11" style="3843" customWidth="1"/>
    <col min="4359" max="4359" width="9.375" style="3843" customWidth="1"/>
    <col min="4360" max="4360" width="18.75" style="3843" customWidth="1"/>
    <col min="4361" max="4361" width="9" style="3843"/>
    <col min="4362" max="4362" width="9.5" style="3843" bestFit="1" customWidth="1"/>
    <col min="4363" max="4365" width="9" style="3843"/>
    <col min="4366" max="4366" width="11.625" style="3843" customWidth="1"/>
    <col min="4367" max="4367" width="9.5" style="3843" bestFit="1" customWidth="1"/>
    <col min="4368" max="4608" width="9" style="3843"/>
    <col min="4609" max="4609" width="20.25" style="3843" customWidth="1"/>
    <col min="4610" max="4610" width="12.875" style="3843" customWidth="1"/>
    <col min="4611" max="4611" width="10.25" style="3843" customWidth="1"/>
    <col min="4612" max="4612" width="19.25" style="3843" customWidth="1"/>
    <col min="4613" max="4613" width="18.125" style="3843" customWidth="1"/>
    <col min="4614" max="4614" width="11" style="3843" customWidth="1"/>
    <col min="4615" max="4615" width="9.375" style="3843" customWidth="1"/>
    <col min="4616" max="4616" width="18.75" style="3843" customWidth="1"/>
    <col min="4617" max="4617" width="9" style="3843"/>
    <col min="4618" max="4618" width="9.5" style="3843" bestFit="1" customWidth="1"/>
    <col min="4619" max="4621" width="9" style="3843"/>
    <col min="4622" max="4622" width="11.625" style="3843" customWidth="1"/>
    <col min="4623" max="4623" width="9.5" style="3843" bestFit="1" customWidth="1"/>
    <col min="4624" max="4864" width="9" style="3843"/>
    <col min="4865" max="4865" width="20.25" style="3843" customWidth="1"/>
    <col min="4866" max="4866" width="12.875" style="3843" customWidth="1"/>
    <col min="4867" max="4867" width="10.25" style="3843" customWidth="1"/>
    <col min="4868" max="4868" width="19.25" style="3843" customWidth="1"/>
    <col min="4869" max="4869" width="18.125" style="3843" customWidth="1"/>
    <col min="4870" max="4870" width="11" style="3843" customWidth="1"/>
    <col min="4871" max="4871" width="9.375" style="3843" customWidth="1"/>
    <col min="4872" max="4872" width="18.75" style="3843" customWidth="1"/>
    <col min="4873" max="4873" width="9" style="3843"/>
    <col min="4874" max="4874" width="9.5" style="3843" bestFit="1" customWidth="1"/>
    <col min="4875" max="4877" width="9" style="3843"/>
    <col min="4878" max="4878" width="11.625" style="3843" customWidth="1"/>
    <col min="4879" max="4879" width="9.5" style="3843" bestFit="1" customWidth="1"/>
    <col min="4880" max="5120" width="9" style="3843"/>
    <col min="5121" max="5121" width="20.25" style="3843" customWidth="1"/>
    <col min="5122" max="5122" width="12.875" style="3843" customWidth="1"/>
    <col min="5123" max="5123" width="10.25" style="3843" customWidth="1"/>
    <col min="5124" max="5124" width="19.25" style="3843" customWidth="1"/>
    <col min="5125" max="5125" width="18.125" style="3843" customWidth="1"/>
    <col min="5126" max="5126" width="11" style="3843" customWidth="1"/>
    <col min="5127" max="5127" width="9.375" style="3843" customWidth="1"/>
    <col min="5128" max="5128" width="18.75" style="3843" customWidth="1"/>
    <col min="5129" max="5129" width="9" style="3843"/>
    <col min="5130" max="5130" width="9.5" style="3843" bestFit="1" customWidth="1"/>
    <col min="5131" max="5133" width="9" style="3843"/>
    <col min="5134" max="5134" width="11.625" style="3843" customWidth="1"/>
    <col min="5135" max="5135" width="9.5" style="3843" bestFit="1" customWidth="1"/>
    <col min="5136" max="5376" width="9" style="3843"/>
    <col min="5377" max="5377" width="20.25" style="3843" customWidth="1"/>
    <col min="5378" max="5378" width="12.875" style="3843" customWidth="1"/>
    <col min="5379" max="5379" width="10.25" style="3843" customWidth="1"/>
    <col min="5380" max="5380" width="19.25" style="3843" customWidth="1"/>
    <col min="5381" max="5381" width="18.125" style="3843" customWidth="1"/>
    <col min="5382" max="5382" width="11" style="3843" customWidth="1"/>
    <col min="5383" max="5383" width="9.375" style="3843" customWidth="1"/>
    <col min="5384" max="5384" width="18.75" style="3843" customWidth="1"/>
    <col min="5385" max="5385" width="9" style="3843"/>
    <col min="5386" max="5386" width="9.5" style="3843" bestFit="1" customWidth="1"/>
    <col min="5387" max="5389" width="9" style="3843"/>
    <col min="5390" max="5390" width="11.625" style="3843" customWidth="1"/>
    <col min="5391" max="5391" width="9.5" style="3843" bestFit="1" customWidth="1"/>
    <col min="5392" max="5632" width="9" style="3843"/>
    <col min="5633" max="5633" width="20.25" style="3843" customWidth="1"/>
    <col min="5634" max="5634" width="12.875" style="3843" customWidth="1"/>
    <col min="5635" max="5635" width="10.25" style="3843" customWidth="1"/>
    <col min="5636" max="5636" width="19.25" style="3843" customWidth="1"/>
    <col min="5637" max="5637" width="18.125" style="3843" customWidth="1"/>
    <col min="5638" max="5638" width="11" style="3843" customWidth="1"/>
    <col min="5639" max="5639" width="9.375" style="3843" customWidth="1"/>
    <col min="5640" max="5640" width="18.75" style="3843" customWidth="1"/>
    <col min="5641" max="5641" width="9" style="3843"/>
    <col min="5642" max="5642" width="9.5" style="3843" bestFit="1" customWidth="1"/>
    <col min="5643" max="5645" width="9" style="3843"/>
    <col min="5646" max="5646" width="11.625" style="3843" customWidth="1"/>
    <col min="5647" max="5647" width="9.5" style="3843" bestFit="1" customWidth="1"/>
    <col min="5648" max="5888" width="9" style="3843"/>
    <col min="5889" max="5889" width="20.25" style="3843" customWidth="1"/>
    <col min="5890" max="5890" width="12.875" style="3843" customWidth="1"/>
    <col min="5891" max="5891" width="10.25" style="3843" customWidth="1"/>
    <col min="5892" max="5892" width="19.25" style="3843" customWidth="1"/>
    <col min="5893" max="5893" width="18.125" style="3843" customWidth="1"/>
    <col min="5894" max="5894" width="11" style="3843" customWidth="1"/>
    <col min="5895" max="5895" width="9.375" style="3843" customWidth="1"/>
    <col min="5896" max="5896" width="18.75" style="3843" customWidth="1"/>
    <col min="5897" max="5897" width="9" style="3843"/>
    <col min="5898" max="5898" width="9.5" style="3843" bestFit="1" customWidth="1"/>
    <col min="5899" max="5901" width="9" style="3843"/>
    <col min="5902" max="5902" width="11.625" style="3843" customWidth="1"/>
    <col min="5903" max="5903" width="9.5" style="3843" bestFit="1" customWidth="1"/>
    <col min="5904" max="6144" width="9" style="3843"/>
    <col min="6145" max="6145" width="20.25" style="3843" customWidth="1"/>
    <col min="6146" max="6146" width="12.875" style="3843" customWidth="1"/>
    <col min="6147" max="6147" width="10.25" style="3843" customWidth="1"/>
    <col min="6148" max="6148" width="19.25" style="3843" customWidth="1"/>
    <col min="6149" max="6149" width="18.125" style="3843" customWidth="1"/>
    <col min="6150" max="6150" width="11" style="3843" customWidth="1"/>
    <col min="6151" max="6151" width="9.375" style="3843" customWidth="1"/>
    <col min="6152" max="6152" width="18.75" style="3843" customWidth="1"/>
    <col min="6153" max="6153" width="9" style="3843"/>
    <col min="6154" max="6154" width="9.5" style="3843" bestFit="1" customWidth="1"/>
    <col min="6155" max="6157" width="9" style="3843"/>
    <col min="6158" max="6158" width="11.625" style="3843" customWidth="1"/>
    <col min="6159" max="6159" width="9.5" style="3843" bestFit="1" customWidth="1"/>
    <col min="6160" max="6400" width="9" style="3843"/>
    <col min="6401" max="6401" width="20.25" style="3843" customWidth="1"/>
    <col min="6402" max="6402" width="12.875" style="3843" customWidth="1"/>
    <col min="6403" max="6403" width="10.25" style="3843" customWidth="1"/>
    <col min="6404" max="6404" width="19.25" style="3843" customWidth="1"/>
    <col min="6405" max="6405" width="18.125" style="3843" customWidth="1"/>
    <col min="6406" max="6406" width="11" style="3843" customWidth="1"/>
    <col min="6407" max="6407" width="9.375" style="3843" customWidth="1"/>
    <col min="6408" max="6408" width="18.75" style="3843" customWidth="1"/>
    <col min="6409" max="6409" width="9" style="3843"/>
    <col min="6410" max="6410" width="9.5" style="3843" bestFit="1" customWidth="1"/>
    <col min="6411" max="6413" width="9" style="3843"/>
    <col min="6414" max="6414" width="11.625" style="3843" customWidth="1"/>
    <col min="6415" max="6415" width="9.5" style="3843" bestFit="1" customWidth="1"/>
    <col min="6416" max="6656" width="9" style="3843"/>
    <col min="6657" max="6657" width="20.25" style="3843" customWidth="1"/>
    <col min="6658" max="6658" width="12.875" style="3843" customWidth="1"/>
    <col min="6659" max="6659" width="10.25" style="3843" customWidth="1"/>
    <col min="6660" max="6660" width="19.25" style="3843" customWidth="1"/>
    <col min="6661" max="6661" width="18.125" style="3843" customWidth="1"/>
    <col min="6662" max="6662" width="11" style="3843" customWidth="1"/>
    <col min="6663" max="6663" width="9.375" style="3843" customWidth="1"/>
    <col min="6664" max="6664" width="18.75" style="3843" customWidth="1"/>
    <col min="6665" max="6665" width="9" style="3843"/>
    <col min="6666" max="6666" width="9.5" style="3843" bestFit="1" customWidth="1"/>
    <col min="6667" max="6669" width="9" style="3843"/>
    <col min="6670" max="6670" width="11.625" style="3843" customWidth="1"/>
    <col min="6671" max="6671" width="9.5" style="3843" bestFit="1" customWidth="1"/>
    <col min="6672" max="6912" width="9" style="3843"/>
    <col min="6913" max="6913" width="20.25" style="3843" customWidth="1"/>
    <col min="6914" max="6914" width="12.875" style="3843" customWidth="1"/>
    <col min="6915" max="6915" width="10.25" style="3843" customWidth="1"/>
    <col min="6916" max="6916" width="19.25" style="3843" customWidth="1"/>
    <col min="6917" max="6917" width="18.125" style="3843" customWidth="1"/>
    <col min="6918" max="6918" width="11" style="3843" customWidth="1"/>
    <col min="6919" max="6919" width="9.375" style="3843" customWidth="1"/>
    <col min="6920" max="6920" width="18.75" style="3843" customWidth="1"/>
    <col min="6921" max="6921" width="9" style="3843"/>
    <col min="6922" max="6922" width="9.5" style="3843" bestFit="1" customWidth="1"/>
    <col min="6923" max="6925" width="9" style="3843"/>
    <col min="6926" max="6926" width="11.625" style="3843" customWidth="1"/>
    <col min="6927" max="6927" width="9.5" style="3843" bestFit="1" customWidth="1"/>
    <col min="6928" max="7168" width="9" style="3843"/>
    <col min="7169" max="7169" width="20.25" style="3843" customWidth="1"/>
    <col min="7170" max="7170" width="12.875" style="3843" customWidth="1"/>
    <col min="7171" max="7171" width="10.25" style="3843" customWidth="1"/>
    <col min="7172" max="7172" width="19.25" style="3843" customWidth="1"/>
    <col min="7173" max="7173" width="18.125" style="3843" customWidth="1"/>
    <col min="7174" max="7174" width="11" style="3843" customWidth="1"/>
    <col min="7175" max="7175" width="9.375" style="3843" customWidth="1"/>
    <col min="7176" max="7176" width="18.75" style="3843" customWidth="1"/>
    <col min="7177" max="7177" width="9" style="3843"/>
    <col min="7178" max="7178" width="9.5" style="3843" bestFit="1" customWidth="1"/>
    <col min="7179" max="7181" width="9" style="3843"/>
    <col min="7182" max="7182" width="11.625" style="3843" customWidth="1"/>
    <col min="7183" max="7183" width="9.5" style="3843" bestFit="1" customWidth="1"/>
    <col min="7184" max="7424" width="9" style="3843"/>
    <col min="7425" max="7425" width="20.25" style="3843" customWidth="1"/>
    <col min="7426" max="7426" width="12.875" style="3843" customWidth="1"/>
    <col min="7427" max="7427" width="10.25" style="3843" customWidth="1"/>
    <col min="7428" max="7428" width="19.25" style="3843" customWidth="1"/>
    <col min="7429" max="7429" width="18.125" style="3843" customWidth="1"/>
    <col min="7430" max="7430" width="11" style="3843" customWidth="1"/>
    <col min="7431" max="7431" width="9.375" style="3843" customWidth="1"/>
    <col min="7432" max="7432" width="18.75" style="3843" customWidth="1"/>
    <col min="7433" max="7433" width="9" style="3843"/>
    <col min="7434" max="7434" width="9.5" style="3843" bestFit="1" customWidth="1"/>
    <col min="7435" max="7437" width="9" style="3843"/>
    <col min="7438" max="7438" width="11.625" style="3843" customWidth="1"/>
    <col min="7439" max="7439" width="9.5" style="3843" bestFit="1" customWidth="1"/>
    <col min="7440" max="7680" width="9" style="3843"/>
    <col min="7681" max="7681" width="20.25" style="3843" customWidth="1"/>
    <col min="7682" max="7682" width="12.875" style="3843" customWidth="1"/>
    <col min="7683" max="7683" width="10.25" style="3843" customWidth="1"/>
    <col min="7684" max="7684" width="19.25" style="3843" customWidth="1"/>
    <col min="7685" max="7685" width="18.125" style="3843" customWidth="1"/>
    <col min="7686" max="7686" width="11" style="3843" customWidth="1"/>
    <col min="7687" max="7687" width="9.375" style="3843" customWidth="1"/>
    <col min="7688" max="7688" width="18.75" style="3843" customWidth="1"/>
    <col min="7689" max="7689" width="9" style="3843"/>
    <col min="7690" max="7690" width="9.5" style="3843" bestFit="1" customWidth="1"/>
    <col min="7691" max="7693" width="9" style="3843"/>
    <col min="7694" max="7694" width="11.625" style="3843" customWidth="1"/>
    <col min="7695" max="7695" width="9.5" style="3843" bestFit="1" customWidth="1"/>
    <col min="7696" max="7936" width="9" style="3843"/>
    <col min="7937" max="7937" width="20.25" style="3843" customWidth="1"/>
    <col min="7938" max="7938" width="12.875" style="3843" customWidth="1"/>
    <col min="7939" max="7939" width="10.25" style="3843" customWidth="1"/>
    <col min="7940" max="7940" width="19.25" style="3843" customWidth="1"/>
    <col min="7941" max="7941" width="18.125" style="3843" customWidth="1"/>
    <col min="7942" max="7942" width="11" style="3843" customWidth="1"/>
    <col min="7943" max="7943" width="9.375" style="3843" customWidth="1"/>
    <col min="7944" max="7944" width="18.75" style="3843" customWidth="1"/>
    <col min="7945" max="7945" width="9" style="3843"/>
    <col min="7946" max="7946" width="9.5" style="3843" bestFit="1" customWidth="1"/>
    <col min="7947" max="7949" width="9" style="3843"/>
    <col min="7950" max="7950" width="11.625" style="3843" customWidth="1"/>
    <col min="7951" max="7951" width="9.5" style="3843" bestFit="1" customWidth="1"/>
    <col min="7952" max="8192" width="9" style="3843"/>
    <col min="8193" max="8193" width="20.25" style="3843" customWidth="1"/>
    <col min="8194" max="8194" width="12.875" style="3843" customWidth="1"/>
    <col min="8195" max="8195" width="10.25" style="3843" customWidth="1"/>
    <col min="8196" max="8196" width="19.25" style="3843" customWidth="1"/>
    <col min="8197" max="8197" width="18.125" style="3843" customWidth="1"/>
    <col min="8198" max="8198" width="11" style="3843" customWidth="1"/>
    <col min="8199" max="8199" width="9.375" style="3843" customWidth="1"/>
    <col min="8200" max="8200" width="18.75" style="3843" customWidth="1"/>
    <col min="8201" max="8201" width="9" style="3843"/>
    <col min="8202" max="8202" width="9.5" style="3843" bestFit="1" customWidth="1"/>
    <col min="8203" max="8205" width="9" style="3843"/>
    <col min="8206" max="8206" width="11.625" style="3843" customWidth="1"/>
    <col min="8207" max="8207" width="9.5" style="3843" bestFit="1" customWidth="1"/>
    <col min="8208" max="8448" width="9" style="3843"/>
    <col min="8449" max="8449" width="20.25" style="3843" customWidth="1"/>
    <col min="8450" max="8450" width="12.875" style="3843" customWidth="1"/>
    <col min="8451" max="8451" width="10.25" style="3843" customWidth="1"/>
    <col min="8452" max="8452" width="19.25" style="3843" customWidth="1"/>
    <col min="8453" max="8453" width="18.125" style="3843" customWidth="1"/>
    <col min="8454" max="8454" width="11" style="3843" customWidth="1"/>
    <col min="8455" max="8455" width="9.375" style="3843" customWidth="1"/>
    <col min="8456" max="8456" width="18.75" style="3843" customWidth="1"/>
    <col min="8457" max="8457" width="9" style="3843"/>
    <col min="8458" max="8458" width="9.5" style="3843" bestFit="1" customWidth="1"/>
    <col min="8459" max="8461" width="9" style="3843"/>
    <col min="8462" max="8462" width="11.625" style="3843" customWidth="1"/>
    <col min="8463" max="8463" width="9.5" style="3843" bestFit="1" customWidth="1"/>
    <col min="8464" max="8704" width="9" style="3843"/>
    <col min="8705" max="8705" width="20.25" style="3843" customWidth="1"/>
    <col min="8706" max="8706" width="12.875" style="3843" customWidth="1"/>
    <col min="8707" max="8707" width="10.25" style="3843" customWidth="1"/>
    <col min="8708" max="8708" width="19.25" style="3843" customWidth="1"/>
    <col min="8709" max="8709" width="18.125" style="3843" customWidth="1"/>
    <col min="8710" max="8710" width="11" style="3843" customWidth="1"/>
    <col min="8711" max="8711" width="9.375" style="3843" customWidth="1"/>
    <col min="8712" max="8712" width="18.75" style="3843" customWidth="1"/>
    <col min="8713" max="8713" width="9" style="3843"/>
    <col min="8714" max="8714" width="9.5" style="3843" bestFit="1" customWidth="1"/>
    <col min="8715" max="8717" width="9" style="3843"/>
    <col min="8718" max="8718" width="11.625" style="3843" customWidth="1"/>
    <col min="8719" max="8719" width="9.5" style="3843" bestFit="1" customWidth="1"/>
    <col min="8720" max="8960" width="9" style="3843"/>
    <col min="8961" max="8961" width="20.25" style="3843" customWidth="1"/>
    <col min="8962" max="8962" width="12.875" style="3843" customWidth="1"/>
    <col min="8963" max="8963" width="10.25" style="3843" customWidth="1"/>
    <col min="8964" max="8964" width="19.25" style="3843" customWidth="1"/>
    <col min="8965" max="8965" width="18.125" style="3843" customWidth="1"/>
    <col min="8966" max="8966" width="11" style="3843" customWidth="1"/>
    <col min="8967" max="8967" width="9.375" style="3843" customWidth="1"/>
    <col min="8968" max="8968" width="18.75" style="3843" customWidth="1"/>
    <col min="8969" max="8969" width="9" style="3843"/>
    <col min="8970" max="8970" width="9.5" style="3843" bestFit="1" customWidth="1"/>
    <col min="8971" max="8973" width="9" style="3843"/>
    <col min="8974" max="8974" width="11.625" style="3843" customWidth="1"/>
    <col min="8975" max="8975" width="9.5" style="3843" bestFit="1" customWidth="1"/>
    <col min="8976" max="9216" width="9" style="3843"/>
    <col min="9217" max="9217" width="20.25" style="3843" customWidth="1"/>
    <col min="9218" max="9218" width="12.875" style="3843" customWidth="1"/>
    <col min="9219" max="9219" width="10.25" style="3843" customWidth="1"/>
    <col min="9220" max="9220" width="19.25" style="3843" customWidth="1"/>
    <col min="9221" max="9221" width="18.125" style="3843" customWidth="1"/>
    <col min="9222" max="9222" width="11" style="3843" customWidth="1"/>
    <col min="9223" max="9223" width="9.375" style="3843" customWidth="1"/>
    <col min="9224" max="9224" width="18.75" style="3843" customWidth="1"/>
    <col min="9225" max="9225" width="9" style="3843"/>
    <col min="9226" max="9226" width="9.5" style="3843" bestFit="1" customWidth="1"/>
    <col min="9227" max="9229" width="9" style="3843"/>
    <col min="9230" max="9230" width="11.625" style="3843" customWidth="1"/>
    <col min="9231" max="9231" width="9.5" style="3843" bestFit="1" customWidth="1"/>
    <col min="9232" max="9472" width="9" style="3843"/>
    <col min="9473" max="9473" width="20.25" style="3843" customWidth="1"/>
    <col min="9474" max="9474" width="12.875" style="3843" customWidth="1"/>
    <col min="9475" max="9475" width="10.25" style="3843" customWidth="1"/>
    <col min="9476" max="9476" width="19.25" style="3843" customWidth="1"/>
    <col min="9477" max="9477" width="18.125" style="3843" customWidth="1"/>
    <col min="9478" max="9478" width="11" style="3843" customWidth="1"/>
    <col min="9479" max="9479" width="9.375" style="3843" customWidth="1"/>
    <col min="9480" max="9480" width="18.75" style="3843" customWidth="1"/>
    <col min="9481" max="9481" width="9" style="3843"/>
    <col min="9482" max="9482" width="9.5" style="3843" bestFit="1" customWidth="1"/>
    <col min="9483" max="9485" width="9" style="3843"/>
    <col min="9486" max="9486" width="11.625" style="3843" customWidth="1"/>
    <col min="9487" max="9487" width="9.5" style="3843" bestFit="1" customWidth="1"/>
    <col min="9488" max="9728" width="9" style="3843"/>
    <col min="9729" max="9729" width="20.25" style="3843" customWidth="1"/>
    <col min="9730" max="9730" width="12.875" style="3843" customWidth="1"/>
    <col min="9731" max="9731" width="10.25" style="3843" customWidth="1"/>
    <col min="9732" max="9732" width="19.25" style="3843" customWidth="1"/>
    <col min="9733" max="9733" width="18.125" style="3843" customWidth="1"/>
    <col min="9734" max="9734" width="11" style="3843" customWidth="1"/>
    <col min="9735" max="9735" width="9.375" style="3843" customWidth="1"/>
    <col min="9736" max="9736" width="18.75" style="3843" customWidth="1"/>
    <col min="9737" max="9737" width="9" style="3843"/>
    <col min="9738" max="9738" width="9.5" style="3843" bestFit="1" customWidth="1"/>
    <col min="9739" max="9741" width="9" style="3843"/>
    <col min="9742" max="9742" width="11.625" style="3843" customWidth="1"/>
    <col min="9743" max="9743" width="9.5" style="3843" bestFit="1" customWidth="1"/>
    <col min="9744" max="9984" width="9" style="3843"/>
    <col min="9985" max="9985" width="20.25" style="3843" customWidth="1"/>
    <col min="9986" max="9986" width="12.875" style="3843" customWidth="1"/>
    <col min="9987" max="9987" width="10.25" style="3843" customWidth="1"/>
    <col min="9988" max="9988" width="19.25" style="3843" customWidth="1"/>
    <col min="9989" max="9989" width="18.125" style="3843" customWidth="1"/>
    <col min="9990" max="9990" width="11" style="3843" customWidth="1"/>
    <col min="9991" max="9991" width="9.375" style="3843" customWidth="1"/>
    <col min="9992" max="9992" width="18.75" style="3843" customWidth="1"/>
    <col min="9993" max="9993" width="9" style="3843"/>
    <col min="9994" max="9994" width="9.5" style="3843" bestFit="1" customWidth="1"/>
    <col min="9995" max="9997" width="9" style="3843"/>
    <col min="9998" max="9998" width="11.625" style="3843" customWidth="1"/>
    <col min="9999" max="9999" width="9.5" style="3843" bestFit="1" customWidth="1"/>
    <col min="10000" max="10240" width="9" style="3843"/>
    <col min="10241" max="10241" width="20.25" style="3843" customWidth="1"/>
    <col min="10242" max="10242" width="12.875" style="3843" customWidth="1"/>
    <col min="10243" max="10243" width="10.25" style="3843" customWidth="1"/>
    <col min="10244" max="10244" width="19.25" style="3843" customWidth="1"/>
    <col min="10245" max="10245" width="18.125" style="3843" customWidth="1"/>
    <col min="10246" max="10246" width="11" style="3843" customWidth="1"/>
    <col min="10247" max="10247" width="9.375" style="3843" customWidth="1"/>
    <col min="10248" max="10248" width="18.75" style="3843" customWidth="1"/>
    <col min="10249" max="10249" width="9" style="3843"/>
    <col min="10250" max="10250" width="9.5" style="3843" bestFit="1" customWidth="1"/>
    <col min="10251" max="10253" width="9" style="3843"/>
    <col min="10254" max="10254" width="11.625" style="3843" customWidth="1"/>
    <col min="10255" max="10255" width="9.5" style="3843" bestFit="1" customWidth="1"/>
    <col min="10256" max="10496" width="9" style="3843"/>
    <col min="10497" max="10497" width="20.25" style="3843" customWidth="1"/>
    <col min="10498" max="10498" width="12.875" style="3843" customWidth="1"/>
    <col min="10499" max="10499" width="10.25" style="3843" customWidth="1"/>
    <col min="10500" max="10500" width="19.25" style="3843" customWidth="1"/>
    <col min="10501" max="10501" width="18.125" style="3843" customWidth="1"/>
    <col min="10502" max="10502" width="11" style="3843" customWidth="1"/>
    <col min="10503" max="10503" width="9.375" style="3843" customWidth="1"/>
    <col min="10504" max="10504" width="18.75" style="3843" customWidth="1"/>
    <col min="10505" max="10505" width="9" style="3843"/>
    <col min="10506" max="10506" width="9.5" style="3843" bestFit="1" customWidth="1"/>
    <col min="10507" max="10509" width="9" style="3843"/>
    <col min="10510" max="10510" width="11.625" style="3843" customWidth="1"/>
    <col min="10511" max="10511" width="9.5" style="3843" bestFit="1" customWidth="1"/>
    <col min="10512" max="10752" width="9" style="3843"/>
    <col min="10753" max="10753" width="20.25" style="3843" customWidth="1"/>
    <col min="10754" max="10754" width="12.875" style="3843" customWidth="1"/>
    <col min="10755" max="10755" width="10.25" style="3843" customWidth="1"/>
    <col min="10756" max="10756" width="19.25" style="3843" customWidth="1"/>
    <col min="10757" max="10757" width="18.125" style="3843" customWidth="1"/>
    <col min="10758" max="10758" width="11" style="3843" customWidth="1"/>
    <col min="10759" max="10759" width="9.375" style="3843" customWidth="1"/>
    <col min="10760" max="10760" width="18.75" style="3843" customWidth="1"/>
    <col min="10761" max="10761" width="9" style="3843"/>
    <col min="10762" max="10762" width="9.5" style="3843" bestFit="1" customWidth="1"/>
    <col min="10763" max="10765" width="9" style="3843"/>
    <col min="10766" max="10766" width="11.625" style="3843" customWidth="1"/>
    <col min="10767" max="10767" width="9.5" style="3843" bestFit="1" customWidth="1"/>
    <col min="10768" max="11008" width="9" style="3843"/>
    <col min="11009" max="11009" width="20.25" style="3843" customWidth="1"/>
    <col min="11010" max="11010" width="12.875" style="3843" customWidth="1"/>
    <col min="11011" max="11011" width="10.25" style="3843" customWidth="1"/>
    <col min="11012" max="11012" width="19.25" style="3843" customWidth="1"/>
    <col min="11013" max="11013" width="18.125" style="3843" customWidth="1"/>
    <col min="11014" max="11014" width="11" style="3843" customWidth="1"/>
    <col min="11015" max="11015" width="9.375" style="3843" customWidth="1"/>
    <col min="11016" max="11016" width="18.75" style="3843" customWidth="1"/>
    <col min="11017" max="11017" width="9" style="3843"/>
    <col min="11018" max="11018" width="9.5" style="3843" bestFit="1" customWidth="1"/>
    <col min="11019" max="11021" width="9" style="3843"/>
    <col min="11022" max="11022" width="11.625" style="3843" customWidth="1"/>
    <col min="11023" max="11023" width="9.5" style="3843" bestFit="1" customWidth="1"/>
    <col min="11024" max="11264" width="9" style="3843"/>
    <col min="11265" max="11265" width="20.25" style="3843" customWidth="1"/>
    <col min="11266" max="11266" width="12.875" style="3843" customWidth="1"/>
    <col min="11267" max="11267" width="10.25" style="3843" customWidth="1"/>
    <col min="11268" max="11268" width="19.25" style="3843" customWidth="1"/>
    <col min="11269" max="11269" width="18.125" style="3843" customWidth="1"/>
    <col min="11270" max="11270" width="11" style="3843" customWidth="1"/>
    <col min="11271" max="11271" width="9.375" style="3843" customWidth="1"/>
    <col min="11272" max="11272" width="18.75" style="3843" customWidth="1"/>
    <col min="11273" max="11273" width="9" style="3843"/>
    <col min="11274" max="11274" width="9.5" style="3843" bestFit="1" customWidth="1"/>
    <col min="11275" max="11277" width="9" style="3843"/>
    <col min="11278" max="11278" width="11.625" style="3843" customWidth="1"/>
    <col min="11279" max="11279" width="9.5" style="3843" bestFit="1" customWidth="1"/>
    <col min="11280" max="11520" width="9" style="3843"/>
    <col min="11521" max="11521" width="20.25" style="3843" customWidth="1"/>
    <col min="11522" max="11522" width="12.875" style="3843" customWidth="1"/>
    <col min="11523" max="11523" width="10.25" style="3843" customWidth="1"/>
    <col min="11524" max="11524" width="19.25" style="3843" customWidth="1"/>
    <col min="11525" max="11525" width="18.125" style="3843" customWidth="1"/>
    <col min="11526" max="11526" width="11" style="3843" customWidth="1"/>
    <col min="11527" max="11527" width="9.375" style="3843" customWidth="1"/>
    <col min="11528" max="11528" width="18.75" style="3843" customWidth="1"/>
    <col min="11529" max="11529" width="9" style="3843"/>
    <col min="11530" max="11530" width="9.5" style="3843" bestFit="1" customWidth="1"/>
    <col min="11531" max="11533" width="9" style="3843"/>
    <col min="11534" max="11534" width="11.625" style="3843" customWidth="1"/>
    <col min="11535" max="11535" width="9.5" style="3843" bestFit="1" customWidth="1"/>
    <col min="11536" max="11776" width="9" style="3843"/>
    <col min="11777" max="11777" width="20.25" style="3843" customWidth="1"/>
    <col min="11778" max="11778" width="12.875" style="3843" customWidth="1"/>
    <col min="11779" max="11779" width="10.25" style="3843" customWidth="1"/>
    <col min="11780" max="11780" width="19.25" style="3843" customWidth="1"/>
    <col min="11781" max="11781" width="18.125" style="3843" customWidth="1"/>
    <col min="11782" max="11782" width="11" style="3843" customWidth="1"/>
    <col min="11783" max="11783" width="9.375" style="3843" customWidth="1"/>
    <col min="11784" max="11784" width="18.75" style="3843" customWidth="1"/>
    <col min="11785" max="11785" width="9" style="3843"/>
    <col min="11786" max="11786" width="9.5" style="3843" bestFit="1" customWidth="1"/>
    <col min="11787" max="11789" width="9" style="3843"/>
    <col min="11790" max="11790" width="11.625" style="3843" customWidth="1"/>
    <col min="11791" max="11791" width="9.5" style="3843" bestFit="1" customWidth="1"/>
    <col min="11792" max="12032" width="9" style="3843"/>
    <col min="12033" max="12033" width="20.25" style="3843" customWidth="1"/>
    <col min="12034" max="12034" width="12.875" style="3843" customWidth="1"/>
    <col min="12035" max="12035" width="10.25" style="3843" customWidth="1"/>
    <col min="12036" max="12036" width="19.25" style="3843" customWidth="1"/>
    <col min="12037" max="12037" width="18.125" style="3843" customWidth="1"/>
    <col min="12038" max="12038" width="11" style="3843" customWidth="1"/>
    <col min="12039" max="12039" width="9.375" style="3843" customWidth="1"/>
    <col min="12040" max="12040" width="18.75" style="3843" customWidth="1"/>
    <col min="12041" max="12041" width="9" style="3843"/>
    <col min="12042" max="12042" width="9.5" style="3843" bestFit="1" customWidth="1"/>
    <col min="12043" max="12045" width="9" style="3843"/>
    <col min="12046" max="12046" width="11.625" style="3843" customWidth="1"/>
    <col min="12047" max="12047" width="9.5" style="3843" bestFit="1" customWidth="1"/>
    <col min="12048" max="12288" width="9" style="3843"/>
    <col min="12289" max="12289" width="20.25" style="3843" customWidth="1"/>
    <col min="12290" max="12290" width="12.875" style="3843" customWidth="1"/>
    <col min="12291" max="12291" width="10.25" style="3843" customWidth="1"/>
    <col min="12292" max="12292" width="19.25" style="3843" customWidth="1"/>
    <col min="12293" max="12293" width="18.125" style="3843" customWidth="1"/>
    <col min="12294" max="12294" width="11" style="3843" customWidth="1"/>
    <col min="12295" max="12295" width="9.375" style="3843" customWidth="1"/>
    <col min="12296" max="12296" width="18.75" style="3843" customWidth="1"/>
    <col min="12297" max="12297" width="9" style="3843"/>
    <col min="12298" max="12298" width="9.5" style="3843" bestFit="1" customWidth="1"/>
    <col min="12299" max="12301" width="9" style="3843"/>
    <col min="12302" max="12302" width="11.625" style="3843" customWidth="1"/>
    <col min="12303" max="12303" width="9.5" style="3843" bestFit="1" customWidth="1"/>
    <col min="12304" max="12544" width="9" style="3843"/>
    <col min="12545" max="12545" width="20.25" style="3843" customWidth="1"/>
    <col min="12546" max="12546" width="12.875" style="3843" customWidth="1"/>
    <col min="12547" max="12547" width="10.25" style="3843" customWidth="1"/>
    <col min="12548" max="12548" width="19.25" style="3843" customWidth="1"/>
    <col min="12549" max="12549" width="18.125" style="3843" customWidth="1"/>
    <col min="12550" max="12550" width="11" style="3843" customWidth="1"/>
    <col min="12551" max="12551" width="9.375" style="3843" customWidth="1"/>
    <col min="12552" max="12552" width="18.75" style="3843" customWidth="1"/>
    <col min="12553" max="12553" width="9" style="3843"/>
    <col min="12554" max="12554" width="9.5" style="3843" bestFit="1" customWidth="1"/>
    <col min="12555" max="12557" width="9" style="3843"/>
    <col min="12558" max="12558" width="11.625" style="3843" customWidth="1"/>
    <col min="12559" max="12559" width="9.5" style="3843" bestFit="1" customWidth="1"/>
    <col min="12560" max="12800" width="9" style="3843"/>
    <col min="12801" max="12801" width="20.25" style="3843" customWidth="1"/>
    <col min="12802" max="12802" width="12.875" style="3843" customWidth="1"/>
    <col min="12803" max="12803" width="10.25" style="3843" customWidth="1"/>
    <col min="12804" max="12804" width="19.25" style="3843" customWidth="1"/>
    <col min="12805" max="12805" width="18.125" style="3843" customWidth="1"/>
    <col min="12806" max="12806" width="11" style="3843" customWidth="1"/>
    <col min="12807" max="12807" width="9.375" style="3843" customWidth="1"/>
    <col min="12808" max="12808" width="18.75" style="3843" customWidth="1"/>
    <col min="12809" max="12809" width="9" style="3843"/>
    <col min="12810" max="12810" width="9.5" style="3843" bestFit="1" customWidth="1"/>
    <col min="12811" max="12813" width="9" style="3843"/>
    <col min="12814" max="12814" width="11.625" style="3843" customWidth="1"/>
    <col min="12815" max="12815" width="9.5" style="3843" bestFit="1" customWidth="1"/>
    <col min="12816" max="13056" width="9" style="3843"/>
    <col min="13057" max="13057" width="20.25" style="3843" customWidth="1"/>
    <col min="13058" max="13058" width="12.875" style="3843" customWidth="1"/>
    <col min="13059" max="13059" width="10.25" style="3843" customWidth="1"/>
    <col min="13060" max="13060" width="19.25" style="3843" customWidth="1"/>
    <col min="13061" max="13061" width="18.125" style="3843" customWidth="1"/>
    <col min="13062" max="13062" width="11" style="3843" customWidth="1"/>
    <col min="13063" max="13063" width="9.375" style="3843" customWidth="1"/>
    <col min="13064" max="13064" width="18.75" style="3843" customWidth="1"/>
    <col min="13065" max="13065" width="9" style="3843"/>
    <col min="13066" max="13066" width="9.5" style="3843" bestFit="1" customWidth="1"/>
    <col min="13067" max="13069" width="9" style="3843"/>
    <col min="13070" max="13070" width="11.625" style="3843" customWidth="1"/>
    <col min="13071" max="13071" width="9.5" style="3843" bestFit="1" customWidth="1"/>
    <col min="13072" max="13312" width="9" style="3843"/>
    <col min="13313" max="13313" width="20.25" style="3843" customWidth="1"/>
    <col min="13314" max="13314" width="12.875" style="3843" customWidth="1"/>
    <col min="13315" max="13315" width="10.25" style="3843" customWidth="1"/>
    <col min="13316" max="13316" width="19.25" style="3843" customWidth="1"/>
    <col min="13317" max="13317" width="18.125" style="3843" customWidth="1"/>
    <col min="13318" max="13318" width="11" style="3843" customWidth="1"/>
    <col min="13319" max="13319" width="9.375" style="3843" customWidth="1"/>
    <col min="13320" max="13320" width="18.75" style="3843" customWidth="1"/>
    <col min="13321" max="13321" width="9" style="3843"/>
    <col min="13322" max="13322" width="9.5" style="3843" bestFit="1" customWidth="1"/>
    <col min="13323" max="13325" width="9" style="3843"/>
    <col min="13326" max="13326" width="11.625" style="3843" customWidth="1"/>
    <col min="13327" max="13327" width="9.5" style="3843" bestFit="1" customWidth="1"/>
    <col min="13328" max="13568" width="9" style="3843"/>
    <col min="13569" max="13569" width="20.25" style="3843" customWidth="1"/>
    <col min="13570" max="13570" width="12.875" style="3843" customWidth="1"/>
    <col min="13571" max="13571" width="10.25" style="3843" customWidth="1"/>
    <col min="13572" max="13572" width="19.25" style="3843" customWidth="1"/>
    <col min="13573" max="13573" width="18.125" style="3843" customWidth="1"/>
    <col min="13574" max="13574" width="11" style="3843" customWidth="1"/>
    <col min="13575" max="13575" width="9.375" style="3843" customWidth="1"/>
    <col min="13576" max="13576" width="18.75" style="3843" customWidth="1"/>
    <col min="13577" max="13577" width="9" style="3843"/>
    <col min="13578" max="13578" width="9.5" style="3843" bestFit="1" customWidth="1"/>
    <col min="13579" max="13581" width="9" style="3843"/>
    <col min="13582" max="13582" width="11.625" style="3843" customWidth="1"/>
    <col min="13583" max="13583" width="9.5" style="3843" bestFit="1" customWidth="1"/>
    <col min="13584" max="13824" width="9" style="3843"/>
    <col min="13825" max="13825" width="20.25" style="3843" customWidth="1"/>
    <col min="13826" max="13826" width="12.875" style="3843" customWidth="1"/>
    <col min="13827" max="13827" width="10.25" style="3843" customWidth="1"/>
    <col min="13828" max="13828" width="19.25" style="3843" customWidth="1"/>
    <col min="13829" max="13829" width="18.125" style="3843" customWidth="1"/>
    <col min="13830" max="13830" width="11" style="3843" customWidth="1"/>
    <col min="13831" max="13831" width="9.375" style="3843" customWidth="1"/>
    <col min="13832" max="13832" width="18.75" style="3843" customWidth="1"/>
    <col min="13833" max="13833" width="9" style="3843"/>
    <col min="13834" max="13834" width="9.5" style="3843" bestFit="1" customWidth="1"/>
    <col min="13835" max="13837" width="9" style="3843"/>
    <col min="13838" max="13838" width="11.625" style="3843" customWidth="1"/>
    <col min="13839" max="13839" width="9.5" style="3843" bestFit="1" customWidth="1"/>
    <col min="13840" max="14080" width="9" style="3843"/>
    <col min="14081" max="14081" width="20.25" style="3843" customWidth="1"/>
    <col min="14082" max="14082" width="12.875" style="3843" customWidth="1"/>
    <col min="14083" max="14083" width="10.25" style="3843" customWidth="1"/>
    <col min="14084" max="14084" width="19.25" style="3843" customWidth="1"/>
    <col min="14085" max="14085" width="18.125" style="3843" customWidth="1"/>
    <col min="14086" max="14086" width="11" style="3843" customWidth="1"/>
    <col min="14087" max="14087" width="9.375" style="3843" customWidth="1"/>
    <col min="14088" max="14088" width="18.75" style="3843" customWidth="1"/>
    <col min="14089" max="14089" width="9" style="3843"/>
    <col min="14090" max="14090" width="9.5" style="3843" bestFit="1" customWidth="1"/>
    <col min="14091" max="14093" width="9" style="3843"/>
    <col min="14094" max="14094" width="11.625" style="3843" customWidth="1"/>
    <col min="14095" max="14095" width="9.5" style="3843" bestFit="1" customWidth="1"/>
    <col min="14096" max="14336" width="9" style="3843"/>
    <col min="14337" max="14337" width="20.25" style="3843" customWidth="1"/>
    <col min="14338" max="14338" width="12.875" style="3843" customWidth="1"/>
    <col min="14339" max="14339" width="10.25" style="3843" customWidth="1"/>
    <col min="14340" max="14340" width="19.25" style="3843" customWidth="1"/>
    <col min="14341" max="14341" width="18.125" style="3843" customWidth="1"/>
    <col min="14342" max="14342" width="11" style="3843" customWidth="1"/>
    <col min="14343" max="14343" width="9.375" style="3843" customWidth="1"/>
    <col min="14344" max="14344" width="18.75" style="3843" customWidth="1"/>
    <col min="14345" max="14345" width="9" style="3843"/>
    <col min="14346" max="14346" width="9.5" style="3843" bestFit="1" customWidth="1"/>
    <col min="14347" max="14349" width="9" style="3843"/>
    <col min="14350" max="14350" width="11.625" style="3843" customWidth="1"/>
    <col min="14351" max="14351" width="9.5" style="3843" bestFit="1" customWidth="1"/>
    <col min="14352" max="14592" width="9" style="3843"/>
    <col min="14593" max="14593" width="20.25" style="3843" customWidth="1"/>
    <col min="14594" max="14594" width="12.875" style="3843" customWidth="1"/>
    <col min="14595" max="14595" width="10.25" style="3843" customWidth="1"/>
    <col min="14596" max="14596" width="19.25" style="3843" customWidth="1"/>
    <col min="14597" max="14597" width="18.125" style="3843" customWidth="1"/>
    <col min="14598" max="14598" width="11" style="3843" customWidth="1"/>
    <col min="14599" max="14599" width="9.375" style="3843" customWidth="1"/>
    <col min="14600" max="14600" width="18.75" style="3843" customWidth="1"/>
    <col min="14601" max="14601" width="9" style="3843"/>
    <col min="14602" max="14602" width="9.5" style="3843" bestFit="1" customWidth="1"/>
    <col min="14603" max="14605" width="9" style="3843"/>
    <col min="14606" max="14606" width="11.625" style="3843" customWidth="1"/>
    <col min="14607" max="14607" width="9.5" style="3843" bestFit="1" customWidth="1"/>
    <col min="14608" max="14848" width="9" style="3843"/>
    <col min="14849" max="14849" width="20.25" style="3843" customWidth="1"/>
    <col min="14850" max="14850" width="12.875" style="3843" customWidth="1"/>
    <col min="14851" max="14851" width="10.25" style="3843" customWidth="1"/>
    <col min="14852" max="14852" width="19.25" style="3843" customWidth="1"/>
    <col min="14853" max="14853" width="18.125" style="3843" customWidth="1"/>
    <col min="14854" max="14854" width="11" style="3843" customWidth="1"/>
    <col min="14855" max="14855" width="9.375" style="3843" customWidth="1"/>
    <col min="14856" max="14856" width="18.75" style="3843" customWidth="1"/>
    <col min="14857" max="14857" width="9" style="3843"/>
    <col min="14858" max="14858" width="9.5" style="3843" bestFit="1" customWidth="1"/>
    <col min="14859" max="14861" width="9" style="3843"/>
    <col min="14862" max="14862" width="11.625" style="3843" customWidth="1"/>
    <col min="14863" max="14863" width="9.5" style="3843" bestFit="1" customWidth="1"/>
    <col min="14864" max="15104" width="9" style="3843"/>
    <col min="15105" max="15105" width="20.25" style="3843" customWidth="1"/>
    <col min="15106" max="15106" width="12.875" style="3843" customWidth="1"/>
    <col min="15107" max="15107" width="10.25" style="3843" customWidth="1"/>
    <col min="15108" max="15108" width="19.25" style="3843" customWidth="1"/>
    <col min="15109" max="15109" width="18.125" style="3843" customWidth="1"/>
    <col min="15110" max="15110" width="11" style="3843" customWidth="1"/>
    <col min="15111" max="15111" width="9.375" style="3843" customWidth="1"/>
    <col min="15112" max="15112" width="18.75" style="3843" customWidth="1"/>
    <col min="15113" max="15113" width="9" style="3843"/>
    <col min="15114" max="15114" width="9.5" style="3843" bestFit="1" customWidth="1"/>
    <col min="15115" max="15117" width="9" style="3843"/>
    <col min="15118" max="15118" width="11.625" style="3843" customWidth="1"/>
    <col min="15119" max="15119" width="9.5" style="3843" bestFit="1" customWidth="1"/>
    <col min="15120" max="15360" width="9" style="3843"/>
    <col min="15361" max="15361" width="20.25" style="3843" customWidth="1"/>
    <col min="15362" max="15362" width="12.875" style="3843" customWidth="1"/>
    <col min="15363" max="15363" width="10.25" style="3843" customWidth="1"/>
    <col min="15364" max="15364" width="19.25" style="3843" customWidth="1"/>
    <col min="15365" max="15365" width="18.125" style="3843" customWidth="1"/>
    <col min="15366" max="15366" width="11" style="3843" customWidth="1"/>
    <col min="15367" max="15367" width="9.375" style="3843" customWidth="1"/>
    <col min="15368" max="15368" width="18.75" style="3843" customWidth="1"/>
    <col min="15369" max="15369" width="9" style="3843"/>
    <col min="15370" max="15370" width="9.5" style="3843" bestFit="1" customWidth="1"/>
    <col min="15371" max="15373" width="9" style="3843"/>
    <col min="15374" max="15374" width="11.625" style="3843" customWidth="1"/>
    <col min="15375" max="15375" width="9.5" style="3843" bestFit="1" customWidth="1"/>
    <col min="15376" max="15616" width="9" style="3843"/>
    <col min="15617" max="15617" width="20.25" style="3843" customWidth="1"/>
    <col min="15618" max="15618" width="12.875" style="3843" customWidth="1"/>
    <col min="15619" max="15619" width="10.25" style="3843" customWidth="1"/>
    <col min="15620" max="15620" width="19.25" style="3843" customWidth="1"/>
    <col min="15621" max="15621" width="18.125" style="3843" customWidth="1"/>
    <col min="15622" max="15622" width="11" style="3843" customWidth="1"/>
    <col min="15623" max="15623" width="9.375" style="3843" customWidth="1"/>
    <col min="15624" max="15624" width="18.75" style="3843" customWidth="1"/>
    <col min="15625" max="15625" width="9" style="3843"/>
    <col min="15626" max="15626" width="9.5" style="3843" bestFit="1" customWidth="1"/>
    <col min="15627" max="15629" width="9" style="3843"/>
    <col min="15630" max="15630" width="11.625" style="3843" customWidth="1"/>
    <col min="15631" max="15631" width="9.5" style="3843" bestFit="1" customWidth="1"/>
    <col min="15632" max="15872" width="9" style="3843"/>
    <col min="15873" max="15873" width="20.25" style="3843" customWidth="1"/>
    <col min="15874" max="15874" width="12.875" style="3843" customWidth="1"/>
    <col min="15875" max="15875" width="10.25" style="3843" customWidth="1"/>
    <col min="15876" max="15876" width="19.25" style="3843" customWidth="1"/>
    <col min="15877" max="15877" width="18.125" style="3843" customWidth="1"/>
    <col min="15878" max="15878" width="11" style="3843" customWidth="1"/>
    <col min="15879" max="15879" width="9.375" style="3843" customWidth="1"/>
    <col min="15880" max="15880" width="18.75" style="3843" customWidth="1"/>
    <col min="15881" max="15881" width="9" style="3843"/>
    <col min="15882" max="15882" width="9.5" style="3843" bestFit="1" customWidth="1"/>
    <col min="15883" max="15885" width="9" style="3843"/>
    <col min="15886" max="15886" width="11.625" style="3843" customWidth="1"/>
    <col min="15887" max="15887" width="9.5" style="3843" bestFit="1" customWidth="1"/>
    <col min="15888" max="16128" width="9" style="3843"/>
    <col min="16129" max="16129" width="20.25" style="3843" customWidth="1"/>
    <col min="16130" max="16130" width="12.875" style="3843" customWidth="1"/>
    <col min="16131" max="16131" width="10.25" style="3843" customWidth="1"/>
    <col min="16132" max="16132" width="19.25" style="3843" customWidth="1"/>
    <col min="16133" max="16133" width="18.125" style="3843" customWidth="1"/>
    <col min="16134" max="16134" width="11" style="3843" customWidth="1"/>
    <col min="16135" max="16135" width="9.375" style="3843" customWidth="1"/>
    <col min="16136" max="16136" width="18.75" style="3843" customWidth="1"/>
    <col min="16137" max="16137" width="9" style="3843"/>
    <col min="16138" max="16138" width="9.5" style="3843" bestFit="1" customWidth="1"/>
    <col min="16139" max="16141" width="9" style="3843"/>
    <col min="16142" max="16142" width="11.625" style="3843" customWidth="1"/>
    <col min="16143" max="16143" width="9.5" style="3843" bestFit="1" customWidth="1"/>
    <col min="16144" max="16384" width="9" style="3843"/>
  </cols>
  <sheetData>
    <row r="1" spans="1:11">
      <c r="A1" s="4434" t="s">
        <v>4132</v>
      </c>
      <c r="B1" s="4435"/>
      <c r="C1" s="4435"/>
      <c r="D1" s="4435"/>
      <c r="E1" s="4435"/>
      <c r="F1" s="4435"/>
      <c r="G1" s="4435"/>
      <c r="H1" s="4435"/>
    </row>
    <row r="2" spans="1:11" ht="10.5" customHeight="1">
      <c r="A2" s="4434" t="s">
        <v>4133</v>
      </c>
      <c r="B2" s="4434"/>
      <c r="C2" s="4434"/>
      <c r="D2" s="4434"/>
      <c r="E2" s="4434"/>
      <c r="F2" s="4434"/>
      <c r="G2" s="4434"/>
      <c r="H2" s="4434"/>
    </row>
    <row r="3" spans="1:11" ht="2.25" customHeight="1">
      <c r="A3" s="4434"/>
      <c r="B3" s="4434"/>
      <c r="C3" s="4434"/>
      <c r="D3" s="4434"/>
      <c r="E3" s="4434"/>
      <c r="F3" s="4434"/>
      <c r="G3" s="4434"/>
      <c r="H3" s="4434"/>
    </row>
    <row r="4" spans="1:11" ht="15.75" customHeight="1">
      <c r="A4" s="3844" t="s">
        <v>4134</v>
      </c>
      <c r="B4" s="4434" t="s">
        <v>4135</v>
      </c>
      <c r="C4" s="4435"/>
      <c r="D4" s="4435"/>
      <c r="E4" s="3844" t="s">
        <v>4136</v>
      </c>
      <c r="F4" s="4434" t="s">
        <v>4135</v>
      </c>
      <c r="G4" s="4435"/>
      <c r="H4" s="4435"/>
    </row>
    <row r="5" spans="1:11">
      <c r="A5" s="4435" t="s">
        <v>4137</v>
      </c>
      <c r="B5" s="4435"/>
      <c r="C5" s="4434">
        <v>7636486</v>
      </c>
      <c r="D5" s="4434"/>
      <c r="E5" s="4435" t="s">
        <v>4138</v>
      </c>
      <c r="F5" s="4435">
        <v>7785.17</v>
      </c>
      <c r="G5" s="4435"/>
      <c r="H5" s="4435"/>
    </row>
    <row r="6" spans="1:11" ht="20.25" customHeight="1">
      <c r="A6" s="4435"/>
      <c r="B6" s="4435"/>
      <c r="C6" s="4434"/>
      <c r="D6" s="4434"/>
      <c r="E6" s="4435"/>
      <c r="F6" s="4435"/>
      <c r="G6" s="4435"/>
      <c r="H6" s="4435"/>
    </row>
    <row r="7" spans="1:11" ht="39.75" customHeight="1">
      <c r="A7" s="3281" t="s">
        <v>3243</v>
      </c>
      <c r="B7" s="4435" t="s">
        <v>4139</v>
      </c>
      <c r="C7" s="4435"/>
      <c r="D7" s="3281" t="s">
        <v>4140</v>
      </c>
      <c r="E7" s="3281" t="s">
        <v>3243</v>
      </c>
      <c r="F7" s="4435" t="s">
        <v>4139</v>
      </c>
      <c r="G7" s="4435"/>
      <c r="H7" s="3281" t="s">
        <v>4140</v>
      </c>
    </row>
    <row r="8" spans="1:11">
      <c r="A8" s="3281" t="s">
        <v>3018</v>
      </c>
      <c r="B8" s="4436">
        <v>335.66</v>
      </c>
      <c r="C8" s="4436"/>
      <c r="D8" s="3845">
        <v>221553</v>
      </c>
      <c r="E8" s="3281" t="s">
        <v>4141</v>
      </c>
      <c r="F8" s="4437">
        <v>75.8</v>
      </c>
      <c r="G8" s="4437"/>
      <c r="H8" s="3845">
        <v>49322</v>
      </c>
      <c r="J8" s="3843">
        <v>1</v>
      </c>
      <c r="K8" s="3843">
        <v>221553</v>
      </c>
    </row>
    <row r="9" spans="1:11">
      <c r="A9" s="3281" t="s">
        <v>3020</v>
      </c>
      <c r="B9" s="4436">
        <v>72.36</v>
      </c>
      <c r="C9" s="4436"/>
      <c r="D9" s="3845">
        <v>77303</v>
      </c>
      <c r="E9" s="3281" t="s">
        <v>4142</v>
      </c>
      <c r="F9" s="4435">
        <v>2.5299999999999998</v>
      </c>
      <c r="G9" s="4435"/>
      <c r="H9" s="3845">
        <v>3052</v>
      </c>
      <c r="J9" s="3843">
        <v>2</v>
      </c>
      <c r="K9" s="3843">
        <v>77303</v>
      </c>
    </row>
    <row r="10" spans="1:11">
      <c r="A10" s="3281" t="s">
        <v>3024</v>
      </c>
      <c r="B10" s="4436">
        <v>2688.82</v>
      </c>
      <c r="C10" s="4436"/>
      <c r="D10" s="3845">
        <v>3784040</v>
      </c>
      <c r="E10" s="3281" t="s">
        <v>4143</v>
      </c>
      <c r="F10" s="4435">
        <v>68.77</v>
      </c>
      <c r="G10" s="4435"/>
      <c r="H10" s="3845">
        <v>51210</v>
      </c>
      <c r="J10" s="3843">
        <v>3</v>
      </c>
      <c r="K10" s="3843">
        <v>3784040</v>
      </c>
    </row>
    <row r="11" spans="1:11">
      <c r="A11" s="3281" t="s">
        <v>3026</v>
      </c>
      <c r="B11" s="4436">
        <v>39.07</v>
      </c>
      <c r="C11" s="4436"/>
      <c r="D11" s="3845">
        <v>56530</v>
      </c>
      <c r="E11" s="3281" t="s">
        <v>3029</v>
      </c>
      <c r="F11" s="4435">
        <v>39.090000000000003</v>
      </c>
      <c r="G11" s="4435"/>
      <c r="H11" s="3845">
        <v>34489</v>
      </c>
      <c r="J11" s="3843">
        <v>4</v>
      </c>
      <c r="K11" s="3843">
        <v>56530</v>
      </c>
    </row>
    <row r="12" spans="1:11">
      <c r="A12" s="3281" t="s">
        <v>3028</v>
      </c>
      <c r="B12" s="4436">
        <v>74.41</v>
      </c>
      <c r="C12" s="4436"/>
      <c r="D12" s="3845">
        <v>47313</v>
      </c>
      <c r="E12" s="3281" t="s">
        <v>3031</v>
      </c>
      <c r="F12" s="4435">
        <v>264.44</v>
      </c>
      <c r="G12" s="4435"/>
      <c r="H12" s="3845">
        <v>341096</v>
      </c>
      <c r="J12" s="3843">
        <v>5</v>
      </c>
      <c r="K12" s="3843">
        <v>47313</v>
      </c>
    </row>
    <row r="13" spans="1:11">
      <c r="A13" s="3281" t="s">
        <v>3030</v>
      </c>
      <c r="B13" s="4438">
        <v>43.63</v>
      </c>
      <c r="C13" s="4438"/>
      <c r="D13" s="3845">
        <v>18209</v>
      </c>
      <c r="E13" s="3281" t="s">
        <v>3033</v>
      </c>
      <c r="F13" s="4435">
        <v>32.94</v>
      </c>
      <c r="G13" s="4435"/>
      <c r="H13" s="3845">
        <v>27531</v>
      </c>
      <c r="J13" s="3843">
        <v>6</v>
      </c>
      <c r="K13" s="3843">
        <v>18209</v>
      </c>
    </row>
    <row r="14" spans="1:11">
      <c r="A14" s="3281" t="s">
        <v>3032</v>
      </c>
      <c r="B14" s="4436">
        <v>134.66999999999999</v>
      </c>
      <c r="C14" s="4436"/>
      <c r="D14" s="3845">
        <v>92759</v>
      </c>
      <c r="E14" s="3281" t="s">
        <v>3035</v>
      </c>
      <c r="F14" s="4435">
        <v>61.1</v>
      </c>
      <c r="G14" s="4435"/>
      <c r="H14" s="3845">
        <v>46748</v>
      </c>
      <c r="J14" s="3843">
        <v>7</v>
      </c>
      <c r="K14" s="3843">
        <v>92759</v>
      </c>
    </row>
    <row r="15" spans="1:11">
      <c r="A15" s="3281" t="s">
        <v>3034</v>
      </c>
      <c r="B15" s="4436">
        <v>25.34</v>
      </c>
      <c r="C15" s="4436"/>
      <c r="D15" s="3845">
        <v>8023</v>
      </c>
      <c r="E15" s="3281" t="s">
        <v>3037</v>
      </c>
      <c r="F15" s="4435">
        <v>148.86000000000001</v>
      </c>
      <c r="G15" s="4435"/>
      <c r="H15" s="3845">
        <v>59597</v>
      </c>
      <c r="J15" s="3843">
        <v>8</v>
      </c>
      <c r="K15" s="3843">
        <v>8023</v>
      </c>
    </row>
    <row r="16" spans="1:11">
      <c r="A16" s="3281" t="s">
        <v>3036</v>
      </c>
      <c r="B16" s="4436">
        <v>45.63</v>
      </c>
      <c r="C16" s="4436"/>
      <c r="D16" s="3845">
        <v>47412</v>
      </c>
      <c r="E16" s="3281" t="s">
        <v>3039</v>
      </c>
      <c r="F16" s="4435">
        <v>755.52</v>
      </c>
      <c r="G16" s="4435"/>
      <c r="H16" s="3845">
        <v>731851</v>
      </c>
      <c r="J16" s="3843">
        <v>9</v>
      </c>
      <c r="K16" s="3843">
        <v>47412</v>
      </c>
    </row>
    <row r="17" spans="1:11">
      <c r="A17" s="3281" t="s">
        <v>3038</v>
      </c>
      <c r="B17" s="4436">
        <v>30.3</v>
      </c>
      <c r="C17" s="4436"/>
      <c r="D17" s="3845">
        <v>17218</v>
      </c>
      <c r="E17" s="3281" t="s">
        <v>3043</v>
      </c>
      <c r="F17" s="4435">
        <v>141.71</v>
      </c>
      <c r="G17" s="4435"/>
      <c r="H17" s="3846">
        <v>104553</v>
      </c>
      <c r="J17" s="3843">
        <v>10</v>
      </c>
      <c r="K17" s="3843">
        <v>17218</v>
      </c>
    </row>
    <row r="18" spans="1:11">
      <c r="A18" s="3281" t="s">
        <v>3040</v>
      </c>
      <c r="B18" s="4436">
        <v>27.07</v>
      </c>
      <c r="C18" s="4436"/>
      <c r="D18" s="3845">
        <v>12349</v>
      </c>
      <c r="E18" s="3281" t="s">
        <v>3045</v>
      </c>
      <c r="F18" s="4435">
        <v>14.84</v>
      </c>
      <c r="G18" s="4435"/>
      <c r="H18" s="3846">
        <v>12139</v>
      </c>
      <c r="J18" s="3843">
        <v>11</v>
      </c>
      <c r="K18" s="3843">
        <v>12349</v>
      </c>
    </row>
    <row r="19" spans="1:11">
      <c r="A19" s="3281" t="s">
        <v>3044</v>
      </c>
      <c r="B19" s="4436">
        <v>96.12</v>
      </c>
      <c r="C19" s="4436"/>
      <c r="D19" s="3845">
        <v>49701</v>
      </c>
      <c r="E19" s="3281" t="s">
        <v>3047</v>
      </c>
      <c r="F19" s="4435">
        <v>190.68</v>
      </c>
      <c r="G19" s="4435"/>
      <c r="H19" s="3846">
        <v>117738</v>
      </c>
      <c r="J19" s="3843">
        <v>12</v>
      </c>
      <c r="K19" s="3843">
        <v>49701</v>
      </c>
    </row>
    <row r="20" spans="1:11">
      <c r="A20" s="3281" t="s">
        <v>3048</v>
      </c>
      <c r="B20" s="4436">
        <v>62.41</v>
      </c>
      <c r="C20" s="4436"/>
      <c r="D20" s="3845">
        <v>51420</v>
      </c>
      <c r="E20" s="3281" t="s">
        <v>3049</v>
      </c>
      <c r="F20" s="4435">
        <v>248.95</v>
      </c>
      <c r="G20" s="4435"/>
      <c r="H20" s="3846">
        <v>151536</v>
      </c>
      <c r="J20" s="3843">
        <v>13</v>
      </c>
      <c r="K20" s="3843">
        <v>51420</v>
      </c>
    </row>
    <row r="21" spans="1:11">
      <c r="A21" s="3281" t="s">
        <v>3050</v>
      </c>
      <c r="B21" s="4436">
        <v>44.91</v>
      </c>
      <c r="C21" s="4436"/>
      <c r="D21" s="3845">
        <v>40966</v>
      </c>
      <c r="E21" s="3281" t="s">
        <v>3051</v>
      </c>
      <c r="F21" s="4435">
        <v>7.64</v>
      </c>
      <c r="G21" s="4435"/>
      <c r="H21" s="3846">
        <v>5804</v>
      </c>
      <c r="J21" s="3843">
        <v>14</v>
      </c>
      <c r="K21" s="3843">
        <v>40966</v>
      </c>
    </row>
    <row r="22" spans="1:11">
      <c r="A22" s="3281" t="s">
        <v>3052</v>
      </c>
      <c r="B22" s="4436">
        <v>53.52</v>
      </c>
      <c r="C22" s="4436"/>
      <c r="D22" s="3845">
        <v>43721</v>
      </c>
      <c r="E22" s="3281" t="s">
        <v>3053</v>
      </c>
      <c r="F22" s="4435">
        <v>104.43</v>
      </c>
      <c r="G22" s="4435"/>
      <c r="H22" s="3846">
        <v>56505</v>
      </c>
      <c r="J22" s="3843">
        <v>15</v>
      </c>
      <c r="K22" s="3843">
        <v>43721</v>
      </c>
    </row>
    <row r="23" spans="1:11">
      <c r="A23" s="3281" t="s">
        <v>3054</v>
      </c>
      <c r="B23" s="4436">
        <v>198.85</v>
      </c>
      <c r="C23" s="4436"/>
      <c r="D23" s="3845">
        <v>184330</v>
      </c>
      <c r="E23" s="3281" t="s">
        <v>3055</v>
      </c>
      <c r="F23" s="4435">
        <v>22.81</v>
      </c>
      <c r="G23" s="4435"/>
      <c r="H23" s="3846">
        <v>16542</v>
      </c>
      <c r="J23" s="3843">
        <v>16</v>
      </c>
      <c r="K23" s="3843">
        <v>184330</v>
      </c>
    </row>
    <row r="24" spans="1:11">
      <c r="A24" s="3281" t="s">
        <v>3056</v>
      </c>
      <c r="B24" s="4436">
        <v>20.350000000000001</v>
      </c>
      <c r="C24" s="4436"/>
      <c r="D24" s="3845">
        <v>16481</v>
      </c>
      <c r="E24" s="3281" t="s">
        <v>3057</v>
      </c>
      <c r="F24" s="4435">
        <v>81.99</v>
      </c>
      <c r="G24" s="4435"/>
      <c r="H24" s="3846">
        <v>32131</v>
      </c>
      <c r="J24" s="3843">
        <v>17</v>
      </c>
      <c r="K24" s="3843">
        <v>16481</v>
      </c>
    </row>
    <row r="25" spans="1:11">
      <c r="A25" s="3281" t="s">
        <v>3064</v>
      </c>
      <c r="B25" s="4436">
        <v>30.53</v>
      </c>
      <c r="C25" s="4436"/>
      <c r="D25" s="3845">
        <v>10439</v>
      </c>
      <c r="E25" s="3281" t="s">
        <v>3059</v>
      </c>
      <c r="F25" s="4435">
        <v>385.42</v>
      </c>
      <c r="G25" s="4435"/>
      <c r="H25" s="3846">
        <v>267311</v>
      </c>
      <c r="J25" s="3843">
        <v>18</v>
      </c>
      <c r="K25" s="3843">
        <v>10439</v>
      </c>
    </row>
    <row r="26" spans="1:11">
      <c r="A26" s="3281" t="s">
        <v>3066</v>
      </c>
      <c r="B26" s="4436">
        <v>152.88</v>
      </c>
      <c r="C26" s="4436"/>
      <c r="D26" s="3845">
        <v>104630</v>
      </c>
      <c r="E26" s="3281" t="s">
        <v>3061</v>
      </c>
      <c r="F26" s="4435">
        <v>16.32</v>
      </c>
      <c r="G26" s="4435"/>
      <c r="H26" s="3845">
        <v>15833</v>
      </c>
      <c r="J26" s="3843">
        <v>19</v>
      </c>
      <c r="K26" s="3843">
        <v>104630</v>
      </c>
    </row>
    <row r="27" spans="1:11">
      <c r="A27" s="3281" t="s">
        <v>3068</v>
      </c>
      <c r="B27" s="4436">
        <v>66.97</v>
      </c>
      <c r="C27" s="4436"/>
      <c r="D27" s="3845">
        <v>56385</v>
      </c>
      <c r="E27" s="3281" t="s">
        <v>3063</v>
      </c>
      <c r="F27" s="4435">
        <v>58.39</v>
      </c>
      <c r="G27" s="4435"/>
      <c r="H27" s="3845">
        <v>41867</v>
      </c>
      <c r="J27" s="3843">
        <v>20</v>
      </c>
      <c r="K27" s="3843">
        <v>56385</v>
      </c>
    </row>
    <row r="28" spans="1:11">
      <c r="A28" s="3281" t="s">
        <v>3070</v>
      </c>
      <c r="B28" s="4436">
        <v>119.15</v>
      </c>
      <c r="C28" s="4436"/>
      <c r="D28" s="3845">
        <v>45576</v>
      </c>
      <c r="E28" s="3281" t="s">
        <v>3065</v>
      </c>
      <c r="F28" s="4435">
        <v>14.42</v>
      </c>
      <c r="G28" s="4435"/>
      <c r="H28" s="3845">
        <v>14040</v>
      </c>
      <c r="J28" s="3843">
        <v>21</v>
      </c>
      <c r="K28" s="3843">
        <v>45576</v>
      </c>
    </row>
    <row r="29" spans="1:11">
      <c r="A29" s="3281" t="s">
        <v>3072</v>
      </c>
      <c r="B29" s="4437">
        <v>78.010000000000005</v>
      </c>
      <c r="C29" s="4437"/>
      <c r="D29" s="3845">
        <v>17178</v>
      </c>
      <c r="E29" s="3281" t="s">
        <v>3067</v>
      </c>
      <c r="F29" s="4435">
        <v>44.17</v>
      </c>
      <c r="G29" s="4435"/>
      <c r="H29" s="3845">
        <v>24445</v>
      </c>
      <c r="J29" s="3843">
        <v>22</v>
      </c>
      <c r="K29" s="3843">
        <v>17178</v>
      </c>
    </row>
    <row r="30" spans="1:11">
      <c r="A30" s="3281" t="s">
        <v>3019</v>
      </c>
      <c r="B30" s="4435">
        <v>536.21</v>
      </c>
      <c r="C30" s="4435"/>
      <c r="D30" s="3845">
        <v>412172</v>
      </c>
      <c r="E30" s="3281" t="s">
        <v>3069</v>
      </c>
      <c r="F30" s="4435">
        <v>27.48</v>
      </c>
      <c r="G30" s="4435"/>
      <c r="H30" s="3845">
        <v>15438</v>
      </c>
      <c r="J30" s="3843">
        <v>23</v>
      </c>
      <c r="K30" s="3843">
        <v>412172</v>
      </c>
    </row>
    <row r="31" spans="1:11" ht="21" customHeight="1">
      <c r="A31" s="3281"/>
      <c r="B31" s="3281"/>
      <c r="C31" s="3281"/>
      <c r="D31" s="3281"/>
      <c r="E31" s="3281"/>
      <c r="F31" s="3281"/>
      <c r="G31" s="3281"/>
      <c r="H31" s="3281"/>
      <c r="J31" s="3843">
        <v>24</v>
      </c>
      <c r="K31" s="3843">
        <v>49322</v>
      </c>
    </row>
    <row r="32" spans="1:11">
      <c r="A32" s="4435" t="s">
        <v>4144</v>
      </c>
      <c r="B32" s="4435"/>
      <c r="C32" s="4435"/>
      <c r="D32" s="4435"/>
      <c r="E32" s="4439" t="s">
        <v>4145</v>
      </c>
      <c r="F32" s="4440"/>
      <c r="G32" s="4440"/>
      <c r="H32" s="4441"/>
      <c r="I32" s="3847"/>
      <c r="J32" s="3843">
        <v>25</v>
      </c>
      <c r="K32" s="3843">
        <v>3052</v>
      </c>
    </row>
    <row r="33" spans="1:16" ht="17.25" customHeight="1">
      <c r="A33" s="3281" t="s">
        <v>3407</v>
      </c>
      <c r="B33" s="3281" t="s">
        <v>4146</v>
      </c>
      <c r="C33" s="3281" t="s">
        <v>3332</v>
      </c>
      <c r="D33" s="3281" t="s">
        <v>3350</v>
      </c>
      <c r="E33" s="3281" t="s">
        <v>3407</v>
      </c>
      <c r="F33" s="3281" t="s">
        <v>4146</v>
      </c>
      <c r="G33" s="3281" t="s">
        <v>3332</v>
      </c>
      <c r="H33" s="3281" t="s">
        <v>3350</v>
      </c>
      <c r="I33" s="3847"/>
      <c r="J33" s="3843">
        <v>26</v>
      </c>
      <c r="K33" s="3843">
        <v>51210</v>
      </c>
    </row>
    <row r="34" spans="1:16">
      <c r="A34" s="3281" t="s">
        <v>3711</v>
      </c>
      <c r="B34" s="3281">
        <v>372621</v>
      </c>
      <c r="C34" s="3281">
        <v>5035.42</v>
      </c>
      <c r="D34" s="3281" t="s">
        <v>3369</v>
      </c>
      <c r="E34" s="3281" t="s">
        <v>4147</v>
      </c>
      <c r="F34" s="3281">
        <v>35964</v>
      </c>
      <c r="G34" s="3281">
        <v>264.44</v>
      </c>
      <c r="H34" s="3281" t="s">
        <v>3369</v>
      </c>
      <c r="I34" s="3847"/>
      <c r="J34" s="3843">
        <v>27</v>
      </c>
      <c r="K34" s="3843">
        <v>34489</v>
      </c>
    </row>
    <row r="35" spans="1:16" ht="21.75" customHeight="1">
      <c r="A35" s="3281" t="s">
        <v>3702</v>
      </c>
      <c r="B35" s="3281">
        <v>2695</v>
      </c>
      <c r="C35" s="3281">
        <v>7</v>
      </c>
      <c r="D35" s="3281" t="s">
        <v>3362</v>
      </c>
      <c r="E35" s="3281" t="s">
        <v>4148</v>
      </c>
      <c r="F35" s="3281">
        <v>52047</v>
      </c>
      <c r="G35" s="3281">
        <v>162.13999999999999</v>
      </c>
      <c r="H35" s="3281" t="s">
        <v>3369</v>
      </c>
      <c r="I35" s="3847"/>
      <c r="J35" s="3843">
        <v>28</v>
      </c>
      <c r="K35" s="3843">
        <v>341096</v>
      </c>
    </row>
    <row r="36" spans="1:16" ht="18.75" customHeight="1">
      <c r="A36" s="3281" t="s">
        <v>3723</v>
      </c>
      <c r="B36" s="3281">
        <v>18081</v>
      </c>
      <c r="C36" s="3281">
        <v>147</v>
      </c>
      <c r="D36" s="3281" t="s">
        <v>3715</v>
      </c>
      <c r="E36" s="3281" t="s">
        <v>4149</v>
      </c>
      <c r="F36" s="3281">
        <v>196085</v>
      </c>
      <c r="G36" s="3281">
        <v>1720.04</v>
      </c>
      <c r="H36" s="3281" t="s">
        <v>3369</v>
      </c>
      <c r="I36" s="3847"/>
      <c r="J36" s="3843">
        <v>29</v>
      </c>
      <c r="K36" s="3843">
        <v>27531</v>
      </c>
    </row>
    <row r="37" spans="1:16" ht="19.5" customHeight="1">
      <c r="A37" s="3281" t="s">
        <v>4150</v>
      </c>
      <c r="B37" s="3281">
        <v>666124</v>
      </c>
      <c r="C37" s="3281">
        <v>2010</v>
      </c>
      <c r="D37" s="3281" t="s">
        <v>3369</v>
      </c>
      <c r="E37" s="3281" t="s">
        <v>4151</v>
      </c>
      <c r="F37" s="3281">
        <v>7949</v>
      </c>
      <c r="G37" s="3281">
        <v>72</v>
      </c>
      <c r="H37" s="3281" t="s">
        <v>3666</v>
      </c>
      <c r="I37" s="3847"/>
      <c r="J37" s="3843">
        <v>30</v>
      </c>
      <c r="K37" s="3843">
        <v>46748</v>
      </c>
    </row>
    <row r="38" spans="1:16">
      <c r="A38" s="3281" t="s">
        <v>4152</v>
      </c>
      <c r="B38" s="3281">
        <v>1182480</v>
      </c>
      <c r="C38" s="3281">
        <v>22740</v>
      </c>
      <c r="D38" s="3281" t="s">
        <v>3369</v>
      </c>
      <c r="E38" s="3839" t="s">
        <v>4153</v>
      </c>
      <c r="F38" s="3281">
        <v>13440</v>
      </c>
      <c r="G38" s="3281">
        <v>28</v>
      </c>
      <c r="H38" s="3839" t="s">
        <v>4154</v>
      </c>
      <c r="I38" s="3847"/>
      <c r="J38" s="3843">
        <v>31</v>
      </c>
      <c r="K38" s="3843">
        <v>59597</v>
      </c>
    </row>
    <row r="39" spans="1:16">
      <c r="A39" s="3281" t="s">
        <v>4155</v>
      </c>
      <c r="B39" s="3281">
        <v>1892</v>
      </c>
      <c r="C39" s="3281">
        <v>9.4600000000000009</v>
      </c>
      <c r="D39" s="3281" t="s">
        <v>3369</v>
      </c>
      <c r="E39" s="3839" t="s">
        <v>4156</v>
      </c>
      <c r="F39" s="3281">
        <v>24000</v>
      </c>
      <c r="G39" s="3281">
        <v>6</v>
      </c>
      <c r="H39" s="3839" t="s">
        <v>4154</v>
      </c>
      <c r="I39" s="3847"/>
      <c r="J39" s="3843">
        <v>32</v>
      </c>
      <c r="K39" s="3843">
        <v>731851</v>
      </c>
      <c r="M39" s="3848"/>
      <c r="N39" s="3848"/>
      <c r="O39" s="3848"/>
    </row>
    <row r="40" spans="1:16">
      <c r="A40" s="3281" t="s">
        <v>3761</v>
      </c>
      <c r="B40" s="3281">
        <v>114464</v>
      </c>
      <c r="C40" s="3281">
        <v>715.4</v>
      </c>
      <c r="D40" s="3281" t="s">
        <v>3369</v>
      </c>
      <c r="E40" s="3839" t="s">
        <v>4157</v>
      </c>
      <c r="F40" s="3281">
        <v>303696</v>
      </c>
      <c r="G40" s="3281">
        <v>1500</v>
      </c>
      <c r="H40" s="3839" t="s">
        <v>4158</v>
      </c>
      <c r="I40" s="3847" t="s">
        <v>4159</v>
      </c>
      <c r="J40" s="3843">
        <v>33</v>
      </c>
      <c r="K40" s="3849">
        <v>104553</v>
      </c>
      <c r="P40" s="3848"/>
    </row>
    <row r="41" spans="1:16">
      <c r="A41" s="3281" t="s">
        <v>3670</v>
      </c>
      <c r="B41" s="3281">
        <v>3566</v>
      </c>
      <c r="C41" s="3281">
        <v>74.290000000000006</v>
      </c>
      <c r="D41" s="3281" t="s">
        <v>3369</v>
      </c>
      <c r="E41" s="3839" t="s">
        <v>4160</v>
      </c>
      <c r="F41" s="3838">
        <v>197759</v>
      </c>
      <c r="G41" s="3281">
        <v>1496</v>
      </c>
      <c r="H41" s="3839" t="s">
        <v>4158</v>
      </c>
      <c r="I41" s="3847" t="s">
        <v>4159</v>
      </c>
      <c r="J41" s="3843">
        <v>34</v>
      </c>
      <c r="K41" s="3849">
        <v>12139</v>
      </c>
      <c r="P41" s="3848"/>
    </row>
    <row r="42" spans="1:16">
      <c r="A42" s="3281" t="s">
        <v>3707</v>
      </c>
      <c r="B42" s="3281">
        <v>8502</v>
      </c>
      <c r="C42" s="3281">
        <v>13</v>
      </c>
      <c r="D42" s="3281" t="s">
        <v>3362</v>
      </c>
      <c r="E42" s="3839" t="s">
        <v>4161</v>
      </c>
      <c r="F42" s="3281">
        <v>139924</v>
      </c>
      <c r="G42" s="3281">
        <v>500</v>
      </c>
      <c r="H42" s="3839" t="s">
        <v>4158</v>
      </c>
      <c r="I42" s="3847" t="s">
        <v>4159</v>
      </c>
      <c r="J42" s="3843">
        <v>35</v>
      </c>
      <c r="K42" s="3849">
        <v>117738</v>
      </c>
    </row>
    <row r="43" spans="1:16">
      <c r="A43" s="3281" t="s">
        <v>3708</v>
      </c>
      <c r="B43" s="3281">
        <v>4116</v>
      </c>
      <c r="C43" s="3281">
        <v>12</v>
      </c>
      <c r="D43" s="3281" t="s">
        <v>3362</v>
      </c>
      <c r="E43" s="3839" t="s">
        <v>4162</v>
      </c>
      <c r="F43" s="3281">
        <v>145504</v>
      </c>
      <c r="G43" s="3281">
        <v>800</v>
      </c>
      <c r="H43" s="3839" t="s">
        <v>4158</v>
      </c>
      <c r="I43" s="3847" t="s">
        <v>4159</v>
      </c>
      <c r="J43" s="3843">
        <v>36</v>
      </c>
      <c r="K43" s="3849">
        <v>151536</v>
      </c>
    </row>
    <row r="44" spans="1:16">
      <c r="A44" s="3281" t="s">
        <v>4163</v>
      </c>
      <c r="B44" s="3281">
        <v>1612</v>
      </c>
      <c r="C44" s="3281">
        <v>33.58</v>
      </c>
      <c r="D44" s="3281" t="s">
        <v>3369</v>
      </c>
      <c r="E44" s="3839" t="s">
        <v>4164</v>
      </c>
      <c r="F44" s="3838">
        <v>26438</v>
      </c>
      <c r="G44" s="3281">
        <v>200</v>
      </c>
      <c r="H44" s="3839" t="s">
        <v>4158</v>
      </c>
      <c r="I44" s="3847" t="s">
        <v>4159</v>
      </c>
      <c r="J44" s="3843">
        <v>37</v>
      </c>
      <c r="K44" s="3849">
        <v>5804</v>
      </c>
    </row>
    <row r="45" spans="1:16">
      <c r="A45" s="3281" t="s">
        <v>4165</v>
      </c>
      <c r="B45" s="3281">
        <v>8400</v>
      </c>
      <c r="C45" s="3281">
        <v>7</v>
      </c>
      <c r="D45" s="3281" t="s">
        <v>3362</v>
      </c>
      <c r="E45" s="3839" t="s">
        <v>4166</v>
      </c>
      <c r="F45" s="3838">
        <v>142019</v>
      </c>
      <c r="G45" s="3281">
        <v>400</v>
      </c>
      <c r="H45" s="3839" t="s">
        <v>4158</v>
      </c>
      <c r="I45" s="3847" t="s">
        <v>4159</v>
      </c>
      <c r="J45" s="3843">
        <v>38</v>
      </c>
      <c r="K45" s="3849">
        <v>56505</v>
      </c>
    </row>
    <row r="46" spans="1:16">
      <c r="A46" s="3281" t="s">
        <v>4167</v>
      </c>
      <c r="B46" s="3281">
        <v>9784</v>
      </c>
      <c r="C46" s="3281">
        <v>132.22</v>
      </c>
      <c r="D46" s="3281" t="s">
        <v>3369</v>
      </c>
      <c r="E46" s="3839"/>
      <c r="F46" s="3838"/>
      <c r="G46" s="3281"/>
      <c r="H46" s="3839"/>
      <c r="I46" s="3847"/>
      <c r="J46" s="3843">
        <v>39</v>
      </c>
      <c r="K46" s="3849">
        <v>16542</v>
      </c>
    </row>
    <row r="47" spans="1:16">
      <c r="A47" s="3281" t="s">
        <v>4168</v>
      </c>
      <c r="B47" s="3281">
        <v>9784</v>
      </c>
      <c r="C47" s="3281">
        <v>132.22</v>
      </c>
      <c r="D47" s="3281" t="s">
        <v>3369</v>
      </c>
      <c r="E47" s="3839" t="s">
        <v>4169</v>
      </c>
      <c r="F47" s="3838">
        <v>3688946</v>
      </c>
      <c r="G47" s="3281"/>
      <c r="H47" s="3839"/>
      <c r="I47" s="3847"/>
      <c r="J47" s="3843">
        <v>40</v>
      </c>
      <c r="K47" s="3849">
        <v>32131</v>
      </c>
    </row>
    <row r="48" spans="1:16">
      <c r="A48" s="4442" t="s">
        <v>4170</v>
      </c>
      <c r="B48" s="4443"/>
      <c r="C48" s="4443"/>
      <c r="D48" s="4444"/>
      <c r="E48" s="4442" t="s">
        <v>4170</v>
      </c>
      <c r="F48" s="4443"/>
      <c r="G48" s="4443"/>
      <c r="H48" s="4444"/>
      <c r="I48" s="3847"/>
      <c r="J48" s="3843">
        <v>41</v>
      </c>
      <c r="K48" s="3849">
        <v>267311</v>
      </c>
    </row>
    <row r="49" spans="1:12" ht="15.75" customHeight="1">
      <c r="A49" s="3337" t="s">
        <v>4171</v>
      </c>
      <c r="B49" s="3337" t="s">
        <v>4172</v>
      </c>
      <c r="C49" s="3337" t="s">
        <v>4173</v>
      </c>
      <c r="D49" s="3337" t="s">
        <v>4174</v>
      </c>
      <c r="E49" s="3337" t="s">
        <v>4171</v>
      </c>
      <c r="F49" s="3337" t="s">
        <v>4172</v>
      </c>
      <c r="G49" s="3337" t="s">
        <v>4173</v>
      </c>
      <c r="H49" s="3337" t="s">
        <v>4174</v>
      </c>
      <c r="I49" s="3847" t="s">
        <v>4159</v>
      </c>
      <c r="J49" s="3843">
        <v>42</v>
      </c>
      <c r="K49" s="3843">
        <v>15833</v>
      </c>
    </row>
    <row r="50" spans="1:12">
      <c r="A50" s="3837" t="s">
        <v>4175</v>
      </c>
      <c r="B50" s="3281">
        <v>6</v>
      </c>
      <c r="C50" s="3281">
        <v>2</v>
      </c>
      <c r="D50" s="3281">
        <f>C50*10</f>
        <v>20</v>
      </c>
      <c r="E50" s="3837" t="s">
        <v>4176</v>
      </c>
      <c r="F50" s="3281">
        <v>12</v>
      </c>
      <c r="G50" s="3281">
        <v>3</v>
      </c>
      <c r="H50" s="3281">
        <f>G50*66.15</f>
        <v>198.45000000000002</v>
      </c>
      <c r="J50" s="3843">
        <v>43</v>
      </c>
      <c r="K50" s="3843">
        <v>41867</v>
      </c>
    </row>
    <row r="51" spans="1:12">
      <c r="A51" s="3837" t="s">
        <v>4177</v>
      </c>
      <c r="B51" s="3837" t="s">
        <v>4178</v>
      </c>
      <c r="C51" s="3281">
        <v>4</v>
      </c>
      <c r="D51" s="3281">
        <f>C51*100</f>
        <v>400</v>
      </c>
      <c r="E51" s="3837" t="s">
        <v>4176</v>
      </c>
      <c r="F51" s="3837">
        <v>8</v>
      </c>
      <c r="G51" s="3281">
        <v>3</v>
      </c>
      <c r="H51" s="3281">
        <f>G51*24.3</f>
        <v>72.900000000000006</v>
      </c>
      <c r="J51" s="3843">
        <v>44</v>
      </c>
      <c r="K51" s="3843">
        <v>14040</v>
      </c>
    </row>
    <row r="52" spans="1:12">
      <c r="A52" s="3837" t="s">
        <v>4177</v>
      </c>
      <c r="B52" s="3837" t="s">
        <v>4179</v>
      </c>
      <c r="C52" s="3281">
        <v>3</v>
      </c>
      <c r="D52" s="3281">
        <f>C52*180</f>
        <v>540</v>
      </c>
      <c r="E52" s="3837" t="s">
        <v>4180</v>
      </c>
      <c r="F52" s="3837">
        <v>6</v>
      </c>
      <c r="G52" s="3281">
        <v>5</v>
      </c>
      <c r="H52" s="3281">
        <f>G52*10.8</f>
        <v>54</v>
      </c>
      <c r="J52" s="3843">
        <v>45</v>
      </c>
      <c r="K52" s="3843">
        <v>24445</v>
      </c>
    </row>
    <row r="53" spans="1:12">
      <c r="A53" s="3837" t="s">
        <v>4181</v>
      </c>
      <c r="B53" s="3837" t="s">
        <v>4182</v>
      </c>
      <c r="C53" s="3281">
        <v>3</v>
      </c>
      <c r="D53" s="3281">
        <f>C53*210</f>
        <v>630</v>
      </c>
      <c r="E53" s="3837" t="s">
        <v>4176</v>
      </c>
      <c r="F53" s="3837">
        <v>16</v>
      </c>
      <c r="G53" s="3281">
        <v>1</v>
      </c>
      <c r="H53" s="3281">
        <f>136.35*G53</f>
        <v>136.35</v>
      </c>
      <c r="J53" s="3843">
        <v>46</v>
      </c>
      <c r="K53" s="3843">
        <v>15438</v>
      </c>
    </row>
    <row r="54" spans="1:12">
      <c r="A54" s="3837" t="s">
        <v>4183</v>
      </c>
      <c r="B54" s="3837" t="s">
        <v>4184</v>
      </c>
      <c r="C54" s="3281">
        <v>3</v>
      </c>
      <c r="D54" s="3281">
        <f>C54*70</f>
        <v>210</v>
      </c>
      <c r="E54" s="3837" t="s">
        <v>4185</v>
      </c>
      <c r="F54" s="3837">
        <v>20</v>
      </c>
      <c r="G54" s="3281">
        <v>1</v>
      </c>
      <c r="H54" s="3281">
        <f>G54*2450</f>
        <v>2450</v>
      </c>
      <c r="J54" s="3843">
        <v>9350321</v>
      </c>
      <c r="K54" s="3843">
        <f>SUM(K8:K53)</f>
        <v>7636486</v>
      </c>
      <c r="L54" s="3843">
        <f>J54-K54</f>
        <v>1713835</v>
      </c>
    </row>
    <row r="55" spans="1:12">
      <c r="A55" s="3837" t="s">
        <v>4186</v>
      </c>
      <c r="B55" s="3281">
        <v>45</v>
      </c>
      <c r="C55" s="3281">
        <v>4</v>
      </c>
      <c r="D55" s="3838">
        <f>C55*2008.44</f>
        <v>8033.76</v>
      </c>
      <c r="E55" s="3837" t="s">
        <v>4187</v>
      </c>
      <c r="F55" s="3281">
        <v>8</v>
      </c>
      <c r="G55" s="3281">
        <v>1</v>
      </c>
      <c r="H55" s="3281">
        <f>G55*420</f>
        <v>420</v>
      </c>
    </row>
    <row r="56" spans="1:12">
      <c r="A56" s="3837" t="s">
        <v>4188</v>
      </c>
      <c r="B56" s="3281">
        <v>30</v>
      </c>
      <c r="C56" s="3281">
        <v>9</v>
      </c>
      <c r="D56" s="3281">
        <f>C56*762.84</f>
        <v>6865.56</v>
      </c>
      <c r="E56" s="3837" t="s">
        <v>4189</v>
      </c>
      <c r="F56" s="3281">
        <v>15</v>
      </c>
      <c r="G56" s="3281">
        <v>4</v>
      </c>
      <c r="H56" s="3281">
        <f>G56*420</f>
        <v>1680</v>
      </c>
    </row>
    <row r="57" spans="1:12">
      <c r="A57" s="3837" t="s">
        <v>4188</v>
      </c>
      <c r="B57" s="3281">
        <v>38</v>
      </c>
      <c r="C57" s="3281">
        <v>10</v>
      </c>
      <c r="D57" s="3281">
        <f>C57*1385.64</f>
        <v>13856.400000000001</v>
      </c>
      <c r="E57" s="3837" t="s">
        <v>4190</v>
      </c>
      <c r="F57" s="3281">
        <v>4</v>
      </c>
      <c r="G57" s="3281">
        <v>20</v>
      </c>
      <c r="H57" s="3281">
        <f>G57*200</f>
        <v>4000</v>
      </c>
    </row>
    <row r="58" spans="1:12">
      <c r="A58" s="3837" t="s">
        <v>4188</v>
      </c>
      <c r="B58" s="3281">
        <v>20</v>
      </c>
      <c r="C58" s="3281">
        <v>6</v>
      </c>
      <c r="D58" s="3281">
        <f>C58*192.38</f>
        <v>1154.28</v>
      </c>
      <c r="E58" s="3837" t="s">
        <v>4191</v>
      </c>
      <c r="F58" s="3281">
        <v>25</v>
      </c>
      <c r="G58" s="3281">
        <v>3</v>
      </c>
      <c r="H58" s="3281">
        <f>G58*2450</f>
        <v>7350</v>
      </c>
    </row>
    <row r="59" spans="1:12">
      <c r="A59" s="3837" t="s">
        <v>4192</v>
      </c>
      <c r="B59" s="3281">
        <v>30</v>
      </c>
      <c r="C59" s="3281">
        <v>1</v>
      </c>
      <c r="D59" s="3281">
        <f>C59*2268</f>
        <v>2268</v>
      </c>
      <c r="E59" s="3837" t="s">
        <v>4191</v>
      </c>
      <c r="F59" s="3281">
        <v>15</v>
      </c>
      <c r="G59" s="3281">
        <v>2</v>
      </c>
      <c r="H59" s="3281">
        <f>G59*910</f>
        <v>1820</v>
      </c>
    </row>
    <row r="60" spans="1:12">
      <c r="A60" s="3837" t="s">
        <v>4193</v>
      </c>
      <c r="B60" s="3281">
        <v>8</v>
      </c>
      <c r="C60" s="3281">
        <v>10</v>
      </c>
      <c r="D60" s="3281">
        <f>13.77*C60</f>
        <v>137.69999999999999</v>
      </c>
      <c r="E60" s="3837"/>
      <c r="F60" s="3281"/>
      <c r="G60" s="3281"/>
      <c r="H60" s="3281"/>
    </row>
    <row r="61" spans="1:12">
      <c r="A61" s="3837" t="s">
        <v>4194</v>
      </c>
      <c r="B61" s="3837" t="s">
        <v>4195</v>
      </c>
      <c r="C61" s="3281">
        <f>60.5*2+8.88+14.9</f>
        <v>144.78</v>
      </c>
      <c r="D61" s="3281">
        <f>C61*6</f>
        <v>868.68000000000006</v>
      </c>
      <c r="E61" s="3839" t="s">
        <v>4196</v>
      </c>
      <c r="F61" s="3281"/>
      <c r="G61" s="3281"/>
      <c r="H61" s="3281">
        <v>53166</v>
      </c>
    </row>
    <row r="62" spans="1:12" hidden="1"/>
    <row r="63" spans="1:12">
      <c r="A63" s="3848" t="s">
        <v>4197</v>
      </c>
      <c r="H63" s="3850">
        <f>C5+F47+H61</f>
        <v>11378598</v>
      </c>
      <c r="J63" s="3850"/>
    </row>
  </sheetData>
  <mergeCells count="60">
    <mergeCell ref="A32:D32"/>
    <mergeCell ref="E32:H32"/>
    <mergeCell ref="A48:D48"/>
    <mergeCell ref="E48:H48"/>
    <mergeCell ref="B28:C28"/>
    <mergeCell ref="F28:G28"/>
    <mergeCell ref="B29:C29"/>
    <mergeCell ref="F29:G29"/>
    <mergeCell ref="B30:C30"/>
    <mergeCell ref="F30:G30"/>
    <mergeCell ref="B25:C25"/>
    <mergeCell ref="F25:G25"/>
    <mergeCell ref="B26:C26"/>
    <mergeCell ref="F26:G26"/>
    <mergeCell ref="B27:C27"/>
    <mergeCell ref="F27:G27"/>
    <mergeCell ref="B22:C22"/>
    <mergeCell ref="F22:G22"/>
    <mergeCell ref="B23:C23"/>
    <mergeCell ref="F23:G23"/>
    <mergeCell ref="B24:C24"/>
    <mergeCell ref="F24:G24"/>
    <mergeCell ref="B19:C19"/>
    <mergeCell ref="F19:G19"/>
    <mergeCell ref="B20:C20"/>
    <mergeCell ref="F20:G20"/>
    <mergeCell ref="B21:C21"/>
    <mergeCell ref="F21:G21"/>
    <mergeCell ref="B16:C16"/>
    <mergeCell ref="F16:G16"/>
    <mergeCell ref="B17:C17"/>
    <mergeCell ref="F17:G17"/>
    <mergeCell ref="B18:C18"/>
    <mergeCell ref="F18:G18"/>
    <mergeCell ref="B13:C13"/>
    <mergeCell ref="F13:G13"/>
    <mergeCell ref="B14:C14"/>
    <mergeCell ref="F14:G14"/>
    <mergeCell ref="B15:C15"/>
    <mergeCell ref="F15:G15"/>
    <mergeCell ref="B10:C10"/>
    <mergeCell ref="F10:G10"/>
    <mergeCell ref="B11:C11"/>
    <mergeCell ref="F11:G11"/>
    <mergeCell ref="B12:C12"/>
    <mergeCell ref="F12:G12"/>
    <mergeCell ref="B7:C7"/>
    <mergeCell ref="F7:G7"/>
    <mergeCell ref="B8:C8"/>
    <mergeCell ref="F8:G8"/>
    <mergeCell ref="B9:C9"/>
    <mergeCell ref="F9:G9"/>
    <mergeCell ref="A1:H1"/>
    <mergeCell ref="A2:H3"/>
    <mergeCell ref="B4:D4"/>
    <mergeCell ref="F4:H4"/>
    <mergeCell ref="A5:B6"/>
    <mergeCell ref="C5:D6"/>
    <mergeCell ref="E5:E6"/>
    <mergeCell ref="F5:H6"/>
  </mergeCells>
  <phoneticPr fontId="228"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5"/>
  <sheetViews>
    <sheetView topLeftCell="A180" workbookViewId="0">
      <selection activeCell="J192" sqref="J192"/>
    </sheetView>
  </sheetViews>
  <sheetFormatPr defaultRowHeight="13.5"/>
  <cols>
    <col min="6" max="6" width="20.125" customWidth="1"/>
  </cols>
  <sheetData>
    <row r="1" spans="1:6" ht="38.25" thickBot="1">
      <c r="A1" s="3896" t="s">
        <v>2360</v>
      </c>
      <c r="B1" s="3897" t="s">
        <v>4270</v>
      </c>
      <c r="C1" s="3897" t="s">
        <v>4271</v>
      </c>
      <c r="D1" s="3897" t="s">
        <v>4272</v>
      </c>
      <c r="E1" s="3897" t="s">
        <v>3332</v>
      </c>
      <c r="F1" s="3897" t="s">
        <v>4273</v>
      </c>
    </row>
    <row r="2" spans="1:6" ht="38.25" thickBot="1">
      <c r="A2" s="3898">
        <v>1</v>
      </c>
      <c r="B2" s="3899" t="s">
        <v>4274</v>
      </c>
      <c r="C2" s="3899" t="s">
        <v>4275</v>
      </c>
      <c r="D2" s="3900" t="s">
        <v>4276</v>
      </c>
      <c r="E2" s="3900">
        <v>1</v>
      </c>
      <c r="F2" s="3900">
        <v>0.90300000000000002</v>
      </c>
    </row>
    <row r="3" spans="1:6" ht="57" thickBot="1">
      <c r="A3" s="3898">
        <v>2</v>
      </c>
      <c r="B3" s="3899" t="s">
        <v>4277</v>
      </c>
      <c r="C3" s="3899" t="s">
        <v>4278</v>
      </c>
      <c r="D3" s="3900" t="s">
        <v>4279</v>
      </c>
      <c r="E3" s="3900">
        <v>1</v>
      </c>
      <c r="F3" s="3900">
        <v>0.78259999999999996</v>
      </c>
    </row>
    <row r="4" spans="1:6" ht="38.25" thickBot="1">
      <c r="A4" s="3898">
        <v>3</v>
      </c>
      <c r="B4" s="3899" t="s">
        <v>4280</v>
      </c>
      <c r="C4" s="3900" t="s">
        <v>4281</v>
      </c>
      <c r="D4" s="3900" t="s">
        <v>4282</v>
      </c>
      <c r="E4" s="3900">
        <v>1</v>
      </c>
      <c r="F4" s="3900">
        <v>2.1215999999999999</v>
      </c>
    </row>
    <row r="5" spans="1:6" ht="57" thickBot="1">
      <c r="A5" s="3898">
        <v>4</v>
      </c>
      <c r="B5" s="3899" t="s">
        <v>4283</v>
      </c>
      <c r="C5" s="3899" t="s">
        <v>4284</v>
      </c>
      <c r="D5" s="3900" t="s">
        <v>4285</v>
      </c>
      <c r="E5" s="3900">
        <v>1</v>
      </c>
      <c r="F5" s="3900">
        <v>4.9000000000000002E-2</v>
      </c>
    </row>
    <row r="6" spans="1:6" ht="57" thickBot="1">
      <c r="A6" s="3898">
        <v>5</v>
      </c>
      <c r="B6" s="3899" t="s">
        <v>4286</v>
      </c>
      <c r="C6" s="3899" t="s">
        <v>4287</v>
      </c>
      <c r="D6" s="3900" t="s">
        <v>4288</v>
      </c>
      <c r="E6" s="3900">
        <v>1</v>
      </c>
      <c r="F6" s="3900">
        <v>0.58799999999999997</v>
      </c>
    </row>
    <row r="7" spans="1:6" ht="38.25" thickBot="1">
      <c r="A7" s="3898">
        <v>6</v>
      </c>
      <c r="B7" s="3899" t="s">
        <v>4289</v>
      </c>
      <c r="C7" s="3899" t="s">
        <v>4290</v>
      </c>
      <c r="D7" s="3899" t="s">
        <v>4291</v>
      </c>
      <c r="E7" s="3900">
        <v>1</v>
      </c>
      <c r="F7" s="3900">
        <v>0.28320000000000001</v>
      </c>
    </row>
    <row r="8" spans="1:6" ht="75.75" thickBot="1">
      <c r="A8" s="3898">
        <v>7</v>
      </c>
      <c r="B8" s="3899" t="s">
        <v>4292</v>
      </c>
      <c r="C8" s="3899" t="s">
        <v>4293</v>
      </c>
      <c r="D8" s="3900" t="s">
        <v>4294</v>
      </c>
      <c r="E8" s="3900">
        <v>1</v>
      </c>
      <c r="F8" s="3900">
        <v>1.0791999999999999</v>
      </c>
    </row>
    <row r="9" spans="1:6" ht="75.75" thickBot="1">
      <c r="A9" s="3898">
        <v>8</v>
      </c>
      <c r="B9" s="3899" t="s">
        <v>4295</v>
      </c>
      <c r="C9" s="3899" t="s">
        <v>4296</v>
      </c>
      <c r="D9" s="3900" t="s">
        <v>4297</v>
      </c>
      <c r="E9" s="3900">
        <v>1</v>
      </c>
      <c r="F9" s="3900">
        <v>0.21290000000000001</v>
      </c>
    </row>
    <row r="10" spans="1:6" ht="75.75" thickBot="1">
      <c r="A10" s="3898">
        <v>9</v>
      </c>
      <c r="B10" s="3899" t="s">
        <v>4295</v>
      </c>
      <c r="C10" s="3899" t="s">
        <v>4296</v>
      </c>
      <c r="D10" s="3900" t="s">
        <v>4298</v>
      </c>
      <c r="E10" s="3900">
        <v>1</v>
      </c>
      <c r="F10" s="3900">
        <v>9.9000000000000005E-2</v>
      </c>
    </row>
    <row r="11" spans="1:6" ht="75.75" thickBot="1">
      <c r="A11" s="3898">
        <v>10</v>
      </c>
      <c r="B11" s="3899" t="s">
        <v>4295</v>
      </c>
      <c r="C11" s="3899" t="s">
        <v>4296</v>
      </c>
      <c r="D11" s="3900" t="s">
        <v>4299</v>
      </c>
      <c r="E11" s="3900">
        <v>1</v>
      </c>
      <c r="F11" s="3900">
        <v>0.33829999999999999</v>
      </c>
    </row>
    <row r="12" spans="1:6" ht="75.75" thickBot="1">
      <c r="A12" s="3898">
        <v>11</v>
      </c>
      <c r="B12" s="3899" t="s">
        <v>4295</v>
      </c>
      <c r="C12" s="3899" t="s">
        <v>4296</v>
      </c>
      <c r="D12" s="3900" t="s">
        <v>4300</v>
      </c>
      <c r="E12" s="3900">
        <v>1</v>
      </c>
      <c r="F12" s="3900">
        <v>1.4365000000000001</v>
      </c>
    </row>
    <row r="13" spans="1:6" ht="75.75" thickBot="1">
      <c r="A13" s="3898">
        <v>12</v>
      </c>
      <c r="B13" s="3899" t="s">
        <v>4295</v>
      </c>
      <c r="C13" s="3899" t="s">
        <v>4296</v>
      </c>
      <c r="D13" s="3900" t="s">
        <v>4300</v>
      </c>
      <c r="E13" s="3900">
        <v>2</v>
      </c>
      <c r="F13" s="3900">
        <v>10.523999999999999</v>
      </c>
    </row>
    <row r="14" spans="1:6" ht="57" thickBot="1">
      <c r="A14" s="3898">
        <v>13</v>
      </c>
      <c r="B14" s="3900" t="s">
        <v>4301</v>
      </c>
      <c r="C14" s="3899" t="s">
        <v>4302</v>
      </c>
      <c r="D14" s="3900" t="s">
        <v>4303</v>
      </c>
      <c r="E14" s="3900">
        <v>1</v>
      </c>
      <c r="F14" s="3900">
        <v>27.645</v>
      </c>
    </row>
    <row r="15" spans="1:6" ht="94.5" thickBot="1">
      <c r="A15" s="3898">
        <v>14</v>
      </c>
      <c r="B15" s="3899" t="s">
        <v>4304</v>
      </c>
      <c r="C15" s="3899" t="s">
        <v>4305</v>
      </c>
      <c r="D15" s="3900" t="s">
        <v>4306</v>
      </c>
      <c r="E15" s="3900">
        <v>1</v>
      </c>
      <c r="F15" s="3900">
        <v>6.0655999999999999</v>
      </c>
    </row>
    <row r="16" spans="1:6" ht="94.5" thickBot="1">
      <c r="A16" s="3898">
        <v>15</v>
      </c>
      <c r="B16" s="3899" t="s">
        <v>4307</v>
      </c>
      <c r="C16" s="3899" t="s">
        <v>4305</v>
      </c>
      <c r="D16" s="3900" t="s">
        <v>4306</v>
      </c>
      <c r="E16" s="3900">
        <v>1</v>
      </c>
      <c r="F16" s="3900">
        <v>5.4943999999999997</v>
      </c>
    </row>
    <row r="17" spans="1:6" ht="57" thickBot="1">
      <c r="A17" s="3898">
        <v>16</v>
      </c>
      <c r="B17" s="3899" t="s">
        <v>4308</v>
      </c>
      <c r="C17" s="3899" t="s">
        <v>4309</v>
      </c>
      <c r="D17" s="3900" t="s">
        <v>4310</v>
      </c>
      <c r="E17" s="3900">
        <v>1</v>
      </c>
      <c r="F17" s="3900">
        <v>0.14829999999999999</v>
      </c>
    </row>
    <row r="18" spans="1:6" ht="57" thickBot="1">
      <c r="A18" s="3898">
        <v>17</v>
      </c>
      <c r="B18" s="3899" t="s">
        <v>4308</v>
      </c>
      <c r="C18" s="3899" t="s">
        <v>4309</v>
      </c>
      <c r="D18" s="3900" t="s">
        <v>4310</v>
      </c>
      <c r="E18" s="3900">
        <v>1</v>
      </c>
      <c r="F18" s="3900">
        <v>0.14829999999999999</v>
      </c>
    </row>
    <row r="19" spans="1:6" ht="57" thickBot="1">
      <c r="A19" s="3898">
        <v>18</v>
      </c>
      <c r="B19" s="3899" t="s">
        <v>4311</v>
      </c>
      <c r="C19" s="3900" t="s">
        <v>4312</v>
      </c>
      <c r="D19" s="3900" t="s">
        <v>4313</v>
      </c>
      <c r="E19" s="3900">
        <v>1</v>
      </c>
      <c r="F19" s="3900">
        <v>0.1305</v>
      </c>
    </row>
    <row r="20" spans="1:6" ht="57" thickBot="1">
      <c r="A20" s="3898">
        <v>19</v>
      </c>
      <c r="B20" s="3899" t="s">
        <v>4311</v>
      </c>
      <c r="C20" s="3900" t="s">
        <v>4312</v>
      </c>
      <c r="D20" s="3900" t="s">
        <v>4313</v>
      </c>
      <c r="E20" s="3900">
        <v>1</v>
      </c>
      <c r="F20" s="3900">
        <v>0.1305</v>
      </c>
    </row>
    <row r="21" spans="1:6" ht="75.75" thickBot="1">
      <c r="A21" s="3898">
        <v>20</v>
      </c>
      <c r="B21" s="3899" t="s">
        <v>4314</v>
      </c>
      <c r="C21" s="3900" t="s">
        <v>4315</v>
      </c>
      <c r="D21" s="3900" t="s">
        <v>4316</v>
      </c>
      <c r="E21" s="3900">
        <v>1</v>
      </c>
      <c r="F21" s="3900">
        <v>0.46100000000000002</v>
      </c>
    </row>
    <row r="22" spans="1:6" ht="57" thickBot="1">
      <c r="A22" s="3898">
        <v>21</v>
      </c>
      <c r="B22" s="3899" t="s">
        <v>4317</v>
      </c>
      <c r="C22" s="3899" t="s">
        <v>4318</v>
      </c>
      <c r="D22" s="3900" t="s">
        <v>4319</v>
      </c>
      <c r="E22" s="3900">
        <v>1</v>
      </c>
      <c r="F22" s="3900">
        <v>0.67200000000000004</v>
      </c>
    </row>
    <row r="23" spans="1:6" ht="57" thickBot="1">
      <c r="A23" s="3898">
        <v>22</v>
      </c>
      <c r="B23" s="3900" t="s">
        <v>4320</v>
      </c>
      <c r="C23" s="3899" t="s">
        <v>4321</v>
      </c>
      <c r="D23" s="3900" t="s">
        <v>4322</v>
      </c>
      <c r="E23" s="3900">
        <v>1</v>
      </c>
      <c r="F23" s="3900">
        <v>1.5418000000000001</v>
      </c>
    </row>
    <row r="24" spans="1:6" ht="57" thickBot="1">
      <c r="A24" s="3898">
        <v>23</v>
      </c>
      <c r="B24" s="3900" t="s">
        <v>4320</v>
      </c>
      <c r="C24" s="3899" t="s">
        <v>4321</v>
      </c>
      <c r="D24" s="3900" t="s">
        <v>4322</v>
      </c>
      <c r="E24" s="3900">
        <v>1</v>
      </c>
      <c r="F24" s="3900">
        <v>7.8E-2</v>
      </c>
    </row>
    <row r="25" spans="1:6" ht="38.25" thickBot="1">
      <c r="A25" s="3898">
        <v>24</v>
      </c>
      <c r="B25" s="3899" t="s">
        <v>4323</v>
      </c>
      <c r="C25" s="3899" t="s">
        <v>4324</v>
      </c>
      <c r="D25" s="3900" t="s">
        <v>4281</v>
      </c>
      <c r="E25" s="3900">
        <v>1</v>
      </c>
      <c r="F25" s="3900">
        <v>7.1989999999999998</v>
      </c>
    </row>
    <row r="26" spans="1:6" ht="75.75" thickBot="1">
      <c r="A26" s="3898">
        <v>25</v>
      </c>
      <c r="B26" s="3899" t="s">
        <v>4317</v>
      </c>
      <c r="C26" s="3899" t="s">
        <v>4325</v>
      </c>
      <c r="D26" s="3900" t="s">
        <v>4326</v>
      </c>
      <c r="E26" s="3900">
        <v>1</v>
      </c>
      <c r="F26" s="3900">
        <v>0.33500000000000002</v>
      </c>
    </row>
    <row r="27" spans="1:6" ht="38.25" thickBot="1">
      <c r="A27" s="3898">
        <v>26</v>
      </c>
      <c r="B27" s="3899" t="s">
        <v>4327</v>
      </c>
      <c r="C27" s="3899" t="s">
        <v>4328</v>
      </c>
      <c r="D27" s="3900" t="s">
        <v>4281</v>
      </c>
      <c r="E27" s="3900">
        <v>1</v>
      </c>
      <c r="F27" s="3900">
        <v>58.275599999999997</v>
      </c>
    </row>
    <row r="28" spans="1:6" ht="75.75" thickBot="1">
      <c r="A28" s="3898">
        <v>27</v>
      </c>
      <c r="B28" s="3899" t="s">
        <v>4329</v>
      </c>
      <c r="C28" s="3899" t="s">
        <v>4330</v>
      </c>
      <c r="D28" s="3900" t="s">
        <v>4331</v>
      </c>
      <c r="E28" s="3900">
        <v>1</v>
      </c>
      <c r="F28" s="3900">
        <v>3.3936999999999999</v>
      </c>
    </row>
    <row r="29" spans="1:6" ht="57" thickBot="1">
      <c r="A29" s="3898">
        <v>28</v>
      </c>
      <c r="B29" s="3899" t="s">
        <v>4332</v>
      </c>
      <c r="C29" s="3899" t="s">
        <v>4333</v>
      </c>
      <c r="D29" s="3900" t="s">
        <v>4334</v>
      </c>
      <c r="E29" s="3900">
        <v>1</v>
      </c>
      <c r="F29" s="3900">
        <v>3.0800000000000001E-2</v>
      </c>
    </row>
    <row r="30" spans="1:6" ht="57" thickBot="1">
      <c r="A30" s="3898">
        <v>29</v>
      </c>
      <c r="B30" s="3899" t="s">
        <v>4332</v>
      </c>
      <c r="C30" s="3899" t="s">
        <v>4333</v>
      </c>
      <c r="D30" s="3900" t="s">
        <v>4334</v>
      </c>
      <c r="E30" s="3900">
        <v>1</v>
      </c>
      <c r="F30" s="3900">
        <v>3.0800000000000001E-2</v>
      </c>
    </row>
    <row r="31" spans="1:6" ht="57" thickBot="1">
      <c r="A31" s="3898">
        <v>30</v>
      </c>
      <c r="B31" s="3899" t="s">
        <v>4332</v>
      </c>
      <c r="C31" s="3899" t="s">
        <v>4333</v>
      </c>
      <c r="D31" s="3900" t="s">
        <v>4334</v>
      </c>
      <c r="E31" s="3900">
        <v>1</v>
      </c>
      <c r="F31" s="3900">
        <v>3.0800000000000001E-2</v>
      </c>
    </row>
    <row r="32" spans="1:6" ht="57" thickBot="1">
      <c r="A32" s="3898">
        <v>31</v>
      </c>
      <c r="B32" s="3899" t="s">
        <v>4332</v>
      </c>
      <c r="C32" s="3899" t="s">
        <v>4333</v>
      </c>
      <c r="D32" s="3900" t="s">
        <v>4334</v>
      </c>
      <c r="E32" s="3900">
        <v>1</v>
      </c>
      <c r="F32" s="3900">
        <v>3.0800000000000001E-2</v>
      </c>
    </row>
    <row r="33" spans="1:6" ht="57" thickBot="1">
      <c r="A33" s="3898">
        <v>32</v>
      </c>
      <c r="B33" s="3899" t="s">
        <v>4332</v>
      </c>
      <c r="C33" s="3899" t="s">
        <v>4333</v>
      </c>
      <c r="D33" s="3900" t="s">
        <v>4334</v>
      </c>
      <c r="E33" s="3900">
        <v>1</v>
      </c>
      <c r="F33" s="3900">
        <v>3.0800000000000001E-2</v>
      </c>
    </row>
    <row r="34" spans="1:6" ht="38.25" thickBot="1">
      <c r="A34" s="3898">
        <v>33</v>
      </c>
      <c r="B34" s="3899" t="s">
        <v>4335</v>
      </c>
      <c r="C34" s="3900" t="s">
        <v>4281</v>
      </c>
      <c r="D34" s="3900" t="s">
        <v>4336</v>
      </c>
      <c r="E34" s="3900">
        <v>1</v>
      </c>
      <c r="F34" s="3900">
        <v>0.52500000000000002</v>
      </c>
    </row>
    <row r="35" spans="1:6" ht="75.75" thickBot="1">
      <c r="A35" s="3898">
        <v>34</v>
      </c>
      <c r="B35" s="3899" t="s">
        <v>4337</v>
      </c>
      <c r="C35" s="3899" t="s">
        <v>4296</v>
      </c>
      <c r="D35" s="3900" t="s">
        <v>4338</v>
      </c>
      <c r="E35" s="3900">
        <v>1</v>
      </c>
      <c r="F35" s="3900">
        <v>0.14000000000000001</v>
      </c>
    </row>
    <row r="36" spans="1:6" ht="75.75" thickBot="1">
      <c r="A36" s="3898">
        <v>35</v>
      </c>
      <c r="B36" s="3899" t="s">
        <v>4337</v>
      </c>
      <c r="C36" s="3899" t="s">
        <v>4296</v>
      </c>
      <c r="D36" s="3900" t="s">
        <v>4338</v>
      </c>
      <c r="E36" s="3900">
        <v>1</v>
      </c>
      <c r="F36" s="3900">
        <v>0.66800000000000004</v>
      </c>
    </row>
    <row r="37" spans="1:6" ht="75.75" thickBot="1">
      <c r="A37" s="3898">
        <v>36</v>
      </c>
      <c r="B37" s="3899" t="s">
        <v>4337</v>
      </c>
      <c r="C37" s="3899" t="s">
        <v>4296</v>
      </c>
      <c r="D37" s="3900" t="s">
        <v>4338</v>
      </c>
      <c r="E37" s="3900">
        <v>2</v>
      </c>
      <c r="F37" s="3900">
        <v>1.3480000000000001</v>
      </c>
    </row>
    <row r="38" spans="1:6" ht="38.25" thickBot="1">
      <c r="A38" s="3898">
        <v>37</v>
      </c>
      <c r="B38" s="3899" t="s">
        <v>4339</v>
      </c>
      <c r="C38" s="3899" t="s">
        <v>4340</v>
      </c>
      <c r="D38" s="3900" t="s">
        <v>4341</v>
      </c>
      <c r="E38" s="3900">
        <v>1</v>
      </c>
      <c r="F38" s="3900">
        <v>26.398700000000002</v>
      </c>
    </row>
    <row r="39" spans="1:6" ht="94.5" thickBot="1">
      <c r="A39" s="3898">
        <v>38</v>
      </c>
      <c r="B39" s="3899" t="s">
        <v>4342</v>
      </c>
      <c r="C39" s="3899" t="s">
        <v>4343</v>
      </c>
      <c r="D39" s="3900" t="s">
        <v>4281</v>
      </c>
      <c r="E39" s="3900">
        <v>1</v>
      </c>
      <c r="F39" s="3900">
        <v>11.629799999999999</v>
      </c>
    </row>
    <row r="40" spans="1:6" ht="38.25" thickBot="1">
      <c r="A40" s="3898">
        <v>39</v>
      </c>
      <c r="B40" s="3899" t="s">
        <v>4344</v>
      </c>
      <c r="C40" s="3899" t="s">
        <v>4290</v>
      </c>
      <c r="D40" s="3899" t="s">
        <v>4291</v>
      </c>
      <c r="E40" s="3900">
        <v>1</v>
      </c>
      <c r="F40" s="3900">
        <v>2.4641000000000002</v>
      </c>
    </row>
    <row r="41" spans="1:6" ht="57" thickBot="1">
      <c r="A41" s="3898">
        <v>40</v>
      </c>
      <c r="B41" s="3899" t="s">
        <v>4345</v>
      </c>
      <c r="C41" s="3899" t="s">
        <v>4346</v>
      </c>
      <c r="D41" s="3900" t="s">
        <v>4347</v>
      </c>
      <c r="E41" s="3900">
        <v>1</v>
      </c>
      <c r="F41" s="3900">
        <v>13.9482</v>
      </c>
    </row>
    <row r="42" spans="1:6" ht="57" thickBot="1">
      <c r="A42" s="3898">
        <v>41</v>
      </c>
      <c r="B42" s="3899" t="s">
        <v>4348</v>
      </c>
      <c r="C42" s="3899" t="s">
        <v>4349</v>
      </c>
      <c r="D42" s="3900" t="s">
        <v>4350</v>
      </c>
      <c r="E42" s="3900">
        <v>1</v>
      </c>
      <c r="F42" s="3900">
        <v>17.901700000000002</v>
      </c>
    </row>
    <row r="43" spans="1:6" ht="57" thickBot="1">
      <c r="A43" s="3898">
        <v>42</v>
      </c>
      <c r="B43" s="3899" t="s">
        <v>4348</v>
      </c>
      <c r="C43" s="3899" t="s">
        <v>4349</v>
      </c>
      <c r="D43" s="3900" t="s">
        <v>4350</v>
      </c>
      <c r="E43" s="3900">
        <v>1</v>
      </c>
      <c r="F43" s="3900">
        <v>24.1676</v>
      </c>
    </row>
    <row r="44" spans="1:6" ht="57" thickBot="1">
      <c r="A44" s="3898">
        <v>43</v>
      </c>
      <c r="B44" s="3899" t="s">
        <v>4351</v>
      </c>
      <c r="C44" s="3899" t="s">
        <v>4349</v>
      </c>
      <c r="D44" s="3900" t="s">
        <v>4352</v>
      </c>
      <c r="E44" s="3900">
        <v>1</v>
      </c>
      <c r="F44" s="3900">
        <v>1.248</v>
      </c>
    </row>
    <row r="45" spans="1:6" ht="75.75" thickBot="1">
      <c r="A45" s="3898">
        <v>44</v>
      </c>
      <c r="B45" s="3899" t="s">
        <v>4353</v>
      </c>
      <c r="C45" s="3899" t="s">
        <v>4354</v>
      </c>
      <c r="D45" s="3900" t="s">
        <v>4355</v>
      </c>
      <c r="E45" s="3900">
        <v>1</v>
      </c>
      <c r="F45" s="3900">
        <v>0.33</v>
      </c>
    </row>
    <row r="46" spans="1:6" ht="57" thickBot="1">
      <c r="A46" s="3898">
        <v>45</v>
      </c>
      <c r="B46" s="3899" t="s">
        <v>4356</v>
      </c>
      <c r="C46" s="3899" t="s">
        <v>4349</v>
      </c>
      <c r="D46" s="3900" t="s">
        <v>4357</v>
      </c>
      <c r="E46" s="3900">
        <v>1</v>
      </c>
      <c r="F46" s="3900">
        <v>1.5333000000000001</v>
      </c>
    </row>
    <row r="47" spans="1:6" ht="38.25" thickBot="1">
      <c r="A47" s="3898">
        <v>46</v>
      </c>
      <c r="B47" s="3899" t="s">
        <v>4358</v>
      </c>
      <c r="C47" s="3899" t="s">
        <v>4290</v>
      </c>
      <c r="D47" s="3899" t="s">
        <v>4291</v>
      </c>
      <c r="E47" s="3900">
        <v>1</v>
      </c>
      <c r="F47" s="3900">
        <v>5.8200000000000002E-2</v>
      </c>
    </row>
    <row r="48" spans="1:6" ht="38.25" thickBot="1">
      <c r="A48" s="3898">
        <v>47</v>
      </c>
      <c r="B48" s="3899" t="s">
        <v>4359</v>
      </c>
      <c r="C48" s="3899" t="s">
        <v>4360</v>
      </c>
      <c r="D48" s="3900" t="s">
        <v>4361</v>
      </c>
      <c r="E48" s="3900">
        <v>1</v>
      </c>
      <c r="F48" s="3900">
        <v>0.17499999999999999</v>
      </c>
    </row>
    <row r="49" spans="1:6" ht="38.25" thickBot="1">
      <c r="A49" s="3898">
        <v>48</v>
      </c>
      <c r="B49" s="3899" t="s">
        <v>4359</v>
      </c>
      <c r="C49" s="3899" t="s">
        <v>4360</v>
      </c>
      <c r="D49" s="3900" t="s">
        <v>4361</v>
      </c>
      <c r="E49" s="3900">
        <v>1</v>
      </c>
      <c r="F49" s="3900">
        <v>0.17499999999999999</v>
      </c>
    </row>
    <row r="50" spans="1:6" ht="38.25" thickBot="1">
      <c r="A50" s="3898">
        <v>49</v>
      </c>
      <c r="B50" s="3899" t="s">
        <v>4362</v>
      </c>
      <c r="C50" s="3899" t="s">
        <v>4290</v>
      </c>
      <c r="D50" s="3899" t="s">
        <v>4291</v>
      </c>
      <c r="E50" s="3900">
        <v>1</v>
      </c>
      <c r="F50" s="3900">
        <v>0.27060000000000001</v>
      </c>
    </row>
    <row r="51" spans="1:6" ht="38.25" thickBot="1">
      <c r="A51" s="3898">
        <v>50</v>
      </c>
      <c r="B51" s="3899" t="s">
        <v>4363</v>
      </c>
      <c r="C51" s="3899" t="s">
        <v>4290</v>
      </c>
      <c r="D51" s="3899" t="s">
        <v>4291</v>
      </c>
      <c r="E51" s="3900">
        <v>1</v>
      </c>
      <c r="F51" s="3900">
        <v>0.78400000000000003</v>
      </c>
    </row>
    <row r="52" spans="1:6" ht="38.25" thickBot="1">
      <c r="A52" s="3898">
        <v>51</v>
      </c>
      <c r="B52" s="3899" t="s">
        <v>4364</v>
      </c>
      <c r="C52" s="3899" t="s">
        <v>4290</v>
      </c>
      <c r="D52" s="3899" t="s">
        <v>4291</v>
      </c>
      <c r="E52" s="3900">
        <v>2</v>
      </c>
      <c r="F52" s="3900">
        <v>0.44800000000000001</v>
      </c>
    </row>
    <row r="53" spans="1:6" ht="38.25" thickBot="1">
      <c r="A53" s="3898">
        <v>52</v>
      </c>
      <c r="B53" s="3899" t="s">
        <v>4365</v>
      </c>
      <c r="C53" s="3899" t="s">
        <v>4290</v>
      </c>
      <c r="D53" s="3899" t="s">
        <v>4291</v>
      </c>
      <c r="E53" s="3900">
        <v>1</v>
      </c>
      <c r="F53" s="3900">
        <v>0.3836</v>
      </c>
    </row>
    <row r="54" spans="1:6" ht="38.25" thickBot="1">
      <c r="A54" s="3898">
        <v>53</v>
      </c>
      <c r="B54" s="3899" t="s">
        <v>4365</v>
      </c>
      <c r="C54" s="3899" t="s">
        <v>4290</v>
      </c>
      <c r="D54" s="3899" t="s">
        <v>4291</v>
      </c>
      <c r="E54" s="3900">
        <v>1</v>
      </c>
      <c r="F54" s="3900">
        <v>0.3836</v>
      </c>
    </row>
    <row r="55" spans="1:6" ht="38.25" thickBot="1">
      <c r="A55" s="3898">
        <v>54</v>
      </c>
      <c r="B55" s="3899" t="s">
        <v>4366</v>
      </c>
      <c r="C55" s="3899" t="s">
        <v>4290</v>
      </c>
      <c r="D55" s="3899" t="s">
        <v>4291</v>
      </c>
      <c r="E55" s="3900">
        <v>1</v>
      </c>
      <c r="F55" s="3900">
        <v>0.252</v>
      </c>
    </row>
    <row r="56" spans="1:6" ht="54.75" thickBot="1">
      <c r="A56" s="3898">
        <v>55</v>
      </c>
      <c r="B56" s="3899" t="s">
        <v>4367</v>
      </c>
      <c r="C56" s="3899" t="s">
        <v>4340</v>
      </c>
      <c r="D56" s="3901" t="s">
        <v>4368</v>
      </c>
      <c r="E56" s="3900">
        <v>1</v>
      </c>
      <c r="F56" s="3900">
        <v>6.1371000000000002</v>
      </c>
    </row>
    <row r="57" spans="1:6" ht="38.25" thickBot="1">
      <c r="A57" s="3898">
        <v>56</v>
      </c>
      <c r="B57" s="3899" t="s">
        <v>4369</v>
      </c>
      <c r="C57" s="3899" t="s">
        <v>4370</v>
      </c>
      <c r="D57" s="3900" t="s">
        <v>4281</v>
      </c>
      <c r="E57" s="3900">
        <v>1</v>
      </c>
      <c r="F57" s="3900">
        <v>3.4542000000000002</v>
      </c>
    </row>
    <row r="58" spans="1:6" ht="38.25" thickBot="1">
      <c r="A58" s="3898">
        <v>57</v>
      </c>
      <c r="B58" s="3899" t="s">
        <v>4371</v>
      </c>
      <c r="C58" s="3899" t="s">
        <v>4372</v>
      </c>
      <c r="D58" s="3900" t="s">
        <v>4281</v>
      </c>
      <c r="E58" s="3900">
        <v>1</v>
      </c>
      <c r="F58" s="3900">
        <v>3.91</v>
      </c>
    </row>
    <row r="59" spans="1:6" ht="38.25" thickBot="1">
      <c r="A59" s="3898">
        <v>58</v>
      </c>
      <c r="B59" s="3899" t="s">
        <v>4373</v>
      </c>
      <c r="C59" s="3899" t="s">
        <v>4328</v>
      </c>
      <c r="D59" s="3900" t="s">
        <v>4374</v>
      </c>
      <c r="E59" s="3900">
        <v>1</v>
      </c>
      <c r="F59" s="3900">
        <v>0.24829999999999999</v>
      </c>
    </row>
    <row r="60" spans="1:6" ht="94.5" thickBot="1">
      <c r="A60" s="3898">
        <v>59</v>
      </c>
      <c r="B60" s="3899" t="s">
        <v>4375</v>
      </c>
      <c r="C60" s="3899" t="s">
        <v>4376</v>
      </c>
      <c r="D60" s="3900" t="s">
        <v>4377</v>
      </c>
      <c r="E60" s="3900">
        <v>1</v>
      </c>
      <c r="F60" s="3900">
        <v>0.43890000000000001</v>
      </c>
    </row>
    <row r="61" spans="1:6" ht="57" thickBot="1">
      <c r="A61" s="3898">
        <v>60</v>
      </c>
      <c r="B61" s="3899" t="s">
        <v>4378</v>
      </c>
      <c r="C61" s="3899" t="s">
        <v>4379</v>
      </c>
      <c r="D61" s="3900" t="s">
        <v>4380</v>
      </c>
      <c r="E61" s="3900">
        <v>1</v>
      </c>
      <c r="F61" s="3900">
        <v>0.29820000000000002</v>
      </c>
    </row>
    <row r="62" spans="1:6" ht="38.25" thickBot="1">
      <c r="A62" s="3898">
        <v>61</v>
      </c>
      <c r="B62" s="3899" t="s">
        <v>4381</v>
      </c>
      <c r="C62" s="3899" t="s">
        <v>4382</v>
      </c>
      <c r="D62" s="3900" t="s">
        <v>4281</v>
      </c>
      <c r="E62" s="3900">
        <v>1</v>
      </c>
      <c r="F62" s="3900">
        <v>3.7176</v>
      </c>
    </row>
    <row r="63" spans="1:6" ht="75.75" thickBot="1">
      <c r="A63" s="3898">
        <v>62</v>
      </c>
      <c r="B63" s="3899" t="s">
        <v>4383</v>
      </c>
      <c r="C63" s="3899" t="s">
        <v>4384</v>
      </c>
      <c r="D63" s="3900" t="s">
        <v>4385</v>
      </c>
      <c r="E63" s="3900">
        <v>1</v>
      </c>
      <c r="F63" s="3900">
        <v>8.7800000000000003E-2</v>
      </c>
    </row>
    <row r="64" spans="1:6" ht="75.75" thickBot="1">
      <c r="A64" s="3898">
        <v>63</v>
      </c>
      <c r="B64" s="3899" t="s">
        <v>4386</v>
      </c>
      <c r="C64" s="3899" t="s">
        <v>4384</v>
      </c>
      <c r="D64" s="3900" t="s">
        <v>4385</v>
      </c>
      <c r="E64" s="3900">
        <v>1</v>
      </c>
      <c r="F64" s="3900">
        <v>0.9456</v>
      </c>
    </row>
    <row r="65" spans="1:6" ht="38.25" thickBot="1">
      <c r="A65" s="3898">
        <v>64</v>
      </c>
      <c r="B65" s="3899" t="s">
        <v>4387</v>
      </c>
      <c r="C65" s="3899" t="s">
        <v>4290</v>
      </c>
      <c r="D65" s="3899" t="s">
        <v>4291</v>
      </c>
      <c r="E65" s="3900">
        <v>2</v>
      </c>
      <c r="F65" s="3900">
        <v>2.0139999999999998</v>
      </c>
    </row>
    <row r="66" spans="1:6" ht="38.25" thickBot="1">
      <c r="A66" s="3898">
        <v>65</v>
      </c>
      <c r="B66" s="3899" t="s">
        <v>4388</v>
      </c>
      <c r="C66" s="3899" t="s">
        <v>4290</v>
      </c>
      <c r="D66" s="3899" t="s">
        <v>4291</v>
      </c>
      <c r="E66" s="3900">
        <v>1</v>
      </c>
      <c r="F66" s="3900">
        <v>0.1263</v>
      </c>
    </row>
    <row r="67" spans="1:6" ht="38.25" thickBot="1">
      <c r="A67" s="3898">
        <v>66</v>
      </c>
      <c r="B67" s="3899" t="s">
        <v>4388</v>
      </c>
      <c r="C67" s="3899" t="s">
        <v>4290</v>
      </c>
      <c r="D67" s="3899" t="s">
        <v>4291</v>
      </c>
      <c r="E67" s="3900">
        <v>1</v>
      </c>
      <c r="F67" s="3900">
        <v>0.1263</v>
      </c>
    </row>
    <row r="68" spans="1:6" ht="38.25" thickBot="1">
      <c r="A68" s="3898">
        <v>67</v>
      </c>
      <c r="B68" s="3899" t="s">
        <v>4388</v>
      </c>
      <c r="C68" s="3899" t="s">
        <v>4290</v>
      </c>
      <c r="D68" s="3899" t="s">
        <v>4291</v>
      </c>
      <c r="E68" s="3900">
        <v>2</v>
      </c>
      <c r="F68" s="3900">
        <v>0.3024</v>
      </c>
    </row>
    <row r="69" spans="1:6" ht="38.25" thickBot="1">
      <c r="A69" s="3898">
        <v>68</v>
      </c>
      <c r="B69" s="3899" t="s">
        <v>4389</v>
      </c>
      <c r="C69" s="3899" t="s">
        <v>4290</v>
      </c>
      <c r="D69" s="3899" t="s">
        <v>4291</v>
      </c>
      <c r="E69" s="3900">
        <v>1</v>
      </c>
      <c r="F69" s="3900">
        <v>9.6153999999999993</v>
      </c>
    </row>
    <row r="70" spans="1:6" ht="38.25" thickBot="1">
      <c r="A70" s="3898">
        <v>69</v>
      </c>
      <c r="B70" s="3899" t="s">
        <v>4390</v>
      </c>
      <c r="C70" s="3899" t="s">
        <v>4290</v>
      </c>
      <c r="D70" s="3899" t="s">
        <v>4291</v>
      </c>
      <c r="E70" s="3900">
        <v>1</v>
      </c>
      <c r="F70" s="3900">
        <v>0.94640000000000002</v>
      </c>
    </row>
    <row r="71" spans="1:6" ht="57" thickBot="1">
      <c r="A71" s="3898">
        <v>70</v>
      </c>
      <c r="B71" s="3899" t="s">
        <v>4391</v>
      </c>
      <c r="C71" s="3899" t="s">
        <v>4290</v>
      </c>
      <c r="D71" s="3899" t="s">
        <v>4291</v>
      </c>
      <c r="E71" s="3900">
        <v>1</v>
      </c>
      <c r="F71" s="3900">
        <v>1.4735</v>
      </c>
    </row>
    <row r="72" spans="1:6" ht="57" thickBot="1">
      <c r="A72" s="3898">
        <v>71</v>
      </c>
      <c r="B72" s="3899" t="s">
        <v>4392</v>
      </c>
      <c r="C72" s="3899" t="s">
        <v>4290</v>
      </c>
      <c r="D72" s="3899" t="s">
        <v>4291</v>
      </c>
      <c r="E72" s="3900">
        <v>1</v>
      </c>
      <c r="F72" s="3900">
        <v>1.7637</v>
      </c>
    </row>
    <row r="73" spans="1:6" ht="75.75" thickBot="1">
      <c r="A73" s="3898">
        <v>72</v>
      </c>
      <c r="B73" s="3899" t="s">
        <v>4393</v>
      </c>
      <c r="C73" s="3899" t="s">
        <v>4290</v>
      </c>
      <c r="D73" s="3899" t="s">
        <v>4291</v>
      </c>
      <c r="E73" s="3900">
        <v>2</v>
      </c>
      <c r="F73" s="3900">
        <v>2.3047</v>
      </c>
    </row>
    <row r="74" spans="1:6" ht="38.25" thickBot="1">
      <c r="A74" s="3898">
        <v>73</v>
      </c>
      <c r="B74" s="3899" t="s">
        <v>4389</v>
      </c>
      <c r="C74" s="3899" t="s">
        <v>4290</v>
      </c>
      <c r="D74" s="3899" t="s">
        <v>4291</v>
      </c>
      <c r="E74" s="3900">
        <v>1</v>
      </c>
      <c r="F74" s="3900">
        <v>9.6153999999999993</v>
      </c>
    </row>
    <row r="75" spans="1:6" ht="57" thickBot="1">
      <c r="A75" s="3898">
        <v>74</v>
      </c>
      <c r="B75" s="3899" t="s">
        <v>4394</v>
      </c>
      <c r="C75" s="3899" t="s">
        <v>4290</v>
      </c>
      <c r="D75" s="3899" t="s">
        <v>4291</v>
      </c>
      <c r="E75" s="3900">
        <v>1</v>
      </c>
      <c r="F75" s="3900">
        <v>1.4735</v>
      </c>
    </row>
    <row r="76" spans="1:6" ht="75.75" thickBot="1">
      <c r="A76" s="3898">
        <v>75</v>
      </c>
      <c r="B76" s="3899" t="s">
        <v>4395</v>
      </c>
      <c r="C76" s="3899" t="s">
        <v>4290</v>
      </c>
      <c r="D76" s="3899" t="s">
        <v>4291</v>
      </c>
      <c r="E76" s="3900">
        <v>1</v>
      </c>
      <c r="F76" s="3900">
        <v>1.1523000000000001</v>
      </c>
    </row>
    <row r="77" spans="1:6" ht="75.75" thickBot="1">
      <c r="A77" s="3898">
        <v>76</v>
      </c>
      <c r="B77" s="3899" t="s">
        <v>4396</v>
      </c>
      <c r="C77" s="3899" t="s">
        <v>4290</v>
      </c>
      <c r="D77" s="3899" t="s">
        <v>4291</v>
      </c>
      <c r="E77" s="3900">
        <v>1</v>
      </c>
      <c r="F77" s="3900">
        <v>1.4735</v>
      </c>
    </row>
    <row r="78" spans="1:6" ht="38.25" thickBot="1">
      <c r="A78" s="3898">
        <v>77</v>
      </c>
      <c r="B78" s="3899" t="s">
        <v>4397</v>
      </c>
      <c r="C78" s="3899" t="s">
        <v>4290</v>
      </c>
      <c r="D78" s="3899" t="s">
        <v>4291</v>
      </c>
      <c r="E78" s="3900">
        <v>1</v>
      </c>
      <c r="F78" s="3900">
        <v>1.1185</v>
      </c>
    </row>
    <row r="79" spans="1:6" ht="38.25" thickBot="1">
      <c r="A79" s="3898">
        <v>78</v>
      </c>
      <c r="B79" s="3899" t="s">
        <v>4398</v>
      </c>
      <c r="C79" s="3899" t="s">
        <v>4290</v>
      </c>
      <c r="D79" s="3899" t="s">
        <v>4291</v>
      </c>
      <c r="E79" s="3900">
        <v>1</v>
      </c>
      <c r="F79" s="3900">
        <v>1.1950000000000001</v>
      </c>
    </row>
    <row r="80" spans="1:6" ht="38.25" thickBot="1">
      <c r="A80" s="3898">
        <v>79</v>
      </c>
      <c r="B80" s="3899" t="s">
        <v>4399</v>
      </c>
      <c r="C80" s="3899" t="s">
        <v>4290</v>
      </c>
      <c r="D80" s="3899" t="s">
        <v>4291</v>
      </c>
      <c r="E80" s="3900">
        <v>2</v>
      </c>
      <c r="F80" s="3900">
        <v>3.073</v>
      </c>
    </row>
    <row r="81" spans="1:6" ht="57" thickBot="1">
      <c r="A81" s="3898">
        <v>80</v>
      </c>
      <c r="B81" s="3899" t="s">
        <v>4400</v>
      </c>
      <c r="C81" s="3899" t="s">
        <v>4290</v>
      </c>
      <c r="D81" s="3899" t="s">
        <v>4291</v>
      </c>
      <c r="E81" s="3900">
        <v>1</v>
      </c>
      <c r="F81" s="3900">
        <v>0.76819999999999999</v>
      </c>
    </row>
    <row r="82" spans="1:6" ht="57" thickBot="1">
      <c r="A82" s="3898">
        <v>81</v>
      </c>
      <c r="B82" s="3899" t="s">
        <v>4401</v>
      </c>
      <c r="C82" s="3899" t="s">
        <v>4290</v>
      </c>
      <c r="D82" s="3899" t="s">
        <v>4291</v>
      </c>
      <c r="E82" s="3900">
        <v>1</v>
      </c>
      <c r="F82" s="3900">
        <v>1.4735</v>
      </c>
    </row>
    <row r="83" spans="1:6" ht="75.75" thickBot="1">
      <c r="A83" s="3898">
        <v>82</v>
      </c>
      <c r="B83" s="3899" t="s">
        <v>4402</v>
      </c>
      <c r="C83" s="3899" t="s">
        <v>4290</v>
      </c>
      <c r="D83" s="3899" t="s">
        <v>4291</v>
      </c>
      <c r="E83" s="3900">
        <v>1</v>
      </c>
      <c r="F83" s="3900">
        <v>0.86729999999999996</v>
      </c>
    </row>
    <row r="84" spans="1:6" ht="75.75" thickBot="1">
      <c r="A84" s="3898">
        <v>83</v>
      </c>
      <c r="B84" s="3899" t="s">
        <v>4403</v>
      </c>
      <c r="C84" s="3899" t="s">
        <v>4290</v>
      </c>
      <c r="D84" s="3899" t="s">
        <v>4291</v>
      </c>
      <c r="E84" s="3900">
        <v>2</v>
      </c>
      <c r="F84" s="3900">
        <v>1.7345999999999999</v>
      </c>
    </row>
    <row r="85" spans="1:6" ht="38.25" thickBot="1">
      <c r="A85" s="3898">
        <v>84</v>
      </c>
      <c r="B85" s="3899" t="s">
        <v>4404</v>
      </c>
      <c r="C85" s="3899" t="s">
        <v>4290</v>
      </c>
      <c r="D85" s="3899" t="s">
        <v>4291</v>
      </c>
      <c r="E85" s="3900">
        <v>1</v>
      </c>
      <c r="F85" s="3900">
        <v>1.5365</v>
      </c>
    </row>
    <row r="86" spans="1:6" ht="38.25" thickBot="1">
      <c r="A86" s="3898">
        <v>85</v>
      </c>
      <c r="B86" s="3899" t="s">
        <v>4405</v>
      </c>
      <c r="C86" s="3899" t="s">
        <v>4290</v>
      </c>
      <c r="D86" s="3899" t="s">
        <v>4291</v>
      </c>
      <c r="E86" s="3900">
        <v>1</v>
      </c>
      <c r="F86" s="3900">
        <v>4.1398000000000001</v>
      </c>
    </row>
    <row r="87" spans="1:6" ht="38.25" thickBot="1">
      <c r="A87" s="3898">
        <v>86</v>
      </c>
      <c r="B87" s="3899" t="s">
        <v>4405</v>
      </c>
      <c r="C87" s="3899" t="s">
        <v>4290</v>
      </c>
      <c r="D87" s="3899" t="s">
        <v>4291</v>
      </c>
      <c r="E87" s="3900">
        <v>1</v>
      </c>
      <c r="F87" s="3900">
        <v>4.1398000000000001</v>
      </c>
    </row>
    <row r="88" spans="1:6" ht="75.75" thickBot="1">
      <c r="A88" s="3898">
        <v>87</v>
      </c>
      <c r="B88" s="3899" t="s">
        <v>4406</v>
      </c>
      <c r="C88" s="3899" t="s">
        <v>4407</v>
      </c>
      <c r="D88" s="3900" t="s">
        <v>4408</v>
      </c>
      <c r="E88" s="3900">
        <v>1</v>
      </c>
      <c r="F88" s="3900">
        <v>6.2300000000000001E-2</v>
      </c>
    </row>
    <row r="89" spans="1:6" ht="75.75" thickBot="1">
      <c r="A89" s="3898">
        <v>88</v>
      </c>
      <c r="B89" s="3899" t="s">
        <v>4409</v>
      </c>
      <c r="C89" s="3899" t="s">
        <v>4407</v>
      </c>
      <c r="D89" s="3900" t="s">
        <v>4408</v>
      </c>
      <c r="E89" s="3900">
        <v>1</v>
      </c>
      <c r="F89" s="3900">
        <v>6.4100000000000004E-2</v>
      </c>
    </row>
    <row r="90" spans="1:6" ht="57" thickBot="1">
      <c r="A90" s="3898">
        <v>89</v>
      </c>
      <c r="B90" s="3899" t="s">
        <v>4410</v>
      </c>
      <c r="C90" s="3899" t="s">
        <v>4411</v>
      </c>
      <c r="D90" s="3900" t="s">
        <v>4412</v>
      </c>
      <c r="E90" s="3900">
        <v>1</v>
      </c>
      <c r="F90" s="3900">
        <v>2.7147000000000001</v>
      </c>
    </row>
    <row r="91" spans="1:6" ht="94.5" thickBot="1">
      <c r="A91" s="3898">
        <v>90</v>
      </c>
      <c r="B91" s="3899" t="s">
        <v>4413</v>
      </c>
      <c r="C91" s="3899" t="s">
        <v>4414</v>
      </c>
      <c r="D91" s="3900" t="s">
        <v>4415</v>
      </c>
      <c r="E91" s="3900">
        <v>1</v>
      </c>
      <c r="F91" s="3900">
        <v>0.5736</v>
      </c>
    </row>
    <row r="92" spans="1:6" ht="57" thickBot="1">
      <c r="A92" s="3898">
        <v>91</v>
      </c>
      <c r="B92" s="3899" t="s">
        <v>4416</v>
      </c>
      <c r="C92" s="3899" t="s">
        <v>4417</v>
      </c>
      <c r="D92" s="3900" t="s">
        <v>4418</v>
      </c>
      <c r="E92" s="3900">
        <v>1</v>
      </c>
      <c r="F92" s="3900">
        <v>0.85450000000000004</v>
      </c>
    </row>
    <row r="93" spans="1:6" ht="94.5" thickBot="1">
      <c r="A93" s="3898">
        <v>92</v>
      </c>
      <c r="B93" s="3899" t="s">
        <v>4419</v>
      </c>
      <c r="C93" s="3899" t="s">
        <v>4414</v>
      </c>
      <c r="D93" s="3900" t="s">
        <v>4420</v>
      </c>
      <c r="E93" s="3900">
        <v>1</v>
      </c>
      <c r="F93" s="3900">
        <v>1.1574</v>
      </c>
    </row>
    <row r="94" spans="1:6" ht="74.25" thickBot="1">
      <c r="A94" s="3898">
        <v>93</v>
      </c>
      <c r="B94" s="3899" t="s">
        <v>4421</v>
      </c>
      <c r="C94" s="3899" t="s">
        <v>4422</v>
      </c>
      <c r="D94" s="3900" t="s">
        <v>4423</v>
      </c>
      <c r="E94" s="3900">
        <v>1</v>
      </c>
      <c r="F94" s="3900">
        <v>0.69689999999999996</v>
      </c>
    </row>
    <row r="95" spans="1:6" ht="75.75" thickBot="1">
      <c r="A95" s="3898">
        <v>94</v>
      </c>
      <c r="B95" s="3899" t="s">
        <v>4424</v>
      </c>
      <c r="C95" s="3899" t="s">
        <v>4425</v>
      </c>
      <c r="D95" s="3900" t="s">
        <v>4426</v>
      </c>
      <c r="E95" s="3900">
        <v>1</v>
      </c>
      <c r="F95" s="3900">
        <v>0.85919999999999996</v>
      </c>
    </row>
    <row r="96" spans="1:6" ht="75.75" thickBot="1">
      <c r="A96" s="3898">
        <v>95</v>
      </c>
      <c r="B96" s="3899" t="s">
        <v>4427</v>
      </c>
      <c r="C96" s="3899" t="s">
        <v>4425</v>
      </c>
      <c r="D96" s="3900" t="s">
        <v>4428</v>
      </c>
      <c r="E96" s="3900">
        <v>1</v>
      </c>
      <c r="F96" s="3900">
        <v>0.60850000000000004</v>
      </c>
    </row>
    <row r="97" spans="1:6" ht="75" thickBot="1">
      <c r="A97" s="3898">
        <v>96</v>
      </c>
      <c r="B97" s="3899" t="s">
        <v>4429</v>
      </c>
      <c r="C97" s="3899" t="s">
        <v>4430</v>
      </c>
      <c r="D97" s="3899" t="s">
        <v>4431</v>
      </c>
      <c r="E97" s="3900">
        <v>1</v>
      </c>
      <c r="F97" s="3900">
        <v>0.46</v>
      </c>
    </row>
    <row r="98" spans="1:6" ht="75.75" thickBot="1">
      <c r="A98" s="3898">
        <v>97</v>
      </c>
      <c r="B98" s="3899" t="s">
        <v>4432</v>
      </c>
      <c r="C98" s="3899" t="s">
        <v>4433</v>
      </c>
      <c r="D98" s="3900" t="s">
        <v>4434</v>
      </c>
      <c r="E98" s="3900">
        <v>1</v>
      </c>
      <c r="F98" s="3900">
        <v>0.29270000000000002</v>
      </c>
    </row>
    <row r="99" spans="1:6" ht="38.25" thickBot="1">
      <c r="A99" s="3898">
        <v>98</v>
      </c>
      <c r="B99" s="3899" t="s">
        <v>4435</v>
      </c>
      <c r="C99" s="3899" t="s">
        <v>4436</v>
      </c>
      <c r="D99" s="3900" t="s">
        <v>4437</v>
      </c>
      <c r="E99" s="3900">
        <v>1</v>
      </c>
      <c r="F99" s="3900">
        <v>0.47270000000000001</v>
      </c>
    </row>
    <row r="100" spans="1:6" ht="57" thickBot="1">
      <c r="A100" s="3898">
        <v>99</v>
      </c>
      <c r="B100" s="3899" t="s">
        <v>4438</v>
      </c>
      <c r="C100" s="3899" t="s">
        <v>4439</v>
      </c>
      <c r="D100" s="3900" t="s">
        <v>4440</v>
      </c>
      <c r="E100" s="3900">
        <v>1</v>
      </c>
      <c r="F100" s="3900">
        <v>0.88949999999999996</v>
      </c>
    </row>
    <row r="101" spans="1:6" ht="38.25" thickBot="1">
      <c r="A101" s="3898">
        <v>100</v>
      </c>
      <c r="B101" s="3899" t="s">
        <v>4441</v>
      </c>
      <c r="C101" s="3899" t="s">
        <v>4442</v>
      </c>
      <c r="D101" s="3900" t="s">
        <v>4443</v>
      </c>
      <c r="E101" s="3900">
        <v>1</v>
      </c>
      <c r="F101" s="3900">
        <v>1.2831999999999999</v>
      </c>
    </row>
    <row r="102" spans="1:6" ht="75.75" thickBot="1">
      <c r="A102" s="3898">
        <v>101</v>
      </c>
      <c r="B102" s="3899" t="s">
        <v>4444</v>
      </c>
      <c r="C102" s="3899" t="s">
        <v>4425</v>
      </c>
      <c r="D102" s="3900" t="s">
        <v>4445</v>
      </c>
      <c r="E102" s="3900">
        <v>1</v>
      </c>
      <c r="F102" s="3900">
        <v>3.6781999999999999</v>
      </c>
    </row>
    <row r="103" spans="1:6" ht="57" thickBot="1">
      <c r="A103" s="3898">
        <v>102</v>
      </c>
      <c r="B103" s="3899" t="s">
        <v>4446</v>
      </c>
      <c r="C103" s="3899" t="s">
        <v>4447</v>
      </c>
      <c r="D103" s="3900" t="s">
        <v>4448</v>
      </c>
      <c r="E103" s="3900">
        <v>1</v>
      </c>
      <c r="F103" s="3900">
        <v>3.0884999999999998</v>
      </c>
    </row>
    <row r="104" spans="1:6" ht="94.5" thickBot="1">
      <c r="A104" s="3898">
        <v>103</v>
      </c>
      <c r="B104" s="3899" t="s">
        <v>4446</v>
      </c>
      <c r="C104" s="3899" t="s">
        <v>4449</v>
      </c>
      <c r="D104" s="3900" t="s">
        <v>4450</v>
      </c>
      <c r="E104" s="3900">
        <v>1</v>
      </c>
      <c r="F104" s="3900">
        <v>2.3687999999999998</v>
      </c>
    </row>
    <row r="105" spans="1:6" ht="38.25" thickBot="1">
      <c r="A105" s="3898">
        <v>104</v>
      </c>
      <c r="B105" s="3899" t="s">
        <v>4451</v>
      </c>
      <c r="C105" s="3899" t="s">
        <v>4452</v>
      </c>
      <c r="D105" s="3900" t="s">
        <v>4453</v>
      </c>
      <c r="E105" s="3900">
        <v>1</v>
      </c>
      <c r="F105" s="3900">
        <v>4.4398</v>
      </c>
    </row>
    <row r="106" spans="1:6" ht="57" thickBot="1">
      <c r="A106" s="3898">
        <v>105</v>
      </c>
      <c r="B106" s="3899" t="s">
        <v>4454</v>
      </c>
      <c r="C106" s="3899" t="s">
        <v>4452</v>
      </c>
      <c r="D106" s="3900" t="s">
        <v>4281</v>
      </c>
      <c r="E106" s="3900">
        <v>1</v>
      </c>
      <c r="F106" s="3900">
        <v>1.0021</v>
      </c>
    </row>
    <row r="107" spans="1:6" ht="57" thickBot="1">
      <c r="A107" s="3898">
        <v>106</v>
      </c>
      <c r="B107" s="3899" t="s">
        <v>4455</v>
      </c>
      <c r="C107" s="3899" t="s">
        <v>4456</v>
      </c>
      <c r="D107" s="3900" t="s">
        <v>4457</v>
      </c>
      <c r="E107" s="3900">
        <v>1</v>
      </c>
      <c r="F107" s="3900">
        <v>0.54879999999999995</v>
      </c>
    </row>
    <row r="108" spans="1:6" ht="75.75" thickBot="1">
      <c r="A108" s="3898">
        <v>107</v>
      </c>
      <c r="B108" s="3899" t="s">
        <v>4458</v>
      </c>
      <c r="C108" s="3899" t="s">
        <v>4459</v>
      </c>
      <c r="D108" s="3900" t="s">
        <v>4460</v>
      </c>
      <c r="E108" s="3900">
        <v>1</v>
      </c>
      <c r="F108" s="3900">
        <v>6.2E-2</v>
      </c>
    </row>
    <row r="109" spans="1:6" ht="75.75" thickBot="1">
      <c r="A109" s="3898">
        <v>108</v>
      </c>
      <c r="B109" s="3899" t="s">
        <v>4461</v>
      </c>
      <c r="C109" s="3899" t="s">
        <v>4459</v>
      </c>
      <c r="D109" s="3900" t="s">
        <v>4462</v>
      </c>
      <c r="E109" s="3900">
        <v>1</v>
      </c>
      <c r="F109" s="3900">
        <v>5.3199999999999997E-2</v>
      </c>
    </row>
    <row r="110" spans="1:6" ht="57" thickBot="1">
      <c r="A110" s="3898">
        <v>109</v>
      </c>
      <c r="B110" s="3899" t="s">
        <v>4463</v>
      </c>
      <c r="C110" s="3899" t="s">
        <v>4464</v>
      </c>
      <c r="D110" s="3900" t="s">
        <v>4465</v>
      </c>
      <c r="E110" s="3900">
        <v>1</v>
      </c>
      <c r="F110" s="3900">
        <v>8.6800000000000002E-2</v>
      </c>
    </row>
    <row r="111" spans="1:6" ht="75.75" thickBot="1">
      <c r="A111" s="3898">
        <v>110</v>
      </c>
      <c r="B111" s="3899" t="s">
        <v>4466</v>
      </c>
      <c r="C111" s="3899" t="s">
        <v>4456</v>
      </c>
      <c r="D111" s="3900" t="s">
        <v>4457</v>
      </c>
      <c r="E111" s="3900">
        <v>1</v>
      </c>
      <c r="F111" s="3900">
        <v>0.36359999999999998</v>
      </c>
    </row>
    <row r="112" spans="1:6" ht="94.5" thickBot="1">
      <c r="A112" s="3898">
        <v>111</v>
      </c>
      <c r="B112" s="3899" t="s">
        <v>4467</v>
      </c>
      <c r="C112" s="3899" t="s">
        <v>4468</v>
      </c>
      <c r="D112" s="3900" t="s">
        <v>4469</v>
      </c>
      <c r="E112" s="3900">
        <v>1</v>
      </c>
      <c r="F112" s="3900">
        <v>10.495699999999999</v>
      </c>
    </row>
    <row r="113" spans="1:6" ht="94.5" thickBot="1">
      <c r="A113" s="3898">
        <v>112</v>
      </c>
      <c r="B113" s="3899" t="s">
        <v>4470</v>
      </c>
      <c r="C113" s="3899" t="s">
        <v>4471</v>
      </c>
      <c r="D113" s="3900" t="s">
        <v>4281</v>
      </c>
      <c r="E113" s="3900">
        <v>1</v>
      </c>
      <c r="F113" s="3900">
        <v>16.594999999999999</v>
      </c>
    </row>
    <row r="114" spans="1:6" ht="75.75" thickBot="1">
      <c r="A114" s="3898">
        <v>113</v>
      </c>
      <c r="B114" s="3899" t="s">
        <v>4472</v>
      </c>
      <c r="C114" s="3899" t="s">
        <v>4473</v>
      </c>
      <c r="D114" s="3899" t="s">
        <v>4474</v>
      </c>
      <c r="E114" s="3900">
        <v>2</v>
      </c>
      <c r="F114" s="3900">
        <v>42.850299999999997</v>
      </c>
    </row>
    <row r="115" spans="1:6" ht="94.5" thickBot="1">
      <c r="A115" s="3898">
        <v>114</v>
      </c>
      <c r="B115" s="3899" t="s">
        <v>4475</v>
      </c>
      <c r="C115" s="3899" t="s">
        <v>4476</v>
      </c>
      <c r="D115" s="3900" t="s">
        <v>4281</v>
      </c>
      <c r="E115" s="3900">
        <v>1</v>
      </c>
      <c r="F115" s="3900">
        <v>13.9283</v>
      </c>
    </row>
    <row r="116" spans="1:6" ht="75.75" thickBot="1">
      <c r="A116" s="3898">
        <v>115</v>
      </c>
      <c r="B116" s="3899" t="s">
        <v>4477</v>
      </c>
      <c r="C116" s="3899" t="s">
        <v>4478</v>
      </c>
      <c r="D116" s="3900" t="s">
        <v>4479</v>
      </c>
      <c r="E116" s="3900">
        <v>1</v>
      </c>
      <c r="F116" s="3900">
        <v>14.1279</v>
      </c>
    </row>
    <row r="117" spans="1:6" ht="75.75" thickBot="1">
      <c r="A117" s="3898">
        <v>116</v>
      </c>
      <c r="B117" s="3899" t="s">
        <v>4477</v>
      </c>
      <c r="C117" s="3899" t="s">
        <v>4478</v>
      </c>
      <c r="D117" s="3900" t="s">
        <v>4480</v>
      </c>
      <c r="E117" s="3900">
        <v>1</v>
      </c>
      <c r="F117" s="3900">
        <v>5.5430000000000001</v>
      </c>
    </row>
    <row r="118" spans="1:6" ht="75.75" thickBot="1">
      <c r="A118" s="3898">
        <v>117</v>
      </c>
      <c r="B118" s="3899" t="s">
        <v>4477</v>
      </c>
      <c r="C118" s="3899" t="s">
        <v>4478</v>
      </c>
      <c r="D118" s="3900" t="s">
        <v>4480</v>
      </c>
      <c r="E118" s="3900">
        <v>1</v>
      </c>
      <c r="F118" s="3900">
        <v>5.5430000000000001</v>
      </c>
    </row>
    <row r="119" spans="1:6" ht="57" thickBot="1">
      <c r="A119" s="3898">
        <v>118</v>
      </c>
      <c r="B119" s="3899" t="s">
        <v>4481</v>
      </c>
      <c r="C119" s="3899" t="s">
        <v>4482</v>
      </c>
      <c r="D119" s="3900" t="s">
        <v>4483</v>
      </c>
      <c r="E119" s="3900">
        <v>1</v>
      </c>
      <c r="F119" s="3900">
        <v>144.6584</v>
      </c>
    </row>
    <row r="120" spans="1:6" ht="75.75" thickBot="1">
      <c r="A120" s="3898">
        <v>119</v>
      </c>
      <c r="B120" s="3899" t="s">
        <v>4484</v>
      </c>
      <c r="C120" s="3899" t="s">
        <v>4485</v>
      </c>
      <c r="D120" s="3900" t="s">
        <v>4281</v>
      </c>
      <c r="E120" s="3900">
        <v>1</v>
      </c>
      <c r="F120" s="3900">
        <v>0.40799999999999997</v>
      </c>
    </row>
    <row r="121" spans="1:6" ht="38.25" thickBot="1">
      <c r="A121" s="3898">
        <v>120</v>
      </c>
      <c r="B121" s="3899" t="s">
        <v>4486</v>
      </c>
      <c r="C121" s="3900" t="s">
        <v>4281</v>
      </c>
      <c r="D121" s="3900" t="s">
        <v>4281</v>
      </c>
      <c r="E121" s="3900">
        <v>1</v>
      </c>
      <c r="F121" s="3900">
        <v>0.51</v>
      </c>
    </row>
    <row r="122" spans="1:6" ht="38.25" thickBot="1">
      <c r="A122" s="3898">
        <v>121</v>
      </c>
      <c r="B122" s="3899" t="s">
        <v>4487</v>
      </c>
      <c r="C122" s="3899" t="s">
        <v>4488</v>
      </c>
      <c r="D122" s="3899" t="s">
        <v>4291</v>
      </c>
      <c r="E122" s="3900">
        <v>1</v>
      </c>
      <c r="F122" s="3900">
        <v>0.51</v>
      </c>
    </row>
    <row r="123" spans="1:6" ht="38.25" thickBot="1">
      <c r="A123" s="3898">
        <v>122</v>
      </c>
      <c r="B123" s="3899" t="s">
        <v>4489</v>
      </c>
      <c r="C123" s="3900" t="s">
        <v>4490</v>
      </c>
      <c r="D123" s="3900" t="s">
        <v>4281</v>
      </c>
      <c r="E123" s="3900">
        <v>1</v>
      </c>
      <c r="F123" s="3900">
        <v>7.2800000000000004E-2</v>
      </c>
    </row>
    <row r="124" spans="1:6" ht="38.25" thickBot="1">
      <c r="A124" s="3898">
        <v>123</v>
      </c>
      <c r="B124" s="3899" t="s">
        <v>4491</v>
      </c>
      <c r="C124" s="3900" t="s">
        <v>4492</v>
      </c>
      <c r="D124" s="3900" t="s">
        <v>4493</v>
      </c>
      <c r="E124" s="3900">
        <v>1</v>
      </c>
      <c r="F124" s="3900">
        <v>0.1744</v>
      </c>
    </row>
    <row r="125" spans="1:6" ht="19.5" thickBot="1">
      <c r="A125" s="3898">
        <v>124</v>
      </c>
      <c r="B125" s="3899" t="s">
        <v>4494</v>
      </c>
      <c r="C125" s="3899" t="s">
        <v>4495</v>
      </c>
      <c r="D125" s="3899" t="s">
        <v>4291</v>
      </c>
      <c r="E125" s="3900">
        <v>2</v>
      </c>
      <c r="F125" s="3900">
        <v>2.04</v>
      </c>
    </row>
    <row r="126" spans="1:6" ht="19.5" thickBot="1">
      <c r="A126" s="3898">
        <v>125</v>
      </c>
      <c r="B126" s="3899" t="s">
        <v>4496</v>
      </c>
      <c r="C126" s="3900" t="s">
        <v>4281</v>
      </c>
      <c r="D126" s="3900" t="s">
        <v>4497</v>
      </c>
      <c r="E126" s="3900">
        <v>1</v>
      </c>
      <c r="F126" s="3900">
        <v>0.442</v>
      </c>
    </row>
    <row r="127" spans="1:6" ht="38.25" thickBot="1">
      <c r="A127" s="3898">
        <v>126</v>
      </c>
      <c r="B127" s="3899" t="s">
        <v>4498</v>
      </c>
      <c r="C127" s="3900" t="s">
        <v>4281</v>
      </c>
      <c r="D127" s="3899" t="s">
        <v>4291</v>
      </c>
      <c r="E127" s="3900">
        <v>1</v>
      </c>
      <c r="F127" s="3900">
        <v>0.17</v>
      </c>
    </row>
    <row r="128" spans="1:6" ht="19.5" thickBot="1">
      <c r="A128" s="3898">
        <v>127</v>
      </c>
      <c r="B128" s="3899" t="s">
        <v>4499</v>
      </c>
      <c r="C128" s="3900" t="s">
        <v>4281</v>
      </c>
      <c r="D128" s="3900" t="s">
        <v>4281</v>
      </c>
      <c r="E128" s="3900">
        <v>1</v>
      </c>
      <c r="F128" s="3900">
        <v>0.17</v>
      </c>
    </row>
    <row r="129" spans="1:6" ht="57" thickBot="1">
      <c r="A129" s="3898">
        <v>128</v>
      </c>
      <c r="B129" s="3899" t="s">
        <v>4500</v>
      </c>
      <c r="C129" s="3899" t="s">
        <v>4501</v>
      </c>
      <c r="D129" s="3900" t="s">
        <v>4502</v>
      </c>
      <c r="E129" s="3900">
        <v>7</v>
      </c>
      <c r="F129" s="3900">
        <v>0.64259999999999995</v>
      </c>
    </row>
    <row r="130" spans="1:6" ht="57" thickBot="1">
      <c r="A130" s="3898">
        <v>129</v>
      </c>
      <c r="B130" s="3899" t="s">
        <v>4503</v>
      </c>
      <c r="C130" s="3899" t="s">
        <v>4504</v>
      </c>
      <c r="D130" s="3900" t="s">
        <v>4505</v>
      </c>
      <c r="E130" s="3900">
        <v>1</v>
      </c>
      <c r="F130" s="3900">
        <v>2.7000000000000001E-3</v>
      </c>
    </row>
    <row r="131" spans="1:6" ht="19.5" thickBot="1">
      <c r="A131" s="3898">
        <v>130</v>
      </c>
      <c r="B131" s="3899" t="s">
        <v>4311</v>
      </c>
      <c r="C131" s="3900" t="s">
        <v>4281</v>
      </c>
      <c r="D131" s="3900" t="s">
        <v>4281</v>
      </c>
      <c r="E131" s="3900">
        <v>1</v>
      </c>
      <c r="F131" s="3900">
        <v>0.11899999999999999</v>
      </c>
    </row>
    <row r="132" spans="1:6" ht="19.5" thickBot="1">
      <c r="A132" s="3898">
        <v>131</v>
      </c>
      <c r="B132" s="3899" t="s">
        <v>4506</v>
      </c>
      <c r="C132" s="3900" t="s">
        <v>4281</v>
      </c>
      <c r="D132" s="3900" t="s">
        <v>4281</v>
      </c>
      <c r="E132" s="3900">
        <v>1</v>
      </c>
      <c r="F132" s="3900">
        <v>6.9699999999999998E-2</v>
      </c>
    </row>
    <row r="133" spans="1:6" ht="38.25" thickBot="1">
      <c r="A133" s="3898">
        <v>132</v>
      </c>
      <c r="B133" s="3899" t="s">
        <v>4507</v>
      </c>
      <c r="C133" s="3900" t="s">
        <v>4508</v>
      </c>
      <c r="D133" s="3900" t="s">
        <v>4509</v>
      </c>
      <c r="E133" s="3900">
        <v>1</v>
      </c>
      <c r="F133" s="3900">
        <v>1.5900000000000001E-2</v>
      </c>
    </row>
    <row r="134" spans="1:6" ht="36.75" thickBot="1">
      <c r="A134" s="3898">
        <v>133</v>
      </c>
      <c r="B134" s="3899" t="s">
        <v>4510</v>
      </c>
      <c r="C134" s="3900" t="s">
        <v>4281</v>
      </c>
      <c r="D134" s="3900" t="s">
        <v>4511</v>
      </c>
      <c r="E134" s="3900">
        <v>1</v>
      </c>
      <c r="F134" s="3900">
        <v>3.9800000000000002E-2</v>
      </c>
    </row>
    <row r="135" spans="1:6" ht="38.25" thickBot="1">
      <c r="A135" s="3898">
        <v>134</v>
      </c>
      <c r="B135" s="3899" t="s">
        <v>4512</v>
      </c>
      <c r="C135" s="3900" t="s">
        <v>4281</v>
      </c>
      <c r="D135" s="3900" t="s">
        <v>4513</v>
      </c>
      <c r="E135" s="3900">
        <v>1</v>
      </c>
      <c r="F135" s="3900">
        <v>8.6699999999999999E-2</v>
      </c>
    </row>
    <row r="136" spans="1:6" ht="57" thickBot="1">
      <c r="A136" s="3898">
        <v>135</v>
      </c>
      <c r="B136" s="3899" t="s">
        <v>4512</v>
      </c>
      <c r="C136" s="3900" t="s">
        <v>4514</v>
      </c>
      <c r="D136" s="3900" t="s">
        <v>4515</v>
      </c>
      <c r="E136" s="3900">
        <v>1</v>
      </c>
      <c r="F136" s="3900">
        <v>0.13189999999999999</v>
      </c>
    </row>
    <row r="137" spans="1:6" ht="36.75" thickBot="1">
      <c r="A137" s="3898">
        <v>136</v>
      </c>
      <c r="B137" s="3899" t="s">
        <v>4516</v>
      </c>
      <c r="C137" s="3900" t="s">
        <v>4281</v>
      </c>
      <c r="D137" s="3900" t="s">
        <v>4517</v>
      </c>
      <c r="E137" s="3900">
        <v>5</v>
      </c>
      <c r="F137" s="3900">
        <v>5.9499999999999997E-2</v>
      </c>
    </row>
    <row r="138" spans="1:6" ht="54.75" thickBot="1">
      <c r="A138" s="3898">
        <v>137</v>
      </c>
      <c r="B138" s="3899" t="s">
        <v>4518</v>
      </c>
      <c r="C138" s="3900" t="s">
        <v>4281</v>
      </c>
      <c r="D138" s="3900" t="s">
        <v>4519</v>
      </c>
      <c r="E138" s="3900">
        <v>3</v>
      </c>
      <c r="F138" s="3900">
        <v>2.75E-2</v>
      </c>
    </row>
    <row r="139" spans="1:6" ht="57" thickBot="1">
      <c r="A139" s="3898">
        <v>138</v>
      </c>
      <c r="B139" s="3899" t="s">
        <v>4520</v>
      </c>
      <c r="C139" s="3899" t="s">
        <v>4521</v>
      </c>
      <c r="D139" s="3900" t="s">
        <v>4522</v>
      </c>
      <c r="E139" s="3900">
        <v>1</v>
      </c>
      <c r="F139" s="3900">
        <v>4.6399999999999997E-2</v>
      </c>
    </row>
    <row r="140" spans="1:6" ht="38.25" thickBot="1">
      <c r="A140" s="3898">
        <v>139</v>
      </c>
      <c r="B140" s="3899" t="s">
        <v>4523</v>
      </c>
      <c r="C140" s="3900" t="s">
        <v>4281</v>
      </c>
      <c r="D140" s="3900" t="s">
        <v>4281</v>
      </c>
      <c r="E140" s="3900">
        <v>3</v>
      </c>
      <c r="F140" s="3900">
        <v>0.12239999999999999</v>
      </c>
    </row>
    <row r="141" spans="1:6" ht="38.25" thickBot="1">
      <c r="A141" s="3898">
        <v>140</v>
      </c>
      <c r="B141" s="3899" t="s">
        <v>4524</v>
      </c>
      <c r="C141" s="3899" t="s">
        <v>4525</v>
      </c>
      <c r="D141" s="3900" t="s">
        <v>4281</v>
      </c>
      <c r="E141" s="3900">
        <v>1</v>
      </c>
      <c r="F141" s="3900">
        <v>5.0999999999999997E-2</v>
      </c>
    </row>
    <row r="142" spans="1:6" ht="19.5" thickBot="1">
      <c r="A142" s="3898">
        <v>141</v>
      </c>
      <c r="B142" s="3899" t="s">
        <v>4526</v>
      </c>
      <c r="C142" s="3900" t="s">
        <v>4281</v>
      </c>
      <c r="D142" s="3900" t="s">
        <v>4281</v>
      </c>
      <c r="E142" s="3900">
        <v>2</v>
      </c>
      <c r="F142" s="3900">
        <v>2.58E-2</v>
      </c>
    </row>
    <row r="143" spans="1:6" ht="38.25" thickBot="1">
      <c r="A143" s="3898">
        <v>142</v>
      </c>
      <c r="B143" s="3899" t="s">
        <v>4500</v>
      </c>
      <c r="C143" s="3899" t="s">
        <v>4527</v>
      </c>
      <c r="D143" s="3900" t="s">
        <v>4528</v>
      </c>
      <c r="E143" s="3900">
        <v>1</v>
      </c>
      <c r="F143" s="3900">
        <v>0.10879999999999999</v>
      </c>
    </row>
    <row r="144" spans="1:6" ht="38.25" thickBot="1">
      <c r="A144" s="3898">
        <v>143</v>
      </c>
      <c r="B144" s="3899" t="s">
        <v>4529</v>
      </c>
      <c r="C144" s="3899" t="s">
        <v>4530</v>
      </c>
      <c r="D144" s="3900" t="s">
        <v>4531</v>
      </c>
      <c r="E144" s="3900">
        <v>1</v>
      </c>
      <c r="F144" s="3900">
        <v>0.14960000000000001</v>
      </c>
    </row>
    <row r="145" spans="1:6" ht="19.5" thickBot="1">
      <c r="A145" s="3898">
        <v>144</v>
      </c>
      <c r="B145" s="3899" t="s">
        <v>4311</v>
      </c>
      <c r="C145" s="3900" t="s">
        <v>4281</v>
      </c>
      <c r="D145" s="3900" t="s">
        <v>4281</v>
      </c>
      <c r="E145" s="3900">
        <v>1</v>
      </c>
      <c r="F145" s="3900">
        <v>0.20399999999999999</v>
      </c>
    </row>
    <row r="146" spans="1:6" ht="38.25" thickBot="1">
      <c r="A146" s="3898">
        <v>145</v>
      </c>
      <c r="B146" s="3899" t="s">
        <v>4532</v>
      </c>
      <c r="C146" s="3900" t="s">
        <v>4281</v>
      </c>
      <c r="D146" s="3900" t="s">
        <v>4533</v>
      </c>
      <c r="E146" s="3900">
        <v>1</v>
      </c>
      <c r="F146" s="3900">
        <v>0.34</v>
      </c>
    </row>
    <row r="147" spans="1:6" ht="38.25" thickBot="1">
      <c r="A147" s="3898">
        <v>146</v>
      </c>
      <c r="B147" s="3899" t="s">
        <v>4534</v>
      </c>
      <c r="C147" s="3900" t="s">
        <v>4281</v>
      </c>
      <c r="D147" s="3900" t="s">
        <v>4535</v>
      </c>
      <c r="E147" s="3900">
        <v>1</v>
      </c>
      <c r="F147" s="3900">
        <v>0.26519999999999999</v>
      </c>
    </row>
    <row r="148" spans="1:6" ht="57" thickBot="1">
      <c r="A148" s="3898">
        <v>147</v>
      </c>
      <c r="B148" s="3899" t="s">
        <v>4536</v>
      </c>
      <c r="C148" s="3899" t="s">
        <v>4537</v>
      </c>
      <c r="D148" s="3900" t="s">
        <v>4538</v>
      </c>
      <c r="E148" s="3900">
        <v>1</v>
      </c>
      <c r="F148" s="3900">
        <v>5.1200000000000002E-2</v>
      </c>
    </row>
    <row r="149" spans="1:6" ht="75.75" thickBot="1">
      <c r="A149" s="3898">
        <v>148</v>
      </c>
      <c r="B149" s="3899" t="s">
        <v>4539</v>
      </c>
      <c r="C149" s="3899" t="s">
        <v>4540</v>
      </c>
      <c r="D149" s="3900" t="s">
        <v>4541</v>
      </c>
      <c r="E149" s="3900">
        <v>1</v>
      </c>
      <c r="F149" s="3900">
        <v>3.4000000000000002E-2</v>
      </c>
    </row>
    <row r="150" spans="1:6" ht="19.5" thickBot="1">
      <c r="A150" s="3898">
        <v>149</v>
      </c>
      <c r="B150" s="3899" t="s">
        <v>4542</v>
      </c>
      <c r="C150" s="3900" t="s">
        <v>4281</v>
      </c>
      <c r="D150" s="3900" t="s">
        <v>4281</v>
      </c>
      <c r="E150" s="3900">
        <v>1</v>
      </c>
      <c r="F150" s="3900">
        <v>8.5000000000000006E-2</v>
      </c>
    </row>
    <row r="151" spans="1:6" ht="57" thickBot="1">
      <c r="A151" s="3898">
        <v>150</v>
      </c>
      <c r="B151" s="3899" t="s">
        <v>4543</v>
      </c>
      <c r="C151" s="3900" t="s">
        <v>4544</v>
      </c>
      <c r="D151" s="3900" t="s">
        <v>4545</v>
      </c>
      <c r="E151" s="3900">
        <v>1</v>
      </c>
      <c r="F151" s="3900">
        <v>0.1394</v>
      </c>
    </row>
    <row r="152" spans="1:6" ht="57" thickBot="1">
      <c r="A152" s="3898">
        <v>151</v>
      </c>
      <c r="B152" s="3899" t="s">
        <v>4546</v>
      </c>
      <c r="C152" s="3899" t="s">
        <v>4547</v>
      </c>
      <c r="D152" s="3900" t="s">
        <v>4548</v>
      </c>
      <c r="E152" s="3900">
        <v>1</v>
      </c>
      <c r="F152" s="3900">
        <v>0.11899999999999999</v>
      </c>
    </row>
    <row r="153" spans="1:6" ht="19.5" thickBot="1">
      <c r="A153" s="3898">
        <v>152</v>
      </c>
      <c r="B153" s="3899" t="s">
        <v>4549</v>
      </c>
      <c r="C153" s="3900" t="s">
        <v>4281</v>
      </c>
      <c r="D153" s="3900" t="s">
        <v>4281</v>
      </c>
      <c r="E153" s="3900">
        <v>3</v>
      </c>
      <c r="F153" s="3900">
        <v>3.5499999999999997E-2</v>
      </c>
    </row>
    <row r="154" spans="1:6" ht="75.75" thickBot="1">
      <c r="A154" s="3898">
        <v>153</v>
      </c>
      <c r="B154" s="3899" t="s">
        <v>4550</v>
      </c>
      <c r="C154" s="3899" t="s">
        <v>4551</v>
      </c>
      <c r="D154" s="3900" t="s">
        <v>4552</v>
      </c>
      <c r="E154" s="3900">
        <v>1</v>
      </c>
      <c r="F154" s="3900">
        <v>5.1479999999999997</v>
      </c>
    </row>
    <row r="155" spans="1:6" ht="38.25" thickBot="1">
      <c r="A155" s="3898">
        <v>154</v>
      </c>
      <c r="B155" s="3899" t="s">
        <v>4332</v>
      </c>
      <c r="C155" s="3900" t="s">
        <v>4281</v>
      </c>
      <c r="D155" s="3900" t="s">
        <v>4553</v>
      </c>
      <c r="E155" s="3900">
        <v>1</v>
      </c>
      <c r="F155" s="3900">
        <v>5.4399999999999997E-2</v>
      </c>
    </row>
    <row r="156" spans="1:6" ht="38.25" thickBot="1">
      <c r="A156" s="3898">
        <v>155</v>
      </c>
      <c r="B156" s="3899" t="s">
        <v>4332</v>
      </c>
      <c r="C156" s="3900" t="s">
        <v>4281</v>
      </c>
      <c r="D156" s="3900" t="s">
        <v>4554</v>
      </c>
      <c r="E156" s="3900">
        <v>1</v>
      </c>
      <c r="F156" s="3900">
        <v>6.8000000000000005E-2</v>
      </c>
    </row>
    <row r="157" spans="1:6" ht="38.25" thickBot="1">
      <c r="A157" s="3898">
        <v>156</v>
      </c>
      <c r="B157" s="3899" t="s">
        <v>4555</v>
      </c>
      <c r="C157" s="3900" t="s">
        <v>4281</v>
      </c>
      <c r="D157" s="3900" t="s">
        <v>4281</v>
      </c>
      <c r="E157" s="3900">
        <v>1</v>
      </c>
      <c r="F157" s="3900">
        <v>0.15640000000000001</v>
      </c>
    </row>
    <row r="158" spans="1:6" ht="75.75" thickBot="1">
      <c r="A158" s="3898">
        <v>157</v>
      </c>
      <c r="B158" s="3899" t="s">
        <v>4556</v>
      </c>
      <c r="C158" s="3900" t="s">
        <v>4281</v>
      </c>
      <c r="D158" s="3900" t="s">
        <v>4557</v>
      </c>
      <c r="E158" s="3900">
        <v>1</v>
      </c>
      <c r="F158" s="3900">
        <v>0.12</v>
      </c>
    </row>
    <row r="159" spans="1:6" ht="57" thickBot="1">
      <c r="A159" s="3898">
        <v>158</v>
      </c>
      <c r="B159" s="3899" t="s">
        <v>4558</v>
      </c>
      <c r="C159" s="3899" t="s">
        <v>4559</v>
      </c>
      <c r="D159" s="3900" t="s">
        <v>4281</v>
      </c>
      <c r="E159" s="3900">
        <v>1</v>
      </c>
      <c r="F159" s="3900">
        <v>6.8000000000000005E-2</v>
      </c>
    </row>
    <row r="160" spans="1:6" ht="75.75" thickBot="1">
      <c r="A160" s="3898">
        <v>159</v>
      </c>
      <c r="B160" s="3899" t="s">
        <v>4560</v>
      </c>
      <c r="C160" s="3899" t="s">
        <v>4561</v>
      </c>
      <c r="D160" s="3900" t="s">
        <v>4562</v>
      </c>
      <c r="E160" s="3900">
        <v>1</v>
      </c>
      <c r="F160" s="3900">
        <v>2.8899999999999999E-2</v>
      </c>
    </row>
    <row r="161" spans="1:6" ht="57" thickBot="1">
      <c r="A161" s="3898">
        <v>160</v>
      </c>
      <c r="B161" s="3899" t="s">
        <v>4563</v>
      </c>
      <c r="C161" s="3899" t="s">
        <v>4564</v>
      </c>
      <c r="D161" s="3900" t="s">
        <v>4423</v>
      </c>
      <c r="E161" s="3900">
        <v>1</v>
      </c>
      <c r="F161" s="3900">
        <v>0.2414</v>
      </c>
    </row>
    <row r="162" spans="1:6" ht="57" thickBot="1">
      <c r="A162" s="3898">
        <v>161</v>
      </c>
      <c r="B162" s="3899" t="s">
        <v>4565</v>
      </c>
      <c r="C162" s="3899" t="s">
        <v>4564</v>
      </c>
      <c r="D162" s="3900" t="s">
        <v>4566</v>
      </c>
      <c r="E162" s="3900">
        <v>1</v>
      </c>
      <c r="F162" s="3900">
        <v>3.7400000000000003E-2</v>
      </c>
    </row>
    <row r="163" spans="1:6" ht="57" thickBot="1">
      <c r="A163" s="3898">
        <v>162</v>
      </c>
      <c r="B163" s="3899" t="s">
        <v>4565</v>
      </c>
      <c r="C163" s="3899" t="s">
        <v>4567</v>
      </c>
      <c r="D163" s="3900" t="s">
        <v>4568</v>
      </c>
      <c r="E163" s="3900">
        <v>1</v>
      </c>
      <c r="F163" s="3900">
        <v>4.0099999999999997E-2</v>
      </c>
    </row>
    <row r="164" spans="1:6" ht="38.25" thickBot="1">
      <c r="A164" s="3898">
        <v>163</v>
      </c>
      <c r="B164" s="3899" t="s">
        <v>4569</v>
      </c>
      <c r="C164" s="3899" t="s">
        <v>4570</v>
      </c>
      <c r="D164" s="3900" t="s">
        <v>4571</v>
      </c>
      <c r="E164" s="3900">
        <v>1</v>
      </c>
      <c r="F164" s="3900">
        <v>0.14000000000000001</v>
      </c>
    </row>
    <row r="165" spans="1:6" ht="57" thickBot="1">
      <c r="A165" s="3898">
        <v>164</v>
      </c>
      <c r="B165" s="3899" t="s">
        <v>4572</v>
      </c>
      <c r="C165" s="3899" t="s">
        <v>4573</v>
      </c>
      <c r="D165" s="3900" t="s">
        <v>4574</v>
      </c>
      <c r="E165" s="3900">
        <v>1</v>
      </c>
      <c r="F165" s="3900">
        <v>8.4000000000000005E-2</v>
      </c>
    </row>
    <row r="166" spans="1:6" ht="72.75" thickBot="1">
      <c r="A166" s="3898">
        <v>165</v>
      </c>
      <c r="B166" s="3899" t="s">
        <v>4575</v>
      </c>
      <c r="C166" s="3899" t="s">
        <v>4576</v>
      </c>
      <c r="D166" s="3900" t="s">
        <v>4577</v>
      </c>
      <c r="E166" s="3900">
        <v>1</v>
      </c>
      <c r="F166" s="3900">
        <v>0.1212</v>
      </c>
    </row>
    <row r="167" spans="1:6" ht="38.25" thickBot="1">
      <c r="A167" s="3898">
        <v>166</v>
      </c>
      <c r="B167" s="3899" t="s">
        <v>4565</v>
      </c>
      <c r="C167" s="3899" t="s">
        <v>4578</v>
      </c>
      <c r="D167" s="3900" t="s">
        <v>4579</v>
      </c>
      <c r="E167" s="3900">
        <v>1</v>
      </c>
      <c r="F167" s="3900">
        <v>2.92E-2</v>
      </c>
    </row>
    <row r="168" spans="1:6" ht="57" thickBot="1">
      <c r="A168" s="3898">
        <v>167</v>
      </c>
      <c r="B168" s="3899" t="s">
        <v>4565</v>
      </c>
      <c r="C168" s="3899" t="s">
        <v>4564</v>
      </c>
      <c r="D168" s="3900" t="s">
        <v>4580</v>
      </c>
      <c r="E168" s="3900">
        <v>1</v>
      </c>
      <c r="F168" s="3900">
        <v>1.5599999999999999E-2</v>
      </c>
    </row>
    <row r="169" spans="1:6" ht="38.25" thickBot="1">
      <c r="A169" s="3898">
        <v>168</v>
      </c>
      <c r="B169" s="3899" t="s">
        <v>4565</v>
      </c>
      <c r="C169" s="3899" t="s">
        <v>4578</v>
      </c>
      <c r="D169" s="3900" t="s">
        <v>4581</v>
      </c>
      <c r="E169" s="3900">
        <v>1</v>
      </c>
      <c r="F169" s="3900">
        <v>0.1258</v>
      </c>
    </row>
    <row r="170" spans="1:6" ht="57" thickBot="1">
      <c r="A170" s="3898">
        <v>169</v>
      </c>
      <c r="B170" s="3899" t="s">
        <v>4565</v>
      </c>
      <c r="C170" s="3899" t="s">
        <v>4564</v>
      </c>
      <c r="D170" s="3902" t="s">
        <v>4582</v>
      </c>
      <c r="E170" s="3900">
        <v>1</v>
      </c>
      <c r="F170" s="3900">
        <v>1.77E-2</v>
      </c>
    </row>
    <row r="171" spans="1:6" ht="57" thickBot="1">
      <c r="A171" s="3898">
        <v>170</v>
      </c>
      <c r="B171" s="3899" t="s">
        <v>4565</v>
      </c>
      <c r="C171" s="3899" t="s">
        <v>4564</v>
      </c>
      <c r="D171" s="3900" t="s">
        <v>4583</v>
      </c>
      <c r="E171" s="3900">
        <v>1</v>
      </c>
      <c r="F171" s="3900">
        <v>3.7400000000000003E-2</v>
      </c>
    </row>
    <row r="172" spans="1:6" ht="75.75" thickBot="1">
      <c r="A172" s="3898">
        <v>171</v>
      </c>
      <c r="B172" s="3899" t="s">
        <v>4584</v>
      </c>
      <c r="C172" s="3899" t="s">
        <v>4585</v>
      </c>
      <c r="D172" s="3900" t="s">
        <v>4586</v>
      </c>
      <c r="E172" s="3900">
        <v>1</v>
      </c>
      <c r="F172" s="3900">
        <v>5.7799999999999997E-2</v>
      </c>
    </row>
    <row r="173" spans="1:6" ht="75.75" thickBot="1">
      <c r="A173" s="3898">
        <v>172</v>
      </c>
      <c r="B173" s="3899" t="s">
        <v>4587</v>
      </c>
      <c r="C173" s="3899" t="s">
        <v>4588</v>
      </c>
      <c r="D173" s="3900" t="s">
        <v>4589</v>
      </c>
      <c r="E173" s="3900">
        <v>1</v>
      </c>
      <c r="F173" s="3900">
        <v>0.28899999999999998</v>
      </c>
    </row>
    <row r="174" spans="1:6" ht="57" thickBot="1">
      <c r="A174" s="3898">
        <v>173</v>
      </c>
      <c r="B174" s="3899" t="s">
        <v>4590</v>
      </c>
      <c r="C174" s="3899" t="s">
        <v>4591</v>
      </c>
      <c r="D174" s="3900" t="s">
        <v>4592</v>
      </c>
      <c r="E174" s="3900">
        <v>1</v>
      </c>
      <c r="F174" s="3900">
        <v>6.4600000000000005E-2</v>
      </c>
    </row>
    <row r="175" spans="1:6" ht="19.5" thickBot="1">
      <c r="A175" s="3903" t="s">
        <v>24</v>
      </c>
      <c r="B175" s="3900" t="s">
        <v>4281</v>
      </c>
      <c r="C175" s="3900" t="s">
        <v>4281</v>
      </c>
      <c r="D175" s="3900" t="s">
        <v>4281</v>
      </c>
      <c r="E175" s="3900" t="s">
        <v>4281</v>
      </c>
      <c r="F175" s="3900">
        <v>602.03110000000004</v>
      </c>
    </row>
  </sheetData>
  <phoneticPr fontId="228" type="noConversion"/>
  <hyperlinks>
    <hyperlink ref="D170" r:id="rId1" display="mailto:G@G" xr:uid="{00000000-0004-0000-36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944" t="s">
        <v>2054</v>
      </c>
      <c r="B1" s="3944"/>
      <c r="C1" s="3944"/>
      <c r="D1" s="3944"/>
    </row>
    <row r="2" spans="1:4" ht="47.25" customHeight="1">
      <c r="A2" s="3948" t="str">
        <f>"1.权利限制："&amp;项目基本情况!L24&amp;"未设定租赁等其他他项权利。"</f>
        <v>1.权利限制：根据估价对象《不动产权证书》原件、《国有土地使用权》复印件，截至估价期日，估价对象抵押权未见登记。未设定租赁等其他他项权利。</v>
      </c>
      <c r="B2" s="3948"/>
      <c r="C2" s="3948"/>
      <c r="D2" s="3948"/>
    </row>
    <row r="3" spans="1:4" ht="48" customHeight="1">
      <c r="A3" s="394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44"/>
      <c r="C3" s="3944"/>
      <c r="D3" s="3944"/>
    </row>
    <row r="4" spans="1:4" ht="36.75" customHeight="1">
      <c r="A4" s="3944" t="str">
        <f>"3.估价规划限制条件：详见"&amp;项目基本情况!E21&amp;"。"</f>
        <v>3.估价规划限制条件：详见《建设工程规划许可证》[]、《出让合同》[]。</v>
      </c>
      <c r="B4" s="3944"/>
      <c r="C4" s="3944"/>
      <c r="D4" s="3944"/>
    </row>
    <row r="5" spans="1:4">
      <c r="A5" s="3947" t="s">
        <v>2055</v>
      </c>
      <c r="B5" s="3947"/>
      <c r="C5" s="3947"/>
      <c r="D5" s="3947"/>
    </row>
    <row r="6" spans="1:4">
      <c r="A6" s="3944" t="s">
        <v>2033</v>
      </c>
      <c r="B6" s="3944"/>
      <c r="C6" s="3944"/>
      <c r="D6" s="3944"/>
    </row>
    <row r="7" spans="1:4" ht="33" customHeight="1">
      <c r="A7" s="3944" t="s">
        <v>2556</v>
      </c>
      <c r="B7" s="3944"/>
      <c r="C7" s="3944"/>
      <c r="D7" s="3944"/>
    </row>
    <row r="8" spans="1:4" ht="32.25" customHeight="1">
      <c r="A8" s="39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44"/>
      <c r="C8" s="3944"/>
      <c r="D8" s="3944"/>
    </row>
    <row r="9" spans="1:4" ht="33.75" customHeight="1">
      <c r="A9" s="3944" t="str">
        <f>IF(项目基本情况!B8="抵押","3.抵押双方在办理抵押登记手续时，应使用本公司出具的正式《土地估价报告》，特提请报告使用者注意。","——")</f>
        <v>——</v>
      </c>
      <c r="B9" s="3944"/>
      <c r="C9" s="3944"/>
      <c r="D9" s="3944"/>
    </row>
    <row r="10" spans="1:4">
      <c r="A10" s="3944" t="str">
        <f>IF(项目基本情况!B8="抵押","4.估价师所知悉的法定优先受偿款情况为：","——")</f>
        <v>——</v>
      </c>
      <c r="B10" s="3944"/>
      <c r="C10" s="3944"/>
      <c r="D10" s="3944"/>
    </row>
    <row r="11" spans="1:4" ht="37.5" customHeight="1">
      <c r="A11" s="3946" t="str">
        <f>IF(项目基本情况!B8="抵押","（1）"&amp;CONCATENATE(项目基本情况!L24,项目基本情况!L25,项目基本情况!L26),"——")</f>
        <v>——</v>
      </c>
      <c r="B11" s="3946"/>
      <c r="C11" s="3946"/>
      <c r="D11" s="3946"/>
    </row>
    <row r="12" spans="1:4" ht="168" customHeight="1">
      <c r="A12" s="3947" t="s">
        <v>2057</v>
      </c>
      <c r="B12" s="3947"/>
      <c r="C12" s="3947"/>
      <c r="D12" s="3947"/>
    </row>
    <row r="13" spans="1:4">
      <c r="A13" s="3945" t="s">
        <v>2727</v>
      </c>
      <c r="B13" s="3945"/>
      <c r="C13" s="3945"/>
      <c r="D13" s="3945"/>
    </row>
    <row r="14" spans="1:4">
      <c r="A14" s="3946" t="str">
        <f>IF(项目基本情况!B8="抵押","综上，"&amp;结果表!K47,"——")</f>
        <v>——</v>
      </c>
      <c r="B14" s="3946"/>
      <c r="C14" s="3946"/>
      <c r="D14" s="3946"/>
    </row>
    <row r="15" spans="1:4" ht="58.5" customHeight="1">
      <c r="A15" s="39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44"/>
      <c r="C15" s="3944"/>
      <c r="D15" s="3944"/>
    </row>
    <row r="16" spans="1:4" ht="70.5" customHeight="1">
      <c r="A16" s="39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44"/>
      <c r="C16" s="3944"/>
      <c r="D16" s="3944"/>
    </row>
    <row r="17" spans="1:4">
      <c r="A17" s="3944" t="s">
        <v>2683</v>
      </c>
      <c r="B17" s="3944"/>
      <c r="C17" s="3944"/>
      <c r="D17" s="3944"/>
    </row>
    <row r="18" spans="1:4">
      <c r="A18" s="3944" t="s">
        <v>2675</v>
      </c>
      <c r="B18" s="3944"/>
      <c r="C18" s="3944"/>
      <c r="D18" s="3944"/>
    </row>
    <row r="19" spans="1:4">
      <c r="A19" s="2585" t="s">
        <v>2676</v>
      </c>
      <c r="B19" s="2585" t="s">
        <v>2677</v>
      </c>
      <c r="C19" s="2585" t="s">
        <v>2678</v>
      </c>
      <c r="D19" s="2585" t="s">
        <v>2679</v>
      </c>
    </row>
    <row r="20" spans="1:4">
      <c r="A20" s="2585" t="str">
        <f>项目基本情况!B4</f>
        <v>叶凌</v>
      </c>
      <c r="B20" s="2585">
        <f ca="1">项目基本情况!C4</f>
        <v>94010078</v>
      </c>
      <c r="C20" s="2587"/>
      <c r="D20" s="1715" t="s">
        <v>2684</v>
      </c>
    </row>
    <row r="21" spans="1:4">
      <c r="A21" s="2585" t="str">
        <f>项目基本情况!D4</f>
        <v>陈颖</v>
      </c>
      <c r="B21" s="2585">
        <f ca="1">项目基本情况!E4</f>
        <v>2004110096</v>
      </c>
      <c r="C21" s="2587"/>
      <c r="D21" s="1715" t="s">
        <v>2685</v>
      </c>
    </row>
    <row r="23" spans="1:4">
      <c r="A23" s="3944" t="s">
        <v>2680</v>
      </c>
      <c r="B23" s="3944"/>
      <c r="C23" s="3944"/>
      <c r="D23" s="3944"/>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956" t="s">
        <v>53</v>
      </c>
      <c r="B15" s="3957" t="s">
        <v>838</v>
      </c>
      <c r="C15" s="3953"/>
    </row>
    <row r="16" spans="1:7" ht="14.25">
      <c r="A16" s="3956"/>
      <c r="B16" s="3954" t="s">
        <v>54</v>
      </c>
      <c r="C16" s="1155" t="s">
        <v>53</v>
      </c>
    </row>
    <row r="17" spans="1:3" ht="14.25">
      <c r="A17" s="3956"/>
      <c r="B17" s="3954"/>
      <c r="C17" s="1155" t="s">
        <v>55</v>
      </c>
    </row>
    <row r="18" spans="1:3" ht="14.25">
      <c r="A18" s="3956"/>
      <c r="B18" s="3954"/>
      <c r="C18" s="1155" t="s">
        <v>56</v>
      </c>
    </row>
    <row r="19" spans="1:3" ht="14.25">
      <c r="A19" s="3956"/>
      <c r="B19" s="3952" t="s">
        <v>57</v>
      </c>
      <c r="C19" s="3953"/>
    </row>
    <row r="20" spans="1:3" ht="14.25">
      <c r="A20" s="1156" t="s">
        <v>58</v>
      </c>
      <c r="B20" s="1157"/>
      <c r="C20" s="1158"/>
    </row>
    <row r="21" spans="1:3" ht="14.25">
      <c r="A21" s="3955" t="s">
        <v>59</v>
      </c>
      <c r="B21" s="3952" t="s">
        <v>60</v>
      </c>
      <c r="C21" s="3953"/>
    </row>
    <row r="22" spans="1:3" ht="14.25">
      <c r="A22" s="3955"/>
      <c r="B22" s="3952" t="s">
        <v>61</v>
      </c>
      <c r="C22" s="3953"/>
    </row>
    <row r="23" spans="1:3" ht="14.25">
      <c r="A23" s="3955"/>
      <c r="B23" s="3952" t="s">
        <v>62</v>
      </c>
      <c r="C23" s="3953"/>
    </row>
    <row r="24" spans="1:3" ht="14.25">
      <c r="A24" s="3955"/>
      <c r="B24" s="3958" t="s">
        <v>63</v>
      </c>
      <c r="C24" s="1159" t="s">
        <v>829</v>
      </c>
    </row>
    <row r="25" spans="1:3" ht="14.25">
      <c r="A25" s="3955"/>
      <c r="B25" s="3959"/>
      <c r="C25" s="1159" t="s">
        <v>830</v>
      </c>
    </row>
    <row r="26" spans="1:3" ht="14.25">
      <c r="A26" s="3955"/>
      <c r="B26" s="3959"/>
      <c r="C26" s="1159" t="s">
        <v>831</v>
      </c>
    </row>
    <row r="27" spans="1:3" ht="14.25">
      <c r="A27" s="3955"/>
      <c r="B27" s="3959"/>
      <c r="C27" s="1159" t="s">
        <v>832</v>
      </c>
    </row>
    <row r="28" spans="1:3" ht="14.25">
      <c r="A28" s="3955"/>
      <c r="B28" s="3959"/>
      <c r="C28" s="1159" t="s">
        <v>833</v>
      </c>
    </row>
    <row r="29" spans="1:3" ht="14.25">
      <c r="A29" s="3955"/>
      <c r="B29" s="3959"/>
      <c r="C29" s="1159" t="s">
        <v>834</v>
      </c>
    </row>
    <row r="30" spans="1:3" ht="14.25">
      <c r="A30" s="3955"/>
      <c r="B30" s="3959"/>
      <c r="C30" s="1159" t="s">
        <v>835</v>
      </c>
    </row>
    <row r="31" spans="1:3" ht="14.25">
      <c r="A31" s="3955"/>
      <c r="B31" s="3959"/>
      <c r="C31" s="1159" t="s">
        <v>836</v>
      </c>
    </row>
    <row r="32" spans="1:3" ht="14.25">
      <c r="A32" s="3955"/>
      <c r="B32" s="3959"/>
      <c r="C32" s="1159" t="s">
        <v>1637</v>
      </c>
    </row>
    <row r="33" spans="1:3" ht="14.25">
      <c r="A33" s="3955"/>
      <c r="B33" s="3949" t="s">
        <v>1643</v>
      </c>
      <c r="C33" s="1159" t="s">
        <v>1638</v>
      </c>
    </row>
    <row r="34" spans="1:3" ht="14.25">
      <c r="A34" s="3955"/>
      <c r="B34" s="3950"/>
      <c r="C34" s="1164" t="s">
        <v>1639</v>
      </c>
    </row>
    <row r="35" spans="1:3" ht="14.25">
      <c r="A35" s="3955"/>
      <c r="B35" s="3950"/>
      <c r="C35" s="1165" t="s">
        <v>1640</v>
      </c>
    </row>
    <row r="36" spans="1:3" ht="14.25">
      <c r="A36" s="3955"/>
      <c r="B36" s="3950"/>
      <c r="C36" s="1165" t="s">
        <v>1641</v>
      </c>
    </row>
    <row r="37" spans="1:3" ht="14.25">
      <c r="A37" s="3955"/>
      <c r="B37" s="395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44568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t="str">
        <f ca="1">IF(C9&lt;B2,"已过期",1120060040)</f>
        <v>已过期</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2957</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963" t="s">
        <v>1915</v>
      </c>
      <c r="B17" s="3964"/>
      <c r="C17" s="3964"/>
      <c r="D17" s="3964"/>
      <c r="E17" s="3964"/>
      <c r="F17" s="3964"/>
      <c r="G17" s="3034"/>
    </row>
    <row r="18" spans="1:7" ht="20.25" customHeight="1">
      <c r="A18" s="3960" t="s">
        <v>1916</v>
      </c>
      <c r="B18" s="3960"/>
      <c r="C18" s="3961"/>
      <c r="D18" s="3962" t="s">
        <v>1917</v>
      </c>
      <c r="E18" s="3960"/>
      <c r="F18" s="396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96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2021年3月13日在规划利用条件下、设定土地开发程度为红线外“七通”、宗地内场地，设定用途为的划拨国有建设用地使用权价格。</v>
      </c>
      <c r="D53" s="1685"/>
      <c r="E53" s="1685"/>
    </row>
    <row r="54" spans="1:5">
      <c r="A54" s="396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96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96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96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168</vt:i4>
      </vt:variant>
    </vt:vector>
  </HeadingPairs>
  <TitlesOfParts>
    <vt:vector size="22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土地增值收益</vt:lpstr>
      <vt:lpstr>基准地价</vt:lpstr>
      <vt:lpstr>剩余法-待开发</vt:lpstr>
      <vt:lpstr>剩余法-现房</vt:lpstr>
      <vt:lpstr>比较法-住宅、综合</vt:lpstr>
      <vt:lpstr>不动产收益法</vt:lpstr>
      <vt:lpstr>修正</vt:lpstr>
      <vt:lpstr>区片价</vt:lpstr>
      <vt:lpstr>容积率修正</vt:lpstr>
      <vt:lpstr>因素修正幅度</vt:lpstr>
      <vt:lpstr>基准地价（汇总）</vt:lpstr>
      <vt:lpstr>收益还原法</vt:lpstr>
      <vt:lpstr>酒店收入计算</vt:lpstr>
      <vt:lpstr>工业用房租金案例</vt:lpstr>
      <vt:lpstr>成本逼近法</vt:lpstr>
      <vt:lpstr>不动产比较法-住宅</vt:lpstr>
      <vt:lpstr>不动产比较法-商业</vt:lpstr>
      <vt:lpstr>不动产比较法-办公</vt:lpstr>
      <vt:lpstr>比较法-工业</vt:lpstr>
      <vt:lpstr>比较法-土地取得费</vt:lpstr>
      <vt:lpstr>土地一级开发案例</vt:lpstr>
      <vt:lpstr>不动产比较法-车位</vt:lpstr>
      <vt:lpstr>不动产比较法-仓储</vt:lpstr>
      <vt:lpstr>典型户型修正</vt:lpstr>
      <vt:lpstr>系统读取表</vt:lpstr>
      <vt:lpstr>地价</vt:lpstr>
      <vt:lpstr>结果汇总</vt:lpstr>
      <vt:lpstr>Sheet2</vt:lpstr>
      <vt:lpstr>输机表-建筑物及附属物</vt:lpstr>
      <vt:lpstr>建筑物分值</vt:lpstr>
      <vt:lpstr>附属物分值</vt:lpstr>
      <vt:lpstr>建（构）筑物价格</vt:lpstr>
      <vt:lpstr>存贷款利率</vt:lpstr>
      <vt:lpstr>附属物-墙地棚</vt:lpstr>
      <vt:lpstr>附属物-树木</vt:lpstr>
      <vt:lpstr>不动产比较法-工业</vt:lpstr>
      <vt:lpstr>停产停业损失</vt:lpstr>
      <vt:lpstr>丰怀利润表</vt:lpstr>
      <vt:lpstr>国地评估结果</vt:lpstr>
      <vt:lpstr>Sheet1</vt:lpstr>
      <vt:lpstr>CX</vt:lpstr>
      <vt:lpstr>DM</vt:lpstr>
      <vt:lpstr>DP</vt:lpstr>
      <vt:lpstr>FSW</vt:lpstr>
      <vt:lpstr>GD</vt:lpstr>
      <vt:lpstr>MC</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'输机表-建筑物及附属物'!Print_Area</vt:lpstr>
      <vt:lpstr>'数据-汇总表'!Print_Area</vt:lpstr>
      <vt:lpstr>系统读取表!Print_Area</vt:lpstr>
      <vt:lpstr>项目基本情况!Print_Area</vt:lpstr>
      <vt:lpstr>QS</vt:lpstr>
      <vt:lpstr>QT</vt:lpstr>
      <vt:lpstr>RK</vt:lpstr>
      <vt:lpstr>RX</vt:lpstr>
      <vt:lpstr>TJ</vt:lpstr>
      <vt:lpstr>WJ</vt:lpstr>
      <vt:lpstr>WM</vt:lpstr>
      <vt:lpstr>ZG</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'输机表-建筑物及附属物'!分值</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2021-05-26T06:26:38Z</cp:lastPrinted>
  <dcterms:created xsi:type="dcterms:W3CDTF">2015-07-13T07:17:23Z</dcterms:created>
  <dcterms:modified xsi:type="dcterms:W3CDTF">2022-01-07T06:09:11Z</dcterms:modified>
</cp:coreProperties>
</file>