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745" windowWidth="19230" windowHeight="5445" tabRatio="875" firstSheet="14"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0" i="12" l="1"/>
  <c r="C15" i="66"/>
  <c r="B15" i="66"/>
  <c r="E9" i="39"/>
  <c r="E40" i="39"/>
  <c r="E7" i="39"/>
  <c r="I40" i="39"/>
  <c r="I9" i="39"/>
  <c r="I7" i="39"/>
  <c r="F46" i="68"/>
  <c r="I30" i="68"/>
  <c r="I28" i="68"/>
  <c r="I27" i="68"/>
  <c r="H27" i="68"/>
  <c r="AH8" i="1"/>
  <c r="M13" i="3"/>
  <c r="G21" i="6"/>
  <c r="M21" i="3"/>
  <c r="M20" i="3"/>
  <c r="M19" i="3"/>
  <c r="M18" i="3"/>
  <c r="M17" i="3"/>
  <c r="M16" i="3"/>
  <c r="M15" i="3"/>
  <c r="M14" i="3"/>
  <c r="F20" i="6"/>
  <c r="I7" i="6"/>
  <c r="AL21" i="3"/>
  <c r="AL20" i="3"/>
  <c r="AL19" i="3"/>
  <c r="AL18" i="3"/>
  <c r="AL17" i="3"/>
  <c r="AL16" i="3"/>
  <c r="AL15" i="3"/>
  <c r="AL14" i="3"/>
  <c r="AL13" i="3"/>
  <c r="F19" i="6"/>
  <c r="AD24" i="3"/>
  <c r="N13" i="68"/>
  <c r="N14" i="68"/>
  <c r="N8" i="68"/>
  <c r="D8" i="12"/>
  <c r="I5" i="33"/>
  <c r="G5" i="33"/>
  <c r="E5" i="33"/>
  <c r="C33" i="21"/>
  <c r="G40" i="39"/>
  <c r="C40" i="39"/>
  <c r="G9" i="39"/>
  <c r="G7" i="39"/>
  <c r="L23" i="1"/>
  <c r="AH5" i="59"/>
  <c r="AG5" i="59"/>
  <c r="AE5" i="59"/>
  <c r="AF5" i="59"/>
  <c r="AD5" i="59"/>
  <c r="Q6" i="59"/>
  <c r="Q5" i="59"/>
  <c r="P6" i="59"/>
  <c r="P5" i="59"/>
  <c r="O6" i="59"/>
  <c r="O5" i="59"/>
  <c r="N6" i="59"/>
  <c r="N5" i="59"/>
  <c r="M19" i="46"/>
  <c r="J50" i="15"/>
  <c r="J51" i="15"/>
  <c r="D8" i="59"/>
  <c r="AH6" i="59"/>
  <c r="AG6" i="59"/>
  <c r="AE6" i="59"/>
  <c r="AF6" i="59"/>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c r="M48" i="44"/>
  <c r="A16" i="55"/>
  <c r="A15" i="55"/>
  <c r="A14" i="55"/>
  <c r="A10" i="55"/>
  <c r="B61" i="63"/>
  <c r="A9" i="55"/>
  <c r="A8" i="55"/>
  <c r="B59" i="63"/>
  <c r="A6" i="54"/>
  <c r="A8" i="54"/>
  <c r="B53" i="63"/>
  <c r="A7" i="54"/>
  <c r="A27" i="51"/>
  <c r="B20" i="63"/>
  <c r="D5" i="46"/>
  <c r="Q9" i="59"/>
  <c r="O9" i="59"/>
  <c r="N10" i="59"/>
  <c r="O10" i="59"/>
  <c r="P10" i="59"/>
  <c r="Q10" i="59"/>
  <c r="N9" i="59"/>
  <c r="P9" i="59"/>
  <c r="K75" i="9"/>
  <c r="K6" i="4"/>
  <c r="O76" i="9"/>
  <c r="L76" i="9"/>
  <c r="B22" i="31"/>
  <c r="E16" i="66"/>
  <c r="F16" i="66"/>
  <c r="E17" i="66"/>
  <c r="F17" i="66"/>
  <c r="E18" i="66"/>
  <c r="F18" i="66"/>
  <c r="E19" i="66"/>
  <c r="F19" i="66"/>
  <c r="E20" i="66"/>
  <c r="F20" i="66"/>
  <c r="E21" i="66"/>
  <c r="F21" i="66"/>
  <c r="E22" i="66"/>
  <c r="F22" i="66"/>
  <c r="E23" i="66"/>
  <c r="F23" i="66"/>
  <c r="B3" i="66"/>
  <c r="B7" i="59"/>
  <c r="B6" i="59"/>
  <c r="B5" i="59"/>
  <c r="E7" i="59"/>
  <c r="E6" i="59"/>
  <c r="E5" i="59"/>
  <c r="F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N1" i="65"/>
  <c r="T7" i="59"/>
  <c r="D7" i="59"/>
  <c r="H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C56" i="10"/>
  <c r="C55" i="10"/>
  <c r="C54" i="10"/>
  <c r="A26" i="51"/>
  <c r="B19" i="63"/>
  <c r="B49" i="63"/>
  <c r="B44" i="63"/>
  <c r="B40" i="63"/>
  <c r="B30" i="63"/>
  <c r="B27" i="63"/>
  <c r="B25" i="63"/>
  <c r="A11" i="51"/>
  <c r="B10" i="63"/>
  <c r="A26" i="64"/>
  <c r="K39" i="9"/>
  <c r="K40" i="9"/>
  <c r="B58" i="63"/>
  <c r="B51" i="63"/>
  <c r="A46" i="9"/>
  <c r="K41" i="9"/>
  <c r="B8" i="63"/>
  <c r="A21" i="55"/>
  <c r="B71" i="63"/>
  <c r="A20" i="55"/>
  <c r="B69" i="63"/>
  <c r="B26" i="63"/>
  <c r="B28" i="63"/>
  <c r="B29" i="63"/>
  <c r="B31" i="63"/>
  <c r="B33" i="63"/>
  <c r="B35" i="63"/>
  <c r="B36" i="63"/>
  <c r="B37" i="63"/>
  <c r="B63" i="63"/>
  <c r="B64" i="63"/>
  <c r="B68" i="63"/>
  <c r="D51" i="10"/>
  <c r="B60" i="63"/>
  <c r="B51" i="10"/>
  <c r="B17" i="63"/>
  <c r="A15" i="51"/>
  <c r="B12" i="63"/>
  <c r="A14" i="51"/>
  <c r="B11" i="63"/>
  <c r="B66" i="63"/>
  <c r="A4" i="55"/>
  <c r="B57" i="63"/>
  <c r="G5" i="54"/>
  <c r="B34" i="63"/>
  <c r="E5" i="54"/>
  <c r="B32" i="63"/>
  <c r="R2" i="54"/>
  <c r="B24" i="63"/>
  <c r="B49" i="50"/>
  <c r="B5" i="63"/>
  <c r="B40" i="50"/>
  <c r="B3" i="63"/>
  <c r="B67" i="63"/>
  <c r="I19" i="46"/>
  <c r="Q11" i="59"/>
  <c r="F11" i="59"/>
  <c r="V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AB21" i="59"/>
  <c r="P21" i="59"/>
  <c r="O21" i="59"/>
  <c r="Y21" i="59"/>
  <c r="N21" i="59"/>
  <c r="Q20" i="59"/>
  <c r="AB20" i="59"/>
  <c r="P20" i="59"/>
  <c r="AA20" i="59"/>
  <c r="O20" i="59"/>
  <c r="C21" i="59"/>
  <c r="N20" i="59"/>
  <c r="B21" i="59"/>
  <c r="B22" i="59"/>
  <c r="B23" i="59"/>
  <c r="S23" i="59"/>
  <c r="D20" i="59"/>
  <c r="Q19" i="59"/>
  <c r="P19" i="59"/>
  <c r="AA19" i="59"/>
  <c r="O19" i="59"/>
  <c r="N19" i="59"/>
  <c r="X19" i="59"/>
  <c r="Q18" i="59"/>
  <c r="P18" i="59"/>
  <c r="AA18" i="59"/>
  <c r="O18" i="59"/>
  <c r="N18" i="59"/>
  <c r="X18" i="59"/>
  <c r="Q17" i="59"/>
  <c r="P17" i="59"/>
  <c r="AA17" i="59"/>
  <c r="O17" i="59"/>
  <c r="N17" i="59"/>
  <c r="X17" i="59"/>
  <c r="Q16" i="59"/>
  <c r="F17" i="59"/>
  <c r="P16" i="59"/>
  <c r="E17" i="59"/>
  <c r="E18" i="59"/>
  <c r="E19" i="59"/>
  <c r="U19" i="59"/>
  <c r="O16" i="59"/>
  <c r="Y16" i="59"/>
  <c r="Z16" i="59"/>
  <c r="N16" i="59"/>
  <c r="X16" i="59"/>
  <c r="D16" i="59"/>
  <c r="Q15" i="59"/>
  <c r="AB15" i="59"/>
  <c r="P15" i="59"/>
  <c r="O15" i="59"/>
  <c r="Y15" i="59"/>
  <c r="Z15" i="59"/>
  <c r="N15" i="59"/>
  <c r="Q14" i="59"/>
  <c r="AB14" i="59"/>
  <c r="P14" i="59"/>
  <c r="O14" i="59"/>
  <c r="Y14" i="59"/>
  <c r="Z14" i="59"/>
  <c r="N14" i="59"/>
  <c r="Q13" i="59"/>
  <c r="AB13" i="59"/>
  <c r="P13" i="59"/>
  <c r="O13" i="59"/>
  <c r="Y13" i="59"/>
  <c r="Z13" i="59"/>
  <c r="N13" i="59"/>
  <c r="Q12" i="59"/>
  <c r="AB12" i="59"/>
  <c r="P12" i="59"/>
  <c r="AA12" i="59"/>
  <c r="O12" i="59"/>
  <c r="C13" i="59"/>
  <c r="C14" i="59"/>
  <c r="N12" i="59"/>
  <c r="B13" i="59"/>
  <c r="B14" i="59"/>
  <c r="B15" i="59"/>
  <c r="S15" i="59"/>
  <c r="D12" i="59"/>
  <c r="X3" i="59"/>
  <c r="X9" i="59"/>
  <c r="X11" i="59"/>
  <c r="AA8" i="59"/>
  <c r="AA10" i="59"/>
  <c r="Y8" i="59"/>
  <c r="Z8" i="59"/>
  <c r="Y9" i="59"/>
  <c r="Z9" i="59"/>
  <c r="Y10" i="59"/>
  <c r="Z10" i="59"/>
  <c r="Y11" i="59"/>
  <c r="Z11" i="59"/>
  <c r="Y3" i="59"/>
  <c r="Z3" i="59"/>
  <c r="AB11" i="59"/>
  <c r="AB8" i="59"/>
  <c r="AB10" i="59"/>
  <c r="E13" i="59"/>
  <c r="E14" i="59"/>
  <c r="E15" i="59"/>
  <c r="U15" i="59"/>
  <c r="B34" i="59"/>
  <c r="B35" i="59"/>
  <c r="S35" i="59"/>
  <c r="E34" i="59"/>
  <c r="E35" i="59"/>
  <c r="U35" i="59"/>
  <c r="S51" i="59"/>
  <c r="Z21" i="59"/>
  <c r="AA22" i="59"/>
  <c r="F18" i="59"/>
  <c r="F19" i="59"/>
  <c r="V19" i="59"/>
  <c r="F26" i="59"/>
  <c r="F27" i="59"/>
  <c r="V27" i="59"/>
  <c r="F38" i="59"/>
  <c r="F39" i="59"/>
  <c r="V39" i="59"/>
  <c r="F42" i="59"/>
  <c r="F43" i="59"/>
  <c r="V43" i="59"/>
  <c r="F46" i="59"/>
  <c r="F47" i="59"/>
  <c r="V47" i="59"/>
  <c r="D13" i="59"/>
  <c r="C22" i="59"/>
  <c r="D21" i="59"/>
  <c r="C30" i="59"/>
  <c r="D30" i="59"/>
  <c r="D29" i="59"/>
  <c r="C34" i="59"/>
  <c r="C35" i="59"/>
  <c r="D33" i="59"/>
  <c r="C38" i="59"/>
  <c r="C39" i="59"/>
  <c r="D37" i="59"/>
  <c r="C42" i="59"/>
  <c r="D42" i="59"/>
  <c r="D41" i="59"/>
  <c r="C46" i="59"/>
  <c r="C47" i="59"/>
  <c r="D45" i="59"/>
  <c r="E49" i="59"/>
  <c r="P48" i="59"/>
  <c r="N50" i="59"/>
  <c r="B49" i="59"/>
  <c r="N48" i="59"/>
  <c r="Q50" i="59"/>
  <c r="T51" i="59"/>
  <c r="O51" i="59"/>
  <c r="D51" i="59"/>
  <c r="C50" i="59"/>
  <c r="P51" i="59"/>
  <c r="U51" i="59"/>
  <c r="Q51" i="59"/>
  <c r="C54" i="59"/>
  <c r="E54" i="59"/>
  <c r="E53" i="59"/>
  <c r="D55" i="59"/>
  <c r="C58" i="59"/>
  <c r="E58" i="59"/>
  <c r="E57" i="59"/>
  <c r="D59" i="59"/>
  <c r="C62" i="59"/>
  <c r="E62" i="59"/>
  <c r="E61" i="59"/>
  <c r="D63" i="59"/>
  <c r="C66" i="59"/>
  <c r="C70" i="59"/>
  <c r="D70" i="59"/>
  <c r="U16" i="4"/>
  <c r="S16" i="4"/>
  <c r="Q16" i="4"/>
  <c r="O16" i="4"/>
  <c r="M16" i="4"/>
  <c r="K16" i="4"/>
  <c r="P49" i="59"/>
  <c r="C69" i="59"/>
  <c r="D69" i="59"/>
  <c r="D62" i="59"/>
  <c r="C61" i="59"/>
  <c r="D61" i="59"/>
  <c r="D54" i="59"/>
  <c r="C53" i="59"/>
  <c r="D53" i="59"/>
  <c r="C49" i="59"/>
  <c r="O49" i="59"/>
  <c r="O50" i="59"/>
  <c r="D50" i="59"/>
  <c r="D66" i="59"/>
  <c r="C65" i="59"/>
  <c r="D65" i="59"/>
  <c r="D58" i="59"/>
  <c r="C57" i="59"/>
  <c r="D57" i="59"/>
  <c r="N49" i="59"/>
  <c r="D46" i="59"/>
  <c r="C43" i="59"/>
  <c r="T43" i="59"/>
  <c r="D38" i="59"/>
  <c r="D34" i="59"/>
  <c r="C23" i="59"/>
  <c r="D22" i="59"/>
  <c r="D43" i="59"/>
  <c r="T23" i="59"/>
  <c r="D23" i="59"/>
  <c r="D49"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21" i="37"/>
  <c r="S21" i="21"/>
  <c r="S31" i="39"/>
  <c r="C31" i="39"/>
  <c r="B74" i="46"/>
  <c r="E66" i="36"/>
  <c r="H18" i="35"/>
  <c r="J18" i="35"/>
  <c r="H21" i="37"/>
  <c r="J21" i="37"/>
  <c r="E84" i="34"/>
  <c r="F84" i="34"/>
  <c r="G84" i="34"/>
  <c r="J21" i="34"/>
  <c r="H21" i="34"/>
  <c r="F21" i="33"/>
  <c r="H21" i="33"/>
  <c r="J21" i="33"/>
  <c r="F83" i="21"/>
  <c r="H21" i="21"/>
  <c r="G83" i="21"/>
  <c r="J21" i="21"/>
  <c r="H27" i="40"/>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A18" i="3"/>
  <c r="BD18" i="3"/>
  <c r="BE18" i="3"/>
  <c r="BF18" i="3"/>
  <c r="BG18" i="3"/>
  <c r="BH18" i="3"/>
  <c r="BI18" i="3"/>
  <c r="BJ18" i="3"/>
  <c r="BK18" i="3"/>
  <c r="BM18" i="3"/>
  <c r="BN18" i="3"/>
  <c r="BN5" i="3"/>
  <c r="BO18" i="3"/>
  <c r="BP18" i="3"/>
  <c r="BR18" i="3"/>
  <c r="BS18" i="3"/>
  <c r="BT18" i="3"/>
  <c r="H19" i="3"/>
  <c r="AC19" i="3"/>
  <c r="G19" i="3"/>
  <c r="BB19" i="3"/>
  <c r="BC19" i="3"/>
  <c r="BD19" i="3"/>
  <c r="BE19" i="3"/>
  <c r="BF19" i="3"/>
  <c r="BG19" i="3"/>
  <c r="BH19" i="3"/>
  <c r="BI19" i="3"/>
  <c r="BJ19" i="3"/>
  <c r="BK19" i="3"/>
  <c r="BM19" i="3"/>
  <c r="BN19" i="3"/>
  <c r="BL19" i="3"/>
  <c r="BO19" i="3"/>
  <c r="BP19" i="3"/>
  <c r="BQ19" i="3"/>
  <c r="BR19" i="3"/>
  <c r="BR5" i="3"/>
  <c r="BS19" i="3"/>
  <c r="BT19" i="3"/>
  <c r="H20" i="3"/>
  <c r="AC20" i="3"/>
  <c r="BB20" i="3"/>
  <c r="BC20" i="3"/>
  <c r="BA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U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AC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AB8" i="33"/>
  <c r="F8" i="33"/>
  <c r="S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c r="BB11" i="3"/>
  <c r="BB10" i="3"/>
  <c r="AD5" i="3"/>
  <c r="AE5" i="3"/>
  <c r="AF5" i="3"/>
  <c r="AG5" i="3"/>
  <c r="AH5" i="3"/>
  <c r="AI5" i="3"/>
  <c r="AJ5" i="3"/>
  <c r="AK5" i="3"/>
  <c r="AM5" i="3"/>
  <c r="AN5" i="3"/>
  <c r="AO5" i="3"/>
  <c r="AP5" i="3"/>
  <c r="AQ5" i="3"/>
  <c r="AR5" i="3"/>
  <c r="AS5" i="3"/>
  <c r="AT5" i="3"/>
  <c r="I5" i="3"/>
  <c r="I4" i="6"/>
  <c r="G3" i="46"/>
  <c r="D101" i="46"/>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W36" i="35"/>
  <c r="S31" i="35"/>
  <c r="W31" i="35"/>
  <c r="F36" i="34"/>
  <c r="S36" i="34"/>
  <c r="W9" i="34"/>
  <c r="S34" i="34"/>
  <c r="W39" i="34"/>
  <c r="H39" i="33"/>
  <c r="AB39" i="33"/>
  <c r="F26" i="33"/>
  <c r="AA26" i="33"/>
  <c r="U9" i="33"/>
  <c r="W38" i="33"/>
  <c r="S40" i="33"/>
  <c r="S33" i="33"/>
  <c r="W33" i="33"/>
  <c r="U38" i="33"/>
  <c r="S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W42"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AZ520" i="3"/>
  <c r="BA516" i="3"/>
  <c r="BA512" i="3"/>
  <c r="BA508" i="3"/>
  <c r="BA502" i="3"/>
  <c r="BA498" i="3"/>
  <c r="BA492" i="3"/>
  <c r="AZ492" i="3"/>
  <c r="BA488" i="3"/>
  <c r="BA484"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A15" i="3"/>
  <c r="AZ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22" i="3"/>
  <c r="H13" i="39"/>
  <c r="AB13" i="39"/>
  <c r="F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H66" i="33"/>
  <c r="F10" i="33"/>
  <c r="AA10" i="33"/>
  <c r="F11" i="33"/>
  <c r="S11" i="33"/>
  <c r="J15" i="33"/>
  <c r="W15" i="33"/>
  <c r="H19" i="33"/>
  <c r="AB19" i="33"/>
  <c r="F32" i="33"/>
  <c r="AA32" i="33"/>
  <c r="J32" i="33"/>
  <c r="AC32" i="33"/>
  <c r="F35" i="33"/>
  <c r="AA35" i="33"/>
  <c r="AB39" i="34"/>
  <c r="F11" i="34"/>
  <c r="S11" i="34"/>
  <c r="E80" i="34"/>
  <c r="F80"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H33" i="36"/>
  <c r="U33" i="36"/>
  <c r="F33" i="36"/>
  <c r="AA33" i="36"/>
  <c r="H27" i="36"/>
  <c r="AB27" i="36"/>
  <c r="AA31" i="36"/>
  <c r="AC25" i="37"/>
  <c r="AC26" i="37"/>
  <c r="W26" i="37"/>
  <c r="AB29" i="37"/>
  <c r="AA30" i="37"/>
  <c r="S30" i="37"/>
  <c r="AC30" i="37"/>
  <c r="AC31" i="37"/>
  <c r="W31" i="37"/>
  <c r="AB14" i="37"/>
  <c r="H17" i="39"/>
  <c r="U17" i="39"/>
  <c r="F21" i="39"/>
  <c r="S21" i="39"/>
  <c r="H21" i="39"/>
  <c r="AB21" i="39"/>
  <c r="J21" i="39"/>
  <c r="W21"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S34" i="21"/>
  <c r="AC36" i="21"/>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AB14" i="40"/>
  <c r="AC14" i="40"/>
  <c r="W35" i="40"/>
  <c r="S33" i="40"/>
  <c r="AB32" i="40"/>
  <c r="AC47" i="39"/>
  <c r="U37" i="34"/>
  <c r="AB37" i="34"/>
  <c r="AC41" i="40"/>
  <c r="W41" i="40"/>
  <c r="U41" i="40"/>
  <c r="J23" i="40"/>
  <c r="AC23" i="40"/>
  <c r="F23" i="40"/>
  <c r="S23" i="40"/>
  <c r="AC15" i="40"/>
  <c r="W15" i="40"/>
  <c r="AB16" i="39"/>
  <c r="W14" i="39"/>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AA14" i="35"/>
  <c r="S14" i="35"/>
  <c r="G99" i="37"/>
  <c r="F33" i="37"/>
  <c r="AB19" i="39"/>
  <c r="U19" i="39"/>
  <c r="U46" i="34"/>
  <c r="AC30" i="34"/>
  <c r="AA14" i="34"/>
  <c r="W12" i="34"/>
  <c r="U29" i="33"/>
  <c r="AC13" i="33"/>
  <c r="U17" i="34"/>
  <c r="AA11" i="34"/>
  <c r="W32" i="33"/>
  <c r="H15" i="33"/>
  <c r="U15" i="33"/>
  <c r="AA40" i="21"/>
  <c r="U17"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S44" i="21"/>
  <c r="W39" i="21"/>
  <c r="AC34" i="21"/>
  <c r="W32" i="21"/>
  <c r="U35" i="21"/>
  <c r="W43" i="21"/>
  <c r="AA37" i="21"/>
  <c r="AB37" i="21"/>
  <c r="AB32" i="21"/>
  <c r="W28" i="21"/>
  <c r="AC46" i="21"/>
  <c r="AC26" i="21"/>
  <c r="F85" i="21"/>
  <c r="G85" i="21"/>
  <c r="J23" i="21"/>
  <c r="W23" i="21"/>
  <c r="F23" i="21"/>
  <c r="H23" i="21"/>
  <c r="AA17" i="21"/>
  <c r="W17" i="21"/>
  <c r="F15" i="21"/>
  <c r="S15" i="21"/>
  <c r="F77" i="21"/>
  <c r="G77" i="21"/>
  <c r="J15" i="21"/>
  <c r="H15"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S29" i="39"/>
  <c r="AC21" i="39"/>
  <c r="S14" i="39"/>
  <c r="AB15" i="39"/>
  <c r="U11" i="39"/>
  <c r="U41" i="39"/>
  <c r="AB38" i="39"/>
  <c r="AB31" i="39"/>
  <c r="S38" i="39"/>
  <c r="S22" i="31"/>
  <c r="M20" i="15"/>
  <c r="D96" i="9"/>
  <c r="A18" i="64"/>
  <c r="B74" i="63"/>
  <c r="C53" i="10"/>
  <c r="A25" i="64"/>
  <c r="A18" i="51"/>
  <c r="B14" i="63"/>
  <c r="BA16" i="3"/>
  <c r="AZ16" i="3"/>
  <c r="BA17" i="3"/>
  <c r="AZ17" i="3"/>
  <c r="F3" i="35"/>
  <c r="K1" i="43"/>
  <c r="K1" i="12"/>
  <c r="G1" i="44"/>
  <c r="BK5" i="3"/>
  <c r="BP5" i="3"/>
  <c r="BL18" i="3"/>
  <c r="BD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B6" i="63"/>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E46" i="36"/>
  <c r="F46" i="36"/>
  <c r="G46" i="36"/>
  <c r="C59" i="34"/>
  <c r="D59" i="34"/>
  <c r="E59" i="34"/>
  <c r="F59" i="34"/>
  <c r="G59" i="34"/>
  <c r="H59" i="34"/>
  <c r="C48" i="35"/>
  <c r="D48" i="35"/>
  <c r="C52" i="37"/>
  <c r="D52" i="37"/>
  <c r="E52" i="37"/>
  <c r="F7" i="33"/>
  <c r="AA7" i="33"/>
  <c r="J7" i="33"/>
  <c r="W7" i="33"/>
  <c r="C67" i="40"/>
  <c r="D65" i="40"/>
  <c r="P24" i="46"/>
  <c r="B68" i="40"/>
  <c r="P25" i="46"/>
  <c r="B73" i="39"/>
  <c r="P23" i="46"/>
  <c r="P21" i="46"/>
  <c r="P22" i="46"/>
  <c r="H7" i="33"/>
  <c r="U7" i="33"/>
  <c r="C72" i="39"/>
  <c r="D70" i="39"/>
  <c r="O19" i="46"/>
  <c r="H77" i="46"/>
  <c r="H69"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c r="S45" i="39"/>
  <c r="W41" i="39"/>
  <c r="AB43" i="39"/>
  <c r="AC46" i="39"/>
  <c r="W42" i="39"/>
  <c r="W36"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E5" i="6"/>
  <c r="D21" i="12"/>
  <c r="C21" i="12"/>
  <c r="H70" i="46"/>
  <c r="H72" i="46"/>
  <c r="A9" i="64"/>
  <c r="A9" i="51"/>
  <c r="B9" i="63"/>
  <c r="A3" i="55"/>
  <c r="B56" i="63"/>
  <c r="F52" i="37"/>
  <c r="G52" i="37"/>
  <c r="H52" i="37"/>
  <c r="I52" i="37"/>
  <c r="J52" i="37"/>
  <c r="E48" i="35"/>
  <c r="F48" i="35"/>
  <c r="G48" i="35"/>
  <c r="H48" i="35"/>
  <c r="I48" i="35"/>
  <c r="J48" i="35"/>
  <c r="K48" i="35"/>
  <c r="L48" i="35"/>
  <c r="M48" i="35"/>
  <c r="N48" i="35"/>
  <c r="O48" i="35"/>
  <c r="D72" i="39"/>
  <c r="E70" i="39"/>
  <c r="E72" i="39"/>
  <c r="D67" i="40"/>
  <c r="E65" i="40"/>
  <c r="E67" i="40"/>
  <c r="S7" i="33"/>
  <c r="E4" i="4"/>
  <c r="B21" i="55"/>
  <c r="B72" i="63"/>
  <c r="G66" i="36"/>
  <c r="J18" i="36"/>
  <c r="AE8" i="1"/>
  <c r="AE7" i="1"/>
  <c r="AE6" i="1"/>
  <c r="W18" i="36"/>
  <c r="AC18" i="36"/>
  <c r="AG6" i="1"/>
  <c r="L20" i="6"/>
  <c r="F7" i="21"/>
  <c r="S7" i="21"/>
  <c r="J7" i="21"/>
  <c r="AC7" i="21"/>
  <c r="H7" i="21"/>
  <c r="U7" i="21"/>
  <c r="F65" i="40"/>
  <c r="G65" i="40"/>
  <c r="H65" i="40"/>
  <c r="H67" i="40"/>
  <c r="F70" i="39"/>
  <c r="G70" i="39"/>
  <c r="H70" i="39"/>
  <c r="H72" i="39"/>
  <c r="S9" i="1"/>
  <c r="F67" i="40"/>
  <c r="R9" i="1"/>
  <c r="I70" i="39"/>
  <c r="J70" i="39"/>
  <c r="J72" i="39"/>
  <c r="I72" i="39"/>
  <c r="C45" i="9"/>
  <c r="H14" i="66"/>
  <c r="B7" i="66"/>
  <c r="K31" i="9"/>
  <c r="K32" i="9"/>
  <c r="N76" i="9"/>
  <c r="C46" i="9"/>
  <c r="F33" i="44"/>
  <c r="F31" i="15"/>
  <c r="F10" i="67"/>
  <c r="F40" i="44"/>
  <c r="F16" i="15"/>
  <c r="F11" i="67"/>
  <c r="J15" i="15"/>
  <c r="F9" i="15"/>
  <c r="E8" i="67"/>
  <c r="M21" i="15"/>
  <c r="L48" i="15"/>
  <c r="I7" i="65"/>
  <c r="C19" i="44"/>
  <c r="M29" i="44"/>
  <c r="L48" i="44"/>
  <c r="N7" i="65"/>
  <c r="F14" i="67"/>
  <c r="M23" i="15"/>
  <c r="J36" i="15"/>
  <c r="E11" i="67"/>
  <c r="F37" i="15"/>
  <c r="F36" i="15"/>
  <c r="E12" i="67"/>
  <c r="F39" i="44"/>
  <c r="B14" i="67"/>
  <c r="F7" i="15"/>
  <c r="M24" i="15"/>
  <c r="J4" i="65"/>
  <c r="F8" i="67"/>
  <c r="M22" i="15"/>
  <c r="J7" i="65"/>
  <c r="F12" i="67"/>
  <c r="M8" i="15"/>
  <c r="M10" i="44"/>
  <c r="F13" i="67"/>
  <c r="B11" i="67"/>
  <c r="F43" i="44"/>
  <c r="F8" i="15"/>
  <c r="B12" i="67"/>
  <c r="M9" i="15"/>
  <c r="F15" i="44"/>
  <c r="I4" i="65"/>
  <c r="F13" i="15"/>
  <c r="F6" i="15"/>
  <c r="L49" i="44"/>
  <c r="E9" i="67"/>
  <c r="F46" i="44"/>
  <c r="M27" i="15"/>
  <c r="E13" i="67"/>
  <c r="F43" i="15"/>
  <c r="M28" i="44"/>
  <c r="E14" i="67"/>
  <c r="F28" i="44"/>
  <c r="L47" i="15"/>
  <c r="B8" i="67"/>
  <c r="M31" i="44"/>
  <c r="M25" i="44"/>
  <c r="I6" i="65"/>
  <c r="N3" i="65"/>
  <c r="F41" i="15"/>
  <c r="M26" i="44"/>
  <c r="M28" i="15"/>
  <c r="B13" i="67"/>
  <c r="M29" i="15"/>
  <c r="M26" i="15"/>
  <c r="F9" i="67"/>
  <c r="M24" i="44"/>
  <c r="F38" i="15"/>
  <c r="B10" i="67"/>
  <c r="F38" i="44"/>
  <c r="I3" i="65"/>
  <c r="F37" i="44"/>
  <c r="F42" i="15"/>
  <c r="M6" i="15"/>
  <c r="F35" i="15"/>
  <c r="F10" i="44"/>
  <c r="F18" i="44"/>
  <c r="B9" i="67"/>
  <c r="F45" i="44"/>
  <c r="F8" i="44"/>
  <c r="M8" i="44"/>
  <c r="E10" i="67"/>
  <c r="M23" i="44"/>
  <c r="F11" i="44"/>
  <c r="J6" i="65"/>
  <c r="F9" i="44"/>
  <c r="F26" i="15"/>
  <c r="I5" i="65"/>
  <c r="M30" i="44"/>
  <c r="F40" i="15"/>
  <c r="J17" i="44"/>
  <c r="M11" i="44"/>
  <c r="S10" i="21"/>
  <c r="W10" i="21"/>
  <c r="AC31" i="39"/>
  <c r="W29" i="39"/>
  <c r="AB29" i="39"/>
  <c r="S27" i="39"/>
  <c r="U27" i="39"/>
  <c r="W27" i="39"/>
  <c r="W25" i="39"/>
  <c r="AB25" i="39"/>
  <c r="S25" i="39"/>
  <c r="W23" i="39"/>
  <c r="U23" i="39"/>
  <c r="S23" i="39"/>
  <c r="U21" i="39"/>
  <c r="F91" i="39"/>
  <c r="G91" i="39"/>
  <c r="F17" i="39"/>
  <c r="AA17" i="39"/>
  <c r="J17" i="39"/>
  <c r="W17" i="39"/>
  <c r="AB17" i="39"/>
  <c r="AC17" i="39"/>
  <c r="S17" i="39"/>
  <c r="F107" i="39"/>
  <c r="G107" i="39"/>
  <c r="H107" i="39"/>
  <c r="I107" i="39"/>
  <c r="J107" i="39"/>
  <c r="K107" i="39"/>
  <c r="L107" i="39"/>
  <c r="M107" i="39"/>
  <c r="H33" i="39"/>
  <c r="U33" i="39"/>
  <c r="F33" i="39"/>
  <c r="AA33" i="39"/>
  <c r="J33" i="39"/>
  <c r="W33" i="39"/>
  <c r="F109" i="39"/>
  <c r="G109" i="39"/>
  <c r="H109" i="39"/>
  <c r="I109" i="39"/>
  <c r="J109" i="39"/>
  <c r="K109" i="39"/>
  <c r="L109" i="39"/>
  <c r="M109" i="39"/>
  <c r="J34" i="39"/>
  <c r="AC34" i="39"/>
  <c r="S34" i="39"/>
  <c r="W34" i="39"/>
  <c r="C18" i="9"/>
  <c r="G28" i="6"/>
  <c r="G29" i="6"/>
  <c r="G21" i="3"/>
  <c r="BL13" i="3"/>
  <c r="H5" i="3"/>
  <c r="BO5" i="3"/>
  <c r="F29" i="6"/>
  <c r="BL24" i="3"/>
  <c r="G24" i="3"/>
  <c r="AZ19" i="3"/>
  <c r="AC33" i="21"/>
  <c r="M6" i="1"/>
  <c r="L22" i="1"/>
  <c r="AZ18" i="3"/>
  <c r="AZ20" i="3"/>
  <c r="BC5" i="3"/>
  <c r="E8" i="6"/>
  <c r="F27" i="6"/>
  <c r="BQ5" i="3"/>
  <c r="F28" i="6"/>
  <c r="E28" i="6"/>
  <c r="BL21" i="3"/>
  <c r="AZ21" i="3"/>
  <c r="BA22" i="3"/>
  <c r="AZ22" i="3"/>
  <c r="BA23" i="3"/>
  <c r="AZ23" i="3"/>
  <c r="BA24" i="3"/>
  <c r="B41" i="1"/>
  <c r="C92" i="9"/>
  <c r="AA29" i="35"/>
  <c r="U33" i="33"/>
  <c r="AA36" i="33"/>
  <c r="AC36" i="33"/>
  <c r="AA11" i="33"/>
  <c r="R48" i="33"/>
  <c r="AC8" i="33"/>
  <c r="AC7" i="33"/>
  <c r="AB7" i="33"/>
  <c r="T48" i="33"/>
  <c r="G48" i="33"/>
  <c r="S8" i="35"/>
  <c r="U40" i="39"/>
  <c r="AB33" i="39"/>
  <c r="S33" i="39"/>
  <c r="AC33" i="39"/>
  <c r="B5" i="52"/>
  <c r="C16" i="46"/>
  <c r="C5" i="46"/>
  <c r="S42" i="21"/>
  <c r="U42" i="21"/>
  <c r="E4" i="52"/>
  <c r="B14" i="52"/>
  <c r="AC11" i="21"/>
  <c r="V48" i="21"/>
  <c r="I48" i="21"/>
  <c r="B11" i="52"/>
  <c r="B22" i="52"/>
  <c r="E7" i="52"/>
  <c r="W8" i="21"/>
  <c r="E16" i="52"/>
  <c r="E8" i="52"/>
  <c r="B13" i="52"/>
  <c r="E21" i="52"/>
  <c r="E6" i="52"/>
  <c r="W7" i="21"/>
  <c r="AB7" i="21"/>
  <c r="T48" i="21"/>
  <c r="G48" i="21"/>
  <c r="J26" i="35"/>
  <c r="F26" i="35"/>
  <c r="H26" i="35"/>
  <c r="E5" i="52"/>
  <c r="B6" i="52"/>
  <c r="B16" i="52"/>
  <c r="B23" i="52"/>
  <c r="E10" i="52"/>
  <c r="E9" i="52"/>
  <c r="C4" i="4"/>
  <c r="B20" i="55"/>
  <c r="B70" i="63"/>
  <c r="B8" i="52"/>
  <c r="B4" i="52"/>
  <c r="B9" i="52"/>
  <c r="B10" i="52"/>
  <c r="B7" i="52"/>
  <c r="E11" i="52"/>
  <c r="Q16" i="1"/>
  <c r="H16" i="1"/>
  <c r="I101" i="46"/>
  <c r="I109" i="46"/>
  <c r="G14" i="3"/>
  <c r="E14" i="6"/>
  <c r="E15" i="6"/>
  <c r="E11" i="6"/>
  <c r="E10" i="6"/>
  <c r="E13" i="6"/>
  <c r="G30" i="6"/>
  <c r="G31" i="6"/>
  <c r="AZ13" i="3"/>
  <c r="BL5" i="3"/>
  <c r="D106" i="46"/>
  <c r="D104" i="46"/>
  <c r="D103" i="46"/>
  <c r="D109" i="46"/>
  <c r="D102" i="46"/>
  <c r="G22" i="46"/>
  <c r="H22" i="46"/>
  <c r="AE11" i="46"/>
  <c r="AE13" i="46"/>
  <c r="AJ11" i="46"/>
  <c r="AJ13" i="46"/>
  <c r="AD11" i="46"/>
  <c r="Y11" i="46"/>
  <c r="Y13" i="46"/>
  <c r="AC11" i="46"/>
  <c r="AC13" i="46"/>
  <c r="F101" i="46"/>
  <c r="N101" i="46"/>
  <c r="K101" i="46"/>
  <c r="Z7" i="46"/>
  <c r="E101" i="46"/>
  <c r="F22" i="46"/>
  <c r="L101" i="46"/>
  <c r="N104" i="45"/>
  <c r="B113" i="46"/>
  <c r="J101" i="46"/>
  <c r="G101" i="46"/>
  <c r="C101" i="46"/>
  <c r="J22" i="46"/>
  <c r="AB11" i="46"/>
  <c r="AB13" i="46"/>
  <c r="AF11" i="46"/>
  <c r="AF13" i="46"/>
  <c r="AI11" i="46"/>
  <c r="AI13" i="46"/>
  <c r="AA11" i="46"/>
  <c r="AA13" i="46"/>
  <c r="C23" i="46"/>
  <c r="C21" i="46"/>
  <c r="AH11" i="46"/>
  <c r="Z11" i="46"/>
  <c r="Z13" i="46"/>
  <c r="AG11" i="46"/>
  <c r="AG13" i="46"/>
  <c r="E22" i="46"/>
  <c r="H101" i="46"/>
  <c r="H107" i="46"/>
  <c r="M101" i="46"/>
  <c r="M106" i="46"/>
  <c r="A2" i="55"/>
  <c r="B55" i="63"/>
  <c r="L16" i="4"/>
  <c r="K17" i="4"/>
  <c r="A22" i="51"/>
  <c r="B16" i="63"/>
  <c r="N16" i="4"/>
  <c r="AP16" i="1"/>
  <c r="F22" i="11"/>
  <c r="G6" i="1"/>
  <c r="G16" i="1"/>
  <c r="H12" i="39"/>
  <c r="A25" i="51"/>
  <c r="B18" i="63"/>
  <c r="O40" i="9"/>
  <c r="R7" i="54"/>
  <c r="B52" i="63"/>
  <c r="C15" i="43"/>
  <c r="C25" i="12"/>
  <c r="K70" i="39"/>
  <c r="L70" i="39"/>
  <c r="I65" i="40"/>
  <c r="G72" i="39"/>
  <c r="AA7" i="21"/>
  <c r="R48" i="21"/>
  <c r="E48" i="33"/>
  <c r="F62" i="15"/>
  <c r="C61" i="15"/>
  <c r="C34" i="15"/>
  <c r="F68" i="15"/>
  <c r="C36" i="44"/>
  <c r="F49" i="15"/>
  <c r="M7" i="15"/>
  <c r="J6" i="15"/>
  <c r="C29" i="44"/>
  <c r="J22" i="44"/>
  <c r="J20" i="15"/>
  <c r="Q73" i="44"/>
  <c r="F70" i="15"/>
  <c r="F64" i="15"/>
  <c r="M9" i="44"/>
  <c r="J8" i="44"/>
  <c r="F67" i="15"/>
  <c r="C6" i="15"/>
  <c r="L60" i="44"/>
  <c r="L59" i="44"/>
  <c r="C27" i="15"/>
  <c r="I54" i="15"/>
  <c r="J57" i="15"/>
  <c r="J55" i="15"/>
  <c r="J58" i="15"/>
  <c r="Q51" i="15"/>
  <c r="L56" i="15"/>
  <c r="F65" i="15"/>
  <c r="F50" i="15"/>
  <c r="C48" i="15"/>
  <c r="L58" i="15"/>
  <c r="L59" i="15"/>
  <c r="C8" i="44"/>
  <c r="F63" i="15"/>
  <c r="Q72" i="15"/>
  <c r="J58" i="44"/>
  <c r="J56" i="44"/>
  <c r="J59" i="44"/>
  <c r="Q52" i="44"/>
  <c r="I55" i="44"/>
  <c r="J60" i="44"/>
  <c r="L57" i="44"/>
  <c r="J61" i="44"/>
  <c r="Q50" i="44"/>
  <c r="E20" i="46"/>
  <c r="I59" i="34"/>
  <c r="J59" i="34"/>
  <c r="K59" i="34"/>
  <c r="L59" i="34"/>
  <c r="M59" i="34"/>
  <c r="N59" i="34"/>
  <c r="O59" i="34"/>
  <c r="H7" i="34"/>
  <c r="G52" i="21"/>
  <c r="H52" i="21"/>
  <c r="H46" i="36"/>
  <c r="I46" i="36"/>
  <c r="J46" i="36"/>
  <c r="K46" i="36"/>
  <c r="L46" i="36"/>
  <c r="M46" i="36"/>
  <c r="N46" i="36"/>
  <c r="O46" i="36"/>
  <c r="H7" i="36"/>
  <c r="J7" i="36"/>
  <c r="K52" i="37"/>
  <c r="L52" i="37"/>
  <c r="M52" i="37"/>
  <c r="N52" i="37"/>
  <c r="O52" i="37"/>
  <c r="K33" i="9"/>
  <c r="O41" i="9"/>
  <c r="R8" i="54"/>
  <c r="B54" i="63"/>
  <c r="I14" i="66"/>
  <c r="B8" i="66"/>
  <c r="K72" i="39"/>
  <c r="G67" i="40"/>
  <c r="F72" i="39"/>
  <c r="H7" i="35"/>
  <c r="J7" i="35"/>
  <c r="J7" i="34"/>
  <c r="O6" i="1"/>
  <c r="P6" i="1"/>
  <c r="C15" i="12"/>
  <c r="F7" i="36"/>
  <c r="O7" i="1"/>
  <c r="P7" i="1"/>
  <c r="O9" i="1"/>
  <c r="P9" i="1"/>
  <c r="O11" i="1"/>
  <c r="P11" i="1"/>
  <c r="F18" i="11"/>
  <c r="F33" i="12"/>
  <c r="C34" i="12"/>
  <c r="D33" i="12"/>
  <c r="F24" i="43"/>
  <c r="C26" i="43"/>
  <c r="D24" i="43"/>
  <c r="G52" i="33"/>
  <c r="H52" i="33"/>
  <c r="O10" i="1"/>
  <c r="P10" i="1"/>
  <c r="D12" i="11"/>
  <c r="C12" i="11"/>
  <c r="D107" i="46"/>
  <c r="D105" i="46"/>
  <c r="I106" i="46"/>
  <c r="I104" i="46"/>
  <c r="J7" i="37"/>
  <c r="F7" i="35"/>
  <c r="F7" i="34"/>
  <c r="H74" i="46"/>
  <c r="H73" i="46"/>
  <c r="H76" i="46"/>
  <c r="S47" i="39"/>
  <c r="W40" i="40"/>
  <c r="H47" i="46"/>
  <c r="AZ558" i="3"/>
  <c r="U27" i="33"/>
  <c r="AB27" i="33"/>
  <c r="AC24" i="36"/>
  <c r="W24" i="36"/>
  <c r="AA12" i="21"/>
  <c r="S12" i="21"/>
  <c r="AC24" i="35"/>
  <c r="W24" i="35"/>
  <c r="AA36" i="37"/>
  <c r="S10" i="35"/>
  <c r="S27" i="37"/>
  <c r="AC41" i="34"/>
  <c r="U28" i="21"/>
  <c r="S45" i="21"/>
  <c r="AA27" i="33"/>
  <c r="W31" i="34"/>
  <c r="AB14" i="21"/>
  <c r="U46" i="21"/>
  <c r="AB13" i="21"/>
  <c r="AB40" i="37"/>
  <c r="W46" i="33"/>
  <c r="W35" i="35"/>
  <c r="S22" i="35"/>
  <c r="U9" i="21"/>
  <c r="G570" i="3"/>
  <c r="F34" i="35"/>
  <c r="H34" i="35"/>
  <c r="I1" i="65"/>
  <c r="AZ472" i="3"/>
  <c r="AZ389" i="3"/>
  <c r="AZ400" i="3"/>
  <c r="AZ404" i="3"/>
  <c r="AZ416" i="3"/>
  <c r="AZ421" i="3"/>
  <c r="AZ435" i="3"/>
  <c r="AZ440" i="3"/>
  <c r="AZ453" i="3"/>
  <c r="AZ460" i="3"/>
  <c r="AZ464" i="3"/>
  <c r="AZ480" i="3"/>
  <c r="AZ350" i="3"/>
  <c r="AZ208" i="3"/>
  <c r="AZ211" i="3"/>
  <c r="AZ224" i="3"/>
  <c r="AZ227" i="3"/>
  <c r="AZ240" i="3"/>
  <c r="AZ243" i="3"/>
  <c r="AZ256" i="3"/>
  <c r="AZ259" i="3"/>
  <c r="AZ275" i="3"/>
  <c r="AZ279" i="3"/>
  <c r="AZ291" i="3"/>
  <c r="AZ294" i="3"/>
  <c r="AZ113" i="3"/>
  <c r="AZ116" i="3"/>
  <c r="AZ129" i="3"/>
  <c r="AZ132" i="3"/>
  <c r="AZ145" i="3"/>
  <c r="AZ148" i="3"/>
  <c r="AZ25" i="3"/>
  <c r="AZ30" i="3"/>
  <c r="A30" i="64"/>
  <c r="A30" i="51"/>
  <c r="B22" i="63"/>
  <c r="AZ54" i="3"/>
  <c r="AZ64" i="3"/>
  <c r="AZ69" i="3"/>
  <c r="AZ80" i="3"/>
  <c r="AZ89" i="3"/>
  <c r="AZ100" i="3"/>
  <c r="AZ105" i="3"/>
  <c r="AZ45" i="3"/>
  <c r="AZ49" i="3"/>
  <c r="D1" i="57"/>
  <c r="E10" i="57"/>
  <c r="T47" i="59"/>
  <c r="D47" i="59"/>
  <c r="T39" i="59"/>
  <c r="D39" i="59"/>
  <c r="T35" i="59"/>
  <c r="D35" i="59"/>
  <c r="C15" i="59"/>
  <c r="D14" i="59"/>
  <c r="J53" i="15"/>
  <c r="C26" i="59"/>
  <c r="D25" i="59"/>
  <c r="B54" i="46"/>
  <c r="C27" i="40"/>
  <c r="S27" i="40"/>
  <c r="S21" i="34"/>
  <c r="S18" i="35"/>
  <c r="B11" i="59"/>
  <c r="X6" i="59"/>
  <c r="X7" i="59"/>
  <c r="AA7" i="59"/>
  <c r="E11" i="59"/>
  <c r="A28" i="51"/>
  <c r="A28" i="64"/>
  <c r="D100" i="46"/>
  <c r="D23" i="15"/>
  <c r="O48" i="59"/>
  <c r="AB9" i="59"/>
  <c r="AB3" i="59"/>
  <c r="AA11" i="59"/>
  <c r="AA9" i="59"/>
  <c r="AA3" i="59"/>
  <c r="X10" i="59"/>
  <c r="X8" i="59"/>
  <c r="X12" i="59"/>
  <c r="Y12" i="59"/>
  <c r="Z12" i="59"/>
  <c r="F13" i="59"/>
  <c r="F14" i="59"/>
  <c r="F15" i="59"/>
  <c r="V15" i="59"/>
  <c r="X13" i="59"/>
  <c r="AA13" i="59"/>
  <c r="X14" i="59"/>
  <c r="AA14" i="59"/>
  <c r="X15" i="59"/>
  <c r="AA15" i="59"/>
  <c r="B17" i="59"/>
  <c r="B18" i="59"/>
  <c r="B19" i="59"/>
  <c r="S19" i="59"/>
  <c r="C17" i="59"/>
  <c r="AA16" i="59"/>
  <c r="AB16" i="59"/>
  <c r="Y17" i="59"/>
  <c r="Z17" i="59"/>
  <c r="AB17" i="59"/>
  <c r="Y18" i="59"/>
  <c r="Z18" i="59"/>
  <c r="AB18" i="59"/>
  <c r="Y19" i="59"/>
  <c r="Z19" i="59"/>
  <c r="AB19" i="59"/>
  <c r="X20" i="59"/>
  <c r="Y20" i="59"/>
  <c r="Z20" i="59"/>
  <c r="E21" i="59"/>
  <c r="E22" i="59"/>
  <c r="E23" i="59"/>
  <c r="U23" i="59"/>
  <c r="F21" i="59"/>
  <c r="F22" i="59"/>
  <c r="F23" i="59"/>
  <c r="V23" i="59"/>
  <c r="X21" i="59"/>
  <c r="AA21" i="59"/>
  <c r="Q49" i="59"/>
  <c r="Q48" i="59"/>
  <c r="D11" i="59"/>
  <c r="T11" i="59"/>
  <c r="C10" i="59"/>
  <c r="AD12" i="46"/>
  <c r="AH12" i="46"/>
  <c r="C5" i="59"/>
  <c r="D5" i="59"/>
  <c r="D6" i="59"/>
  <c r="F6" i="59"/>
  <c r="F5" i="59"/>
  <c r="V7" i="59"/>
  <c r="X5" i="59"/>
  <c r="AA6" i="59"/>
  <c r="F10" i="59"/>
  <c r="F9" i="59"/>
  <c r="J54" i="44"/>
  <c r="Y6" i="59"/>
  <c r="Z6" i="59"/>
  <c r="AB6" i="59"/>
  <c r="AA5" i="59"/>
  <c r="Y5" i="59"/>
  <c r="Z5" i="59"/>
  <c r="AB5" i="59"/>
  <c r="K76" i="9"/>
  <c r="K77" i="9"/>
  <c r="K79" i="9"/>
  <c r="K81" i="9"/>
  <c r="Y7" i="59"/>
  <c r="Z7" i="59"/>
  <c r="AB7" i="59"/>
  <c r="F58" i="15"/>
  <c r="M19" i="44"/>
  <c r="M17" i="15"/>
  <c r="N4" i="65"/>
  <c r="C16" i="15"/>
  <c r="E2" i="65"/>
  <c r="N6" i="65"/>
  <c r="C18" i="44"/>
  <c r="J3" i="65"/>
  <c r="C17" i="15"/>
  <c r="J5" i="65"/>
  <c r="N5" i="65"/>
  <c r="M43" i="9"/>
  <c r="D18" i="9"/>
  <c r="M44" i="9"/>
  <c r="AH13" i="46"/>
  <c r="F12" i="39"/>
  <c r="S12" i="39"/>
  <c r="E58" i="39"/>
  <c r="E29" i="6"/>
  <c r="E30" i="6"/>
  <c r="F30" i="6"/>
  <c r="AZ24" i="3"/>
  <c r="F31" i="6"/>
  <c r="E12" i="6"/>
  <c r="E16" i="6"/>
  <c r="J12" i="39"/>
  <c r="W12" i="39"/>
  <c r="E53" i="40"/>
  <c r="I102" i="46"/>
  <c r="K15" i="1"/>
  <c r="L19" i="6"/>
  <c r="L27" i="6"/>
  <c r="BA5" i="3"/>
  <c r="E27" i="6"/>
  <c r="F27" i="43"/>
  <c r="C27" i="43"/>
  <c r="F71" i="9"/>
  <c r="F29" i="12"/>
  <c r="D86" i="9"/>
  <c r="F31" i="43"/>
  <c r="C31" i="43"/>
  <c r="F28" i="15"/>
  <c r="C28" i="15"/>
  <c r="F34" i="44"/>
  <c r="F72" i="9"/>
  <c r="F32" i="15"/>
  <c r="F59" i="15"/>
  <c r="F70" i="9"/>
  <c r="M20" i="44"/>
  <c r="F30" i="44"/>
  <c r="C30" i="44"/>
  <c r="M18" i="15"/>
  <c r="F66" i="9"/>
  <c r="P72" i="9"/>
  <c r="V48" i="33"/>
  <c r="I48" i="33"/>
  <c r="I53" i="33"/>
  <c r="J53" i="33"/>
  <c r="I52" i="21"/>
  <c r="J52" i="21"/>
  <c r="G53" i="21"/>
  <c r="H53" i="21"/>
  <c r="AA26" i="35"/>
  <c r="S26" i="35"/>
  <c r="U26" i="35"/>
  <c r="AB26" i="35"/>
  <c r="W26" i="35"/>
  <c r="AC26" i="35"/>
  <c r="AD13" i="46"/>
  <c r="I103" i="46"/>
  <c r="I107" i="46"/>
  <c r="I105" i="46"/>
  <c r="D22" i="46"/>
  <c r="M109" i="46"/>
  <c r="M102" i="46"/>
  <c r="K14" i="1"/>
  <c r="E60" i="40"/>
  <c r="E65" i="39"/>
  <c r="E58" i="40"/>
  <c r="E63" i="39"/>
  <c r="E61" i="40"/>
  <c r="E66" i="39"/>
  <c r="E67" i="39"/>
  <c r="E62" i="40"/>
  <c r="E64" i="39"/>
  <c r="N103" i="46"/>
  <c r="N104" i="46"/>
  <c r="N106" i="46"/>
  <c r="N109" i="46"/>
  <c r="N102" i="46"/>
  <c r="N105" i="46"/>
  <c r="N107" i="46"/>
  <c r="H102" i="46"/>
  <c r="H104" i="46"/>
  <c r="H106" i="46"/>
  <c r="H109" i="46"/>
  <c r="H105" i="46"/>
  <c r="C104" i="46"/>
  <c r="C107" i="46"/>
  <c r="C109" i="46"/>
  <c r="C103" i="46"/>
  <c r="C102" i="46"/>
  <c r="C106" i="46"/>
  <c r="C105" i="46"/>
  <c r="J107" i="46"/>
  <c r="J106" i="46"/>
  <c r="J105" i="46"/>
  <c r="J109" i="46"/>
  <c r="J102" i="46"/>
  <c r="J104" i="46"/>
  <c r="J103" i="46"/>
  <c r="H103" i="46"/>
  <c r="M107" i="46"/>
  <c r="M103" i="46"/>
  <c r="M105" i="46"/>
  <c r="M104" i="46"/>
  <c r="G107" i="46"/>
  <c r="G109" i="46"/>
  <c r="G105" i="46"/>
  <c r="G104" i="46"/>
  <c r="G102" i="46"/>
  <c r="G103" i="46"/>
  <c r="G106" i="46"/>
  <c r="I115" i="46"/>
  <c r="J115" i="46"/>
  <c r="K115" i="46"/>
  <c r="L115" i="46"/>
  <c r="M115" i="46"/>
  <c r="B117" i="46"/>
  <c r="C117" i="46"/>
  <c r="D115" i="46"/>
  <c r="E115" i="46"/>
  <c r="F115" i="46"/>
  <c r="G115" i="46"/>
  <c r="H115" i="46"/>
  <c r="I117" i="46"/>
  <c r="J117" i="46"/>
  <c r="K117" i="46"/>
  <c r="L117" i="46"/>
  <c r="M117" i="46"/>
  <c r="B116" i="46"/>
  <c r="C116" i="46"/>
  <c r="D117" i="46"/>
  <c r="E117" i="46"/>
  <c r="F117" i="46"/>
  <c r="G117" i="46"/>
  <c r="H117" i="46"/>
  <c r="B118" i="46"/>
  <c r="C118" i="46"/>
  <c r="D118" i="46"/>
  <c r="E118" i="46"/>
  <c r="F118" i="46"/>
  <c r="B115" i="46"/>
  <c r="I116" i="46"/>
  <c r="J116" i="46"/>
  <c r="K116" i="46"/>
  <c r="L116" i="46"/>
  <c r="M116" i="46"/>
  <c r="I118" i="46"/>
  <c r="J118" i="46"/>
  <c r="K118" i="46"/>
  <c r="L118" i="46"/>
  <c r="M118" i="46"/>
  <c r="D116" i="46"/>
  <c r="E116" i="46"/>
  <c r="F116" i="46"/>
  <c r="G116" i="46"/>
  <c r="H116" i="46"/>
  <c r="G118" i="46"/>
  <c r="H118" i="46"/>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5" i="46"/>
  <c r="F107" i="46"/>
  <c r="J12" i="40"/>
  <c r="H12" i="40"/>
  <c r="F12" i="40"/>
  <c r="E52" i="33"/>
  <c r="F52" i="33"/>
  <c r="E53" i="33"/>
  <c r="F53" i="33"/>
  <c r="R49" i="21"/>
  <c r="E48" i="21"/>
  <c r="J65" i="40"/>
  <c r="I67" i="40"/>
  <c r="F7" i="37"/>
  <c r="AC12" i="39"/>
  <c r="L72" i="39"/>
  <c r="M70" i="39"/>
  <c r="C4" i="65"/>
  <c r="B39" i="1"/>
  <c r="J1" i="65"/>
  <c r="B40" i="1"/>
  <c r="C9" i="59"/>
  <c r="D9" i="59"/>
  <c r="D10" i="59"/>
  <c r="N4" i="63"/>
  <c r="B21" i="63"/>
  <c r="Q54" i="44"/>
  <c r="F1" i="44"/>
  <c r="D17" i="59"/>
  <c r="C18" i="59"/>
  <c r="U11" i="59"/>
  <c r="E10" i="59"/>
  <c r="E9" i="59"/>
  <c r="B10" i="59"/>
  <c r="B9" i="59"/>
  <c r="S11" i="59"/>
  <c r="F1" i="15"/>
  <c r="Q53" i="15"/>
  <c r="T15" i="59"/>
  <c r="D15" i="59"/>
  <c r="AZ5" i="3"/>
  <c r="AA34" i="35"/>
  <c r="S34" i="35"/>
  <c r="AA7" i="35"/>
  <c r="R38" i="35"/>
  <c r="S7" i="35"/>
  <c r="AA12" i="39"/>
  <c r="AC7" i="35"/>
  <c r="W7" i="35"/>
  <c r="AA7" i="37"/>
  <c r="R42" i="37"/>
  <c r="S7" i="37"/>
  <c r="AB7" i="36"/>
  <c r="T36" i="36"/>
  <c r="G36" i="36"/>
  <c r="U7" i="36"/>
  <c r="AB7" i="34"/>
  <c r="T49" i="34"/>
  <c r="G49" i="34"/>
  <c r="U7" i="34"/>
  <c r="O17" i="46"/>
  <c r="M17" i="46"/>
  <c r="P17" i="46"/>
  <c r="N17" i="46"/>
  <c r="Q74" i="15"/>
  <c r="Q61" i="15"/>
  <c r="Q63" i="44"/>
  <c r="Q76" i="44"/>
  <c r="C27" i="59"/>
  <c r="D26" i="59"/>
  <c r="AB34" i="35"/>
  <c r="U34" i="35"/>
  <c r="G5" i="3"/>
  <c r="B3" i="3"/>
  <c r="E570" i="3"/>
  <c r="S7" i="34"/>
  <c r="AA7" i="34"/>
  <c r="R49" i="34"/>
  <c r="W7" i="37"/>
  <c r="AC7" i="37"/>
  <c r="V42" i="37"/>
  <c r="I42" i="37"/>
  <c r="U12" i="39"/>
  <c r="AB12" i="39"/>
  <c r="AA7" i="36"/>
  <c r="R36" i="36"/>
  <c r="S7" i="36"/>
  <c r="W7" i="34"/>
  <c r="AC7" i="34"/>
  <c r="V49" i="34"/>
  <c r="I49" i="34"/>
  <c r="AB7" i="35"/>
  <c r="T38" i="35"/>
  <c r="G38" i="35"/>
  <c r="U7" i="35"/>
  <c r="K34" i="9"/>
  <c r="H7" i="37"/>
  <c r="W7" i="36"/>
  <c r="AC7" i="36"/>
  <c r="V36" i="36"/>
  <c r="I36" i="36"/>
  <c r="L47" i="44"/>
  <c r="Q75" i="15"/>
  <c r="Q62" i="15"/>
  <c r="Q75" i="44"/>
  <c r="Q62" i="44"/>
  <c r="E3" i="65"/>
  <c r="E59" i="40"/>
  <c r="K24" i="6"/>
  <c r="M24" i="6"/>
  <c r="I24" i="6"/>
  <c r="S24" i="6"/>
  <c r="K21" i="6"/>
  <c r="S8" i="1"/>
  <c r="K22" i="6"/>
  <c r="M22" i="6"/>
  <c r="I22" i="6"/>
  <c r="S22" i="6"/>
  <c r="E31" i="6"/>
  <c r="K23" i="6"/>
  <c r="M23" i="6"/>
  <c r="I23" i="6"/>
  <c r="S23" i="6"/>
  <c r="K26" i="6"/>
  <c r="M26" i="6"/>
  <c r="I26" i="6"/>
  <c r="S26" i="6"/>
  <c r="K25" i="6"/>
  <c r="M25" i="6"/>
  <c r="I25" i="6"/>
  <c r="S25" i="6"/>
  <c r="K19" i="6"/>
  <c r="S6" i="1"/>
  <c r="K20" i="6"/>
  <c r="M20" i="6"/>
  <c r="I20" i="6"/>
  <c r="S20" i="6"/>
  <c r="V38" i="35"/>
  <c r="I38" i="35"/>
  <c r="G43" i="35"/>
  <c r="H43" i="35"/>
  <c r="R49" i="33"/>
  <c r="I52" i="33"/>
  <c r="J52" i="33"/>
  <c r="G53" i="33"/>
  <c r="H53" i="33"/>
  <c r="M21" i="6"/>
  <c r="I21" i="6"/>
  <c r="S21" i="6"/>
  <c r="M14" i="1"/>
  <c r="K16" i="1"/>
  <c r="C115" i="46"/>
  <c r="D113" i="46"/>
  <c r="S5" i="46"/>
  <c r="S7" i="46"/>
  <c r="S6" i="46"/>
  <c r="S4" i="46"/>
  <c r="S3" i="46"/>
  <c r="S2" i="46"/>
  <c r="AA12" i="40"/>
  <c r="S12" i="40"/>
  <c r="W12" i="40"/>
  <c r="AC12" i="40"/>
  <c r="U12" i="40"/>
  <c r="AB12" i="40"/>
  <c r="N70" i="39"/>
  <c r="N72" i="39"/>
  <c r="M72" i="39"/>
  <c r="E53" i="21"/>
  <c r="F53" i="21"/>
  <c r="E52" i="21"/>
  <c r="F52" i="21"/>
  <c r="I53" i="21"/>
  <c r="J53" i="21"/>
  <c r="H9" i="39"/>
  <c r="J67" i="40"/>
  <c r="K65" i="40"/>
  <c r="C49" i="21"/>
  <c r="C48" i="21"/>
  <c r="F17" i="11"/>
  <c r="I40" i="36"/>
  <c r="J40" i="36"/>
  <c r="AB7" i="37"/>
  <c r="T42" i="37"/>
  <c r="G42" i="37"/>
  <c r="U7" i="37"/>
  <c r="G42" i="35"/>
  <c r="H42" i="35"/>
  <c r="I46" i="37"/>
  <c r="J46" i="37"/>
  <c r="R50" i="34"/>
  <c r="E49" i="34"/>
  <c r="I54" i="34"/>
  <c r="J54" i="34"/>
  <c r="R39" i="35"/>
  <c r="E38" i="35"/>
  <c r="E3" i="6"/>
  <c r="AY6" i="3"/>
  <c r="I53" i="34"/>
  <c r="J53" i="34"/>
  <c r="E36" i="36"/>
  <c r="R37" i="36"/>
  <c r="E86" i="3"/>
  <c r="E411" i="3"/>
  <c r="E395" i="3"/>
  <c r="E250" i="3"/>
  <c r="E471" i="3"/>
  <c r="E194" i="3"/>
  <c r="E49" i="3"/>
  <c r="AM6" i="3"/>
  <c r="E427" i="3"/>
  <c r="E78" i="3"/>
  <c r="E193" i="3"/>
  <c r="E337" i="3"/>
  <c r="E278" i="3"/>
  <c r="E390" i="3"/>
  <c r="E161" i="3"/>
  <c r="E44" i="3"/>
  <c r="E450" i="3"/>
  <c r="E202" i="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476" i="3"/>
  <c r="E283" i="3"/>
  <c r="E23" i="3"/>
  <c r="E535" i="3"/>
  <c r="AN6" i="3"/>
  <c r="E443" i="3"/>
  <c r="E41" i="3"/>
  <c r="E156" i="3"/>
  <c r="E280" i="3"/>
  <c r="E265" i="3"/>
  <c r="E381" i="3"/>
  <c r="E59" i="3"/>
  <c r="E418" i="3"/>
  <c r="E270" i="3"/>
  <c r="E408" i="3"/>
  <c r="E464" i="3"/>
  <c r="E92" i="3"/>
  <c r="E157" i="3"/>
  <c r="E238" i="3"/>
  <c r="E209" i="3"/>
  <c r="E414" i="3"/>
  <c r="E104" i="3"/>
  <c r="E158" i="3"/>
  <c r="E94" i="3"/>
  <c r="E296" i="3"/>
  <c r="E534" i="3"/>
  <c r="E492" i="3"/>
  <c r="E472" i="3"/>
  <c r="E83"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T27" i="59"/>
  <c r="D27" i="59"/>
  <c r="G54" i="34"/>
  <c r="H54" i="34"/>
  <c r="G53" i="34"/>
  <c r="H53" i="34"/>
  <c r="G40" i="36"/>
  <c r="H40" i="36"/>
  <c r="G41" i="36"/>
  <c r="H41" i="36"/>
  <c r="E42" i="37"/>
  <c r="R43" i="37"/>
  <c r="I42" i="35"/>
  <c r="J42" i="35"/>
  <c r="C19" i="59"/>
  <c r="D18" i="59"/>
  <c r="F24" i="15"/>
  <c r="C24" i="15"/>
  <c r="F26" i="44"/>
  <c r="C26" i="44"/>
  <c r="F26" i="12"/>
  <c r="C27" i="12"/>
  <c r="D26" i="12"/>
  <c r="C32" i="12"/>
  <c r="D30" i="12"/>
  <c r="F21" i="43"/>
  <c r="C23" i="43"/>
  <c r="D21" i="43"/>
  <c r="F11" i="15"/>
  <c r="F13" i="44"/>
  <c r="C12" i="44"/>
  <c r="C7" i="44"/>
  <c r="M11" i="15"/>
  <c r="J10" i="15"/>
  <c r="J5" i="15"/>
  <c r="M13" i="44"/>
  <c r="J12" i="44"/>
  <c r="J7" i="44"/>
  <c r="C8" i="12"/>
  <c r="B3" i="21"/>
  <c r="B2" i="21"/>
  <c r="C10" i="12"/>
  <c r="M19" i="6"/>
  <c r="K27" i="6"/>
  <c r="S7" i="1"/>
  <c r="S16" i="1"/>
  <c r="T9" i="1"/>
  <c r="I43" i="35"/>
  <c r="J43" i="35"/>
  <c r="C49" i="33"/>
  <c r="B3" i="33"/>
  <c r="B2" i="33"/>
  <c r="C48" i="33"/>
  <c r="H6" i="3"/>
  <c r="AC6" i="3"/>
  <c r="T10" i="1"/>
  <c r="O14" i="1"/>
  <c r="O16" i="1"/>
  <c r="M16" i="1"/>
  <c r="N16" i="1"/>
  <c r="C29" i="43"/>
  <c r="M27" i="6"/>
  <c r="I19" i="6"/>
  <c r="L65" i="40"/>
  <c r="K67" i="40"/>
  <c r="U9" i="39"/>
  <c r="AB9" i="39"/>
  <c r="T49" i="39"/>
  <c r="G49" i="39"/>
  <c r="G53" i="39"/>
  <c r="H53" i="39"/>
  <c r="J9" i="39"/>
  <c r="F9" i="39"/>
  <c r="T19" i="59"/>
  <c r="D19" i="59"/>
  <c r="J20" i="44"/>
  <c r="J28" i="44"/>
  <c r="J31" i="44"/>
  <c r="J26" i="44"/>
  <c r="C40" i="44"/>
  <c r="C34" i="44"/>
  <c r="M20" i="46"/>
  <c r="C19" i="46"/>
  <c r="E46" i="37"/>
  <c r="F46" i="37"/>
  <c r="E47" i="37"/>
  <c r="F47" i="37"/>
  <c r="C36" i="36"/>
  <c r="C37" i="36"/>
  <c r="B3" i="36"/>
  <c r="B2" i="36"/>
  <c r="D16" i="43"/>
  <c r="C16" i="43"/>
  <c r="D16" i="12"/>
  <c r="E6" i="6"/>
  <c r="L38" i="9"/>
  <c r="B14" i="66"/>
  <c r="B1" i="66"/>
  <c r="D45" i="9"/>
  <c r="C21" i="4"/>
  <c r="O5" i="54"/>
  <c r="B45" i="63"/>
  <c r="D10" i="11"/>
  <c r="D46" i="9"/>
  <c r="C38" i="35"/>
  <c r="C39" i="35"/>
  <c r="C49" i="34"/>
  <c r="C50" i="34"/>
  <c r="B3" i="34"/>
  <c r="B2" i="34"/>
  <c r="G47" i="37"/>
  <c r="H47" i="37"/>
  <c r="G46" i="37"/>
  <c r="H46" i="37"/>
  <c r="J18" i="15"/>
  <c r="J26" i="15"/>
  <c r="J29" i="15"/>
  <c r="J24" i="15"/>
  <c r="C10" i="15"/>
  <c r="C5" i="15"/>
  <c r="C52" i="15"/>
  <c r="C47" i="15"/>
  <c r="C43" i="37"/>
  <c r="B3" i="37"/>
  <c r="B2" i="37"/>
  <c r="C42" i="37"/>
  <c r="E41" i="36"/>
  <c r="F41" i="36"/>
  <c r="E40" i="36"/>
  <c r="F40" i="3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82" i="3"/>
  <c r="AY67" i="3"/>
  <c r="AY203" i="3"/>
  <c r="AY179" i="3"/>
  <c r="AY36" i="3"/>
  <c r="AY293" i="3"/>
  <c r="AY216" i="3"/>
  <c r="AY556" i="3"/>
  <c r="AY408" i="3"/>
  <c r="AY187" i="3"/>
  <c r="AY280" i="3"/>
  <c r="AY304" i="3"/>
  <c r="AY123" i="3"/>
  <c r="AY200" i="3"/>
  <c r="AY257" i="3"/>
  <c r="AY558" i="3"/>
  <c r="AY25" i="3"/>
  <c r="AY254" i="3"/>
  <c r="AY341" i="3"/>
  <c r="AY394" i="3"/>
  <c r="AY266" i="3"/>
  <c r="AY369" i="3"/>
  <c r="AY156" i="3"/>
  <c r="AY229" i="3"/>
  <c r="AY437" i="3"/>
  <c r="AY465" i="3"/>
  <c r="AY544" i="3"/>
  <c r="AY193" i="3"/>
  <c r="AY493" i="3"/>
  <c r="AY320" i="3"/>
  <c r="AY27" i="3"/>
  <c r="AY268" i="3"/>
  <c r="BN6" i="3"/>
  <c r="AY407" i="3"/>
  <c r="AY107" i="3"/>
  <c r="AY527" i="3"/>
  <c r="AY461" i="3"/>
  <c r="AY546" i="3"/>
  <c r="AY325" i="3"/>
  <c r="AY186" i="3"/>
  <c r="AY163" i="3"/>
  <c r="AY385" i="3"/>
  <c r="AY492" i="3"/>
  <c r="AY15" i="3"/>
  <c r="AY505" i="3"/>
  <c r="AY17" i="3"/>
  <c r="AY497" i="3"/>
  <c r="AY285" i="3"/>
  <c r="AY404" i="3"/>
  <c r="AY327" i="3"/>
  <c r="AY468" i="3"/>
  <c r="AY377" i="3"/>
  <c r="BI6" i="3"/>
  <c r="AY164" i="3"/>
  <c r="AY469" i="3"/>
  <c r="AY454" i="3"/>
  <c r="AY499" i="3"/>
  <c r="AY391"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486" i="3"/>
  <c r="AY80" i="3"/>
  <c r="AY37" i="3"/>
  <c r="AY41" i="3"/>
  <c r="AY58" i="3"/>
  <c r="AY159" i="3"/>
  <c r="AY128" i="3"/>
  <c r="AY95" i="3"/>
  <c r="AY105" i="3"/>
  <c r="AY274" i="3"/>
  <c r="AY150" i="3"/>
  <c r="AY246" i="3"/>
  <c r="AY275" i="3"/>
  <c r="AY386" i="3"/>
  <c r="AY333" i="3"/>
  <c r="AY432" i="3"/>
  <c r="AY411" i="3"/>
  <c r="AY414" i="3"/>
  <c r="AY28" i="3"/>
  <c r="AY117" i="3"/>
  <c r="AY114" i="3"/>
  <c r="AY271" i="3"/>
  <c r="AY374" i="3"/>
  <c r="AY311" i="3"/>
  <c r="AY445" i="3"/>
  <c r="AY38" i="3"/>
  <c r="AY172" i="3"/>
  <c r="AY183" i="3"/>
  <c r="AY227" i="3"/>
  <c r="AY335" i="3"/>
  <c r="AY337" i="3"/>
  <c r="BS6" i="3"/>
  <c r="AY111" i="3"/>
  <c r="AY120" i="3"/>
  <c r="AY224" i="3"/>
  <c r="AY424" i="3"/>
  <c r="AY85" i="3"/>
  <c r="AY197" i="3"/>
  <c r="AY359" i="3"/>
  <c r="AY76" i="3"/>
  <c r="AY282" i="3"/>
  <c r="AY321" i="3"/>
  <c r="AY14" i="3"/>
  <c r="AY430" i="3"/>
  <c r="AY378" i="3"/>
  <c r="AY314" i="3"/>
  <c r="BH6" i="3"/>
  <c r="AY86" i="3"/>
  <c r="AY24" i="3"/>
  <c r="AY431" i="3"/>
  <c r="AY239" i="3"/>
  <c r="AY500" i="3"/>
  <c r="AY552" i="3"/>
  <c r="AY140" i="3"/>
  <c r="AY458" i="3"/>
  <c r="AY152" i="3"/>
  <c r="AY489" i="3"/>
  <c r="AY519" i="3"/>
  <c r="AY66" i="3"/>
  <c r="AY242" i="3"/>
  <c r="AY417" i="3"/>
  <c r="AY287" i="3"/>
  <c r="BF6" i="3"/>
  <c r="AY222" i="3"/>
  <c r="AY390" i="3"/>
  <c r="AY540" i="3"/>
  <c r="AY484" i="3"/>
  <c r="AY355" i="3"/>
  <c r="AY220" i="3"/>
  <c r="BR6" i="3"/>
  <c r="AY563" i="3"/>
  <c r="AY68" i="3"/>
  <c r="AY357" i="3"/>
  <c r="AY133" i="3"/>
  <c r="AY84" i="3"/>
  <c r="AY213" i="3"/>
  <c r="AY502" i="3"/>
  <c r="AY110" i="3"/>
  <c r="AY298" i="3"/>
  <c r="AY403" i="3"/>
  <c r="AY514" i="3"/>
  <c r="AY177" i="3"/>
  <c r="AY263" i="3"/>
  <c r="AY524" i="3"/>
  <c r="AY231" i="3"/>
  <c r="AY507" i="3"/>
  <c r="E43" i="35"/>
  <c r="F43" i="35"/>
  <c r="E42" i="35"/>
  <c r="F42" i="35"/>
  <c r="E54" i="34"/>
  <c r="F54" i="34"/>
  <c r="E53" i="34"/>
  <c r="F53" i="34"/>
  <c r="I47" i="37"/>
  <c r="J47" i="37"/>
  <c r="I41" i="36"/>
  <c r="J41" i="36"/>
  <c r="L52" i="44"/>
  <c r="C16" i="44"/>
  <c r="C14" i="15"/>
  <c r="E6" i="3"/>
  <c r="T7" i="1"/>
  <c r="T12" i="1"/>
  <c r="T13" i="1"/>
  <c r="T8" i="1"/>
  <c r="T11" i="1"/>
  <c r="T6" i="1"/>
  <c r="C17" i="44"/>
  <c r="C20" i="44"/>
  <c r="C18" i="15"/>
  <c r="C15" i="15"/>
  <c r="I27" i="6"/>
  <c r="S19" i="6"/>
  <c r="S27" i="6"/>
  <c r="P14" i="1"/>
  <c r="P16" i="1"/>
  <c r="C13" i="12"/>
  <c r="C13" i="43"/>
  <c r="L16" i="1"/>
  <c r="W9" i="39"/>
  <c r="AC9" i="39"/>
  <c r="V49" i="39"/>
  <c r="I49" i="39"/>
  <c r="M65" i="40"/>
  <c r="L67" i="40"/>
  <c r="S9" i="39"/>
  <c r="AA9" i="39"/>
  <c r="R49" i="39"/>
  <c r="Q69" i="44"/>
  <c r="L58" i="44"/>
  <c r="L61" i="44"/>
  <c r="C32" i="15"/>
  <c r="C38" i="15"/>
  <c r="C7" i="66"/>
  <c r="C8" i="66"/>
  <c r="D19" i="12"/>
  <c r="C19" i="12"/>
  <c r="C16" i="12"/>
  <c r="E68" i="39"/>
  <c r="C22" i="4"/>
  <c r="D19" i="6"/>
  <c r="D21" i="6"/>
  <c r="D25" i="6"/>
  <c r="D10" i="6"/>
  <c r="D13" i="6"/>
  <c r="H21" i="6"/>
  <c r="H24" i="6"/>
  <c r="D6" i="6"/>
  <c r="D23" i="6"/>
  <c r="D14" i="6"/>
  <c r="D28" i="6"/>
  <c r="D20" i="6"/>
  <c r="D8" i="6"/>
  <c r="H23" i="6"/>
  <c r="E63" i="40"/>
  <c r="H19" i="6"/>
  <c r="D22" i="6"/>
  <c r="D5" i="6"/>
  <c r="K38" i="9"/>
  <c r="C14" i="66"/>
  <c r="B2" i="66"/>
  <c r="D26" i="6"/>
  <c r="D11" i="6"/>
  <c r="H20" i="6"/>
  <c r="D9" i="6"/>
  <c r="D29" i="6"/>
  <c r="H26" i="6"/>
  <c r="E45" i="9"/>
  <c r="F45" i="9"/>
  <c r="D24" i="6"/>
  <c r="D12" i="6"/>
  <c r="H25" i="6"/>
  <c r="H22" i="6"/>
  <c r="D15" i="6"/>
  <c r="F46" i="9"/>
  <c r="E46" i="9"/>
  <c r="C59" i="15"/>
  <c r="C65" i="15"/>
  <c r="D22" i="12"/>
  <c r="C22" i="12"/>
  <c r="D13" i="11"/>
  <c r="C13" i="11"/>
  <c r="C36" i="46"/>
  <c r="C35" i="46"/>
  <c r="C34" i="46"/>
  <c r="C33" i="46"/>
  <c r="T8" i="46"/>
  <c r="V8" i="46"/>
  <c r="T12" i="46"/>
  <c r="V12" i="46"/>
  <c r="T16" i="46"/>
  <c r="V16" i="46"/>
  <c r="T9" i="46"/>
  <c r="V9" i="46"/>
  <c r="T13" i="46"/>
  <c r="V13" i="46"/>
  <c r="T6" i="46"/>
  <c r="V6" i="46"/>
  <c r="T10" i="46"/>
  <c r="V10" i="46"/>
  <c r="T14" i="46"/>
  <c r="V14" i="46"/>
  <c r="T5" i="46"/>
  <c r="V5" i="46"/>
  <c r="T11" i="46"/>
  <c r="V11" i="46"/>
  <c r="T15" i="46"/>
  <c r="V15" i="46"/>
  <c r="C39" i="46"/>
  <c r="C37" i="46"/>
  <c r="T4" i="46"/>
  <c r="V4" i="46"/>
  <c r="T7" i="46"/>
  <c r="V7" i="46"/>
  <c r="C38" i="46"/>
  <c r="C29" i="46"/>
  <c r="T2" i="46"/>
  <c r="V2" i="46"/>
  <c r="T3" i="46"/>
  <c r="V3" i="46"/>
  <c r="Q67" i="44"/>
  <c r="Q49" i="44"/>
  <c r="Q55" i="44"/>
  <c r="Q58" i="44"/>
  <c r="C20" i="12"/>
  <c r="C11" i="11"/>
  <c r="C10" i="11"/>
  <c r="T16" i="1"/>
  <c r="H27" i="6"/>
  <c r="D16" i="6"/>
  <c r="D30" i="6"/>
  <c r="C21" i="44"/>
  <c r="C22" i="44"/>
  <c r="C28" i="44"/>
  <c r="C19" i="15"/>
  <c r="C20" i="15"/>
  <c r="C23" i="15"/>
  <c r="R24" i="6"/>
  <c r="R26" i="6"/>
  <c r="C14" i="43"/>
  <c r="C17" i="43"/>
  <c r="C17" i="12"/>
  <c r="C14" i="12"/>
  <c r="E49" i="39"/>
  <c r="I54" i="39"/>
  <c r="J54" i="39"/>
  <c r="R50" i="39"/>
  <c r="G54" i="39"/>
  <c r="H54" i="39"/>
  <c r="I53" i="39"/>
  <c r="J53" i="39"/>
  <c r="M67" i="40"/>
  <c r="J9" i="40"/>
  <c r="N65" i="40"/>
  <c r="N67" i="40"/>
  <c r="H9" i="40"/>
  <c r="G38" i="46"/>
  <c r="I38" i="46"/>
  <c r="E38" i="46"/>
  <c r="E29" i="46"/>
  <c r="C30" i="46"/>
  <c r="E30" i="46"/>
  <c r="G37" i="46"/>
  <c r="I37" i="46"/>
  <c r="E37" i="46"/>
  <c r="G34" i="46"/>
  <c r="I34" i="46"/>
  <c r="E34" i="46"/>
  <c r="G36" i="46"/>
  <c r="I36" i="46"/>
  <c r="E36" i="46"/>
  <c r="D7" i="66"/>
  <c r="D8" i="66"/>
  <c r="R22" i="6"/>
  <c r="R23" i="6"/>
  <c r="R25" i="6"/>
  <c r="R19" i="6"/>
  <c r="D27" i="6"/>
  <c r="D31" i="6"/>
  <c r="Q59" i="44"/>
  <c r="Q64" i="44"/>
  <c r="Q68" i="44"/>
  <c r="Q77" i="44"/>
  <c r="G39" i="46"/>
  <c r="I39" i="46"/>
  <c r="E39" i="46"/>
  <c r="E33" i="46"/>
  <c r="G33" i="46"/>
  <c r="I33" i="46"/>
  <c r="G35" i="46"/>
  <c r="I35" i="46"/>
  <c r="E35" i="46"/>
  <c r="R20" i="6"/>
  <c r="R7" i="1"/>
  <c r="R21" i="6"/>
  <c r="R8" i="1"/>
  <c r="A6" i="64"/>
  <c r="A20" i="64"/>
  <c r="N5" i="54"/>
  <c r="B43" i="63"/>
  <c r="A6" i="51"/>
  <c r="B7" i="63"/>
  <c r="A20" i="51"/>
  <c r="B15" i="63"/>
  <c r="F7" i="67"/>
  <c r="C18" i="11"/>
  <c r="C17" i="11"/>
  <c r="R27" i="6"/>
  <c r="R6" i="1"/>
  <c r="R16" i="1"/>
  <c r="C26" i="15"/>
  <c r="C29" i="15"/>
  <c r="C56" i="15"/>
  <c r="C63" i="15"/>
  <c r="C18" i="12"/>
  <c r="C23" i="12"/>
  <c r="C25" i="44"/>
  <c r="C31" i="44"/>
  <c r="J21" i="44"/>
  <c r="J19" i="44"/>
  <c r="C18" i="43"/>
  <c r="W9" i="40"/>
  <c r="AC9" i="40"/>
  <c r="V44" i="40"/>
  <c r="I44" i="40"/>
  <c r="F9" i="40"/>
  <c r="C50" i="39"/>
  <c r="C49" i="39"/>
  <c r="U9" i="40"/>
  <c r="AB9" i="40"/>
  <c r="T44" i="40"/>
  <c r="G44" i="40"/>
  <c r="E53" i="39"/>
  <c r="F53" i="39"/>
  <c r="E54" i="39"/>
  <c r="F54" i="39"/>
  <c r="E4" i="67"/>
  <c r="I6" i="6"/>
  <c r="I5" i="6"/>
  <c r="C27" i="46"/>
  <c r="C26" i="46"/>
  <c r="E7" i="67"/>
  <c r="C19" i="11"/>
  <c r="C20" i="11"/>
  <c r="C21" i="11"/>
  <c r="C22" i="11"/>
  <c r="C23" i="11"/>
  <c r="B2" i="11"/>
  <c r="B5" i="11"/>
  <c r="C35" i="44"/>
  <c r="C33" i="44"/>
  <c r="Q51" i="44"/>
  <c r="C38" i="44"/>
  <c r="C60" i="15"/>
  <c r="C58" i="15"/>
  <c r="C15" i="44"/>
  <c r="C39" i="44"/>
  <c r="J16" i="44"/>
  <c r="J24" i="44"/>
  <c r="C33" i="15"/>
  <c r="C31" i="15"/>
  <c r="C13" i="15"/>
  <c r="J14" i="15"/>
  <c r="Q50" i="15"/>
  <c r="J19" i="15"/>
  <c r="J17" i="15"/>
  <c r="C36" i="15"/>
  <c r="J59" i="15"/>
  <c r="J60" i="15"/>
  <c r="C19" i="43"/>
  <c r="C25" i="43"/>
  <c r="C24" i="43"/>
  <c r="G49" i="40"/>
  <c r="H49" i="40"/>
  <c r="G48" i="40"/>
  <c r="H48" i="40"/>
  <c r="B66" i="39"/>
  <c r="F66" i="39"/>
  <c r="B59" i="39"/>
  <c r="F59" i="39"/>
  <c r="B60" i="39"/>
  <c r="F60" i="39"/>
  <c r="B64" i="39"/>
  <c r="F64" i="39"/>
  <c r="B58" i="39"/>
  <c r="F58" i="39"/>
  <c r="B67" i="39"/>
  <c r="F67" i="39"/>
  <c r="B61" i="39"/>
  <c r="F61" i="39"/>
  <c r="B63" i="39"/>
  <c r="F63" i="39"/>
  <c r="B65" i="39"/>
  <c r="F65" i="39"/>
  <c r="B62" i="39"/>
  <c r="F62" i="39"/>
  <c r="I48" i="40"/>
  <c r="J48" i="40"/>
  <c r="AA9" i="40"/>
  <c r="R44" i="40"/>
  <c r="S9" i="40"/>
  <c r="E3" i="67"/>
  <c r="B2" i="46"/>
  <c r="B7" i="67"/>
  <c r="B3" i="11"/>
  <c r="B4" i="11"/>
  <c r="J15" i="44"/>
  <c r="J25" i="44"/>
  <c r="J18" i="44"/>
  <c r="J27" i="44"/>
  <c r="Q72" i="44"/>
  <c r="F68" i="39"/>
  <c r="B2" i="39"/>
  <c r="B5" i="39"/>
  <c r="C32" i="44"/>
  <c r="C42" i="44"/>
  <c r="Q71" i="44"/>
  <c r="Q70" i="44"/>
  <c r="C43" i="44"/>
  <c r="C22" i="43"/>
  <c r="C21" i="43"/>
  <c r="C28" i="43"/>
  <c r="C30" i="43"/>
  <c r="C32" i="43"/>
  <c r="B2" i="43"/>
  <c r="B3" i="43"/>
  <c r="L46" i="15"/>
  <c r="Q49" i="15"/>
  <c r="J22" i="15"/>
  <c r="J13" i="15"/>
  <c r="J23" i="15"/>
  <c r="Q71" i="15"/>
  <c r="C37" i="15"/>
  <c r="C30" i="15"/>
  <c r="C39" i="15"/>
  <c r="C55" i="15"/>
  <c r="C64" i="15"/>
  <c r="C57" i="15"/>
  <c r="C66" i="15"/>
  <c r="C67" i="15"/>
  <c r="C70" i="15"/>
  <c r="J35" i="15"/>
  <c r="R45" i="40"/>
  <c r="E44" i="40"/>
  <c r="B2" i="67"/>
  <c r="D4" i="46"/>
  <c r="B4" i="46"/>
  <c r="B3" i="46"/>
  <c r="C19" i="9"/>
  <c r="L51" i="15"/>
  <c r="L43" i="9"/>
  <c r="B3" i="39"/>
  <c r="B4" i="39"/>
  <c r="C44" i="44"/>
  <c r="C45" i="44"/>
  <c r="B2" i="44"/>
  <c r="B3" i="44"/>
  <c r="B4" i="43"/>
  <c r="B5" i="43"/>
  <c r="Q68" i="15"/>
  <c r="L57" i="15"/>
  <c r="L60" i="15"/>
  <c r="C40" i="15"/>
  <c r="C46" i="15"/>
  <c r="Q70" i="15"/>
  <c r="Q69" i="15"/>
  <c r="J39" i="15"/>
  <c r="J40" i="15"/>
  <c r="J16" i="15"/>
  <c r="J25" i="15"/>
  <c r="C45" i="40"/>
  <c r="C44" i="40"/>
  <c r="E48" i="40"/>
  <c r="F48" i="40"/>
  <c r="E49" i="40"/>
  <c r="F49" i="40"/>
  <c r="I49" i="40"/>
  <c r="J49" i="40"/>
  <c r="B4" i="67"/>
  <c r="B3" i="67"/>
  <c r="C20" i="9"/>
  <c r="C21" i="9"/>
  <c r="B4" i="44"/>
  <c r="B5" i="44"/>
  <c r="Q58" i="15"/>
  <c r="Q67" i="15"/>
  <c r="B2" i="15"/>
  <c r="B3" i="15"/>
  <c r="C43" i="15"/>
  <c r="J42" i="15"/>
  <c r="J43" i="15"/>
  <c r="Q57" i="15"/>
  <c r="Q48" i="15"/>
  <c r="Q54" i="15"/>
  <c r="Q66" i="15"/>
  <c r="B57" i="40"/>
  <c r="F57" i="40"/>
  <c r="B59" i="40"/>
  <c r="F59" i="40"/>
  <c r="B61" i="40"/>
  <c r="F61" i="40"/>
  <c r="B53" i="40"/>
  <c r="F53" i="40"/>
  <c r="B58" i="40"/>
  <c r="F58" i="40"/>
  <c r="B55" i="40"/>
  <c r="F55" i="40"/>
  <c r="B60" i="40"/>
  <c r="F60" i="40"/>
  <c r="B62" i="40"/>
  <c r="F62" i="40"/>
  <c r="B54" i="40"/>
  <c r="F54" i="40"/>
  <c r="B56" i="40"/>
  <c r="F56" i="40"/>
  <c r="F63" i="40"/>
  <c r="B2" i="40"/>
  <c r="Q76" i="15"/>
  <c r="Q63" i="15"/>
  <c r="B3" i="40"/>
  <c r="B4" i="40"/>
  <c r="B5" i="40"/>
  <c r="B2" i="35"/>
  <c r="E10" i="12"/>
  <c r="B3" i="35"/>
  <c r="E8" i="12"/>
  <c r="C6" i="12"/>
  <c r="C24" i="12"/>
  <c r="C29" i="12"/>
  <c r="C28" i="12"/>
  <c r="C26" i="12"/>
  <c r="C31" i="12"/>
  <c r="C30" i="12"/>
  <c r="C35" i="12"/>
  <c r="C33" i="12"/>
  <c r="C36" i="12"/>
  <c r="B2" i="12"/>
  <c r="D19" i="9"/>
  <c r="L44" i="9"/>
  <c r="G19" i="9"/>
  <c r="D22" i="9"/>
  <c r="B4" i="12"/>
  <c r="B3" i="12"/>
  <c r="B5" i="12"/>
  <c r="D21" i="9"/>
  <c r="D20" i="9"/>
  <c r="D27" i="9"/>
  <c r="G20" i="9"/>
  <c r="G21" i="9"/>
  <c r="C32" i="9"/>
  <c r="N43" i="9"/>
  <c r="G22" i="9"/>
  <c r="O38" i="9"/>
  <c r="O43" i="9"/>
  <c r="C35" i="9"/>
  <c r="F42" i="9"/>
  <c r="C42" i="9"/>
  <c r="C33" i="9"/>
  <c r="C34" i="9"/>
  <c r="E42" i="9"/>
  <c r="P5" i="54"/>
  <c r="B46" i="63"/>
  <c r="M38" i="9"/>
  <c r="K27" i="9"/>
  <c r="D14" i="66"/>
  <c r="R5" i="54"/>
  <c r="B48" i="63"/>
  <c r="C44" i="9"/>
  <c r="D63" i="9"/>
  <c r="N68" i="9"/>
  <c r="D42" i="9"/>
  <c r="Q5" i="54"/>
  <c r="B47" i="63"/>
  <c r="N38" i="9"/>
  <c r="K28" i="9"/>
  <c r="K26" i="9"/>
  <c r="K25" i="9"/>
  <c r="C96" i="9"/>
  <c r="C91" i="9"/>
  <c r="C103" i="9"/>
  <c r="D71" i="9"/>
  <c r="D66" i="9"/>
  <c r="N72" i="9"/>
  <c r="C90" i="9"/>
  <c r="D70" i="9"/>
  <c r="C111" i="9"/>
  <c r="C104" i="9"/>
  <c r="C82" i="9"/>
  <c r="C81" i="9"/>
  <c r="C85" i="9"/>
  <c r="C86" i="9"/>
  <c r="D72" i="9"/>
  <c r="D77" i="9"/>
  <c r="N75" i="9"/>
  <c r="G14" i="66"/>
  <c r="N69" i="9"/>
  <c r="F44" i="9"/>
  <c r="D44" i="9"/>
  <c r="O39" i="9"/>
  <c r="E44" i="9"/>
  <c r="E14" i="66"/>
  <c r="F14" i="66"/>
  <c r="C97" i="9"/>
  <c r="C98" i="9"/>
  <c r="E98" i="9"/>
  <c r="E99" i="9"/>
  <c r="M84" i="9"/>
  <c r="N84" i="9"/>
  <c r="M83" i="9"/>
  <c r="N83" i="9"/>
  <c r="M85" i="9"/>
  <c r="N85" i="9"/>
  <c r="M86" i="9"/>
  <c r="N86" i="9"/>
  <c r="M87" i="9"/>
  <c r="N87" i="9"/>
  <c r="M88" i="9"/>
  <c r="N88" i="9"/>
  <c r="C113" i="9"/>
  <c r="K29" i="9"/>
  <c r="K30" i="9"/>
  <c r="R6" i="54"/>
  <c r="B50" i="63"/>
  <c r="C99" i="9"/>
  <c r="N89" i="9"/>
  <c r="O89" i="9"/>
  <c r="C114" i="9"/>
  <c r="E114" i="9"/>
  <c r="E115" i="9"/>
  <c r="C115" i="9"/>
  <c r="D76" i="9"/>
  <c r="D74" i="9"/>
  <c r="N74" i="9"/>
  <c r="O77" i="9"/>
  <c r="O79" i="9"/>
  <c r="Q77" i="9"/>
  <c r="O78" i="9"/>
  <c r="O81" i="9"/>
  <c r="O80" i="9"/>
  <c r="L18" i="9"/>
  <c r="D15" i="66"/>
  <c r="G15" i="66"/>
  <c r="B6" i="66"/>
  <c r="E15" i="66"/>
  <c r="B5" i="66"/>
  <c r="F15" i="66"/>
  <c r="D5"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<sst xmlns="http://schemas.openxmlformats.org/spreadsheetml/2006/main" count="7103" uniqueCount="3143">
  <si>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</si>
  <si>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</si>
  <si>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</si>
  <si>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</si>
  <si>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</si>
  <si>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</si>
  <si>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</si>
  <si>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</si>
  <si>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</si>
  <si>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</si>
  <si>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</si>
  <si>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</si>
  <si>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</si>
  <si>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</si>
  <si>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</si>
  <si>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</si>
  <si>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</si>
  <si>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</si>
  <si>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</si>
  <si>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</si>
  <si>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</si>
  <si>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</si>
  <si>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</si>
  <si>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</si>
  <si>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</si>
  <si>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</si>
  <si>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</si>
  <si>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</si>
  <si>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</si>
  <si>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</si>
  <si>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</si>
  <si>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</si>
  <si>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</si>
  <si>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</si>
  <si>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</si>
  <si>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</si>
  <si>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</si>
  <si>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</si>
  <si>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</si>
  <si>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</si>
  <si>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</si>
  <si>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</si>
  <si>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</si>
  <si>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</si>
  <si>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</si>
  <si>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</si>
  <si>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</si>
  <si>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</si>
  <si>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</si>
  <si>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</si>
  <si>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</si>
  <si>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</si>
  <si>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</si>
  <si>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</si>
  <si>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</si>
  <si>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</si>
  <si>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</si>
  <si>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</si>
  <si>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</si>
  <si>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</si>
  <si>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</si>
  <si>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</si>
  <si>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</si>
  <si>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</si>
  <si>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</si>
  <si>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</si>
  <si>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</si>
  <si>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</si>
  <si>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</si>
  <si>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</si>
  <si>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</si>
  <si>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</si>
  <si>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</si>
  <si>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</si>
  <si>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</si>
  <si>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</si>
  <si>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</si>
  <si>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</si>
  <si>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</si>
  <si>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</si>
  <si>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</si>
  <si>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</si>
  <si>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</si>
  <si>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</si>
  <si>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</si>
  <si>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</si>
  <si>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</si>
  <si>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</si>
  <si>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</si>
  <si>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</si>
  <si>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</si>
  <si>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</si>
  <si>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</si>
  <si>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</si>
  <si>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</si>
  <si>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</si>
  <si>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</si>
  <si>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</si>
  <si>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</si>
  <si>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</si>
  <si>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</si>
  <si>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</si>
  <si>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</si>
  <si>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</si>
  <si>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</si>
  <si>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</si>
  <si>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</si>
  <si>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</si>
  <si>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</si>
  <si>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</si>
  <si>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</si>
  <si>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</si>
  <si>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</si>
  <si>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</si>
  <si>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</si>
  <si>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</si>
  <si>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</si>
  <si>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</si>
  <si>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</si>
  <si>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</si>
  <si>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</si>
  <si>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</si>
  <si>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</si>
  <si>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</si>
  <si>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</si>
  <si>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</si>
  <si>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</si>
  <si>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</si>
  <si>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</si>
  <si>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</si>
  <si>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</si>
  <si>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</si>
  <si>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</si>
  <si>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</si>
  <si>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</si>
  <si>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</si>
  <si>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</si>
  <si>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</si>
  <si>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</si>
  <si>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</si>
  <si>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</si>
  <si>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</si>
  <si>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</si>
  <si>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</si>
  <si>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</si>
  <si>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</si>
  <si>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</si>
  <si>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</si>
  <si>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</si>
  <si>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</si>
  <si>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</si>
  <si>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</si>
  <si>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</si>
  <si>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</si>
  <si>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</si>
  <si>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</si>
  <si>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</si>
  <si>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</si>
  <si>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</si>
  <si>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</si>
  <si>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</si>
  <si>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</si>
  <si>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</si>
  <si>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</si>
  <si>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</si>
  <si>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</si>
  <si>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</si>
  <si>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</si>
  <si>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</si>
  <si>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</si>
  <si>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</si>
  <si>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</si>
  <si>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</si>
  <si>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</si>
  <si>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</si>
  <si>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</si>
  <si>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</si>
  <si>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</si>
  <si>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</si>
  <si>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</si>
  <si>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</si>
  <si>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</si>
  <si>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</si>
  <si>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</si>
  <si>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</si>
  <si>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</si>
  <si>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</si>
  <si>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</si>
  <si>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</si>
  <si>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</si>
  <si>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</si>
  <si>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</si>
  <si>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</si>
  <si>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</si>
  <si>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</si>
  <si>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</si>
  <si>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</si>
  <si>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</si>
  <si>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</si>
  <si>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</si>
  <si>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</si>
  <si>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</si>
  <si>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</si>
  <si>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</si>
  <si>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</si>
  <si>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</si>
  <si>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</si>
  <si>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</si>
  <si>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</si>
  <si>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</si>
  <si>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</si>
  <si>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</si>
  <si>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</si>
  <si>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</si>
  <si>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</si>
  <si>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</si>
  <si>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</si>
  <si>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</si>
  <si>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</si>
  <si>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</si>
  <si>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</si>
  <si>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</si>
  <si>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</si>
  <si>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</si>
  <si>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</si>
  <si>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</si>
  <si>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</si>
  <si>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</si>
  <si>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</si>
  <si>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</si>
  <si>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</si>
  <si>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</si>
  <si>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</si>
  <si>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</si>
  <si>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</si>
  <si>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</si>
  <si>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</si>
  <si>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</si>
  <si>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</si>
  <si>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</si>
  <si>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</si>
  <si>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</si>
  <si>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</si>
  <si>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</si>
  <si>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</si>
  <si>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</si>
  <si>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</si>
  <si>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</si>
  <si>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</si>
  <si>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</si>
  <si>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</si>
  <si>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</si>
  <si>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</si>
  <si>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</si>
  <si>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</si>
  <si>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</si>
  <si>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</si>
  <si>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</si>
  <si>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</si>
  <si>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</si>
  <si>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</si>
  <si>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</si>
  <si>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</si>
  <si>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</si>
  <si>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</si>
  <si>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</si>
  <si>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</si>
  <si>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</si>
  <si>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</si>
  <si>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</si>
  <si>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</si>
  <si>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</si>
  <si>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</si>
  <si>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</si>
  <si>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</si>
  <si>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</si>
  <si>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</si>
  <si>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</si>
  <si>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</si>
  <si>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</si>
  <si>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</si>
  <si>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</si>
  <si>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</si>
  <si>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</si>
  <si>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</si>
  <si>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</si>
  <si>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</si>
  <si>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</si>
  <si>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</si>
  <si>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</si>
  <si>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</si>
  <si>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</si>
  <si>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</si>
  <si>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</si>
  <si>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</si>
  <si>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</si>
  <si>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</si>
  <si>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</si>
  <si>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</si>
  <si>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</si>
  <si>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</si>
  <si>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</si>
  <si>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</si>
  <si>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</si>
  <si>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</si>
  <si>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</si>
  <si>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</si>
  <si>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</si>
  <si>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</si>
  <si>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</si>
  <si>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</si>
  <si>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</si>
  <si>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</si>
  <si>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</si>
  <si>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</si>
  <si>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</si>
  <si>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</si>
  <si>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</si>
  <si>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</si>
  <si>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</si>
  <si>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</si>
  <si>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</si>
  <si>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</si>
  <si>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</si>
  <si>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</si>
  <si>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</si>
  <si>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</si>
  <si>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</si>
  <si>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</si>
  <si>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</si>
  <si>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</si>
  <si>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</si>
  <si>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</si>
  <si>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</si>
  <si>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</si>
  <si>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</si>
  <si>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</si>
  <si>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</si>
  <si>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</si>
  <si>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</si>
  <si>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</si>
  <si>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</si>
  <si>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</si>
  <si>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</si>
  <si>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</si>
  <si>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</si>
  <si>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</si>
  <si>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</si>
  <si>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</si>
  <si>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</si>
  <si>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</si>
  <si>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</si>
  <si>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</si>
  <si>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</si>
  <si>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</si>
  <si>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</si>
  <si>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</si>
  <si>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</si>
  <si>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</si>
  <si>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</si>
  <si>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</si>
  <si>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</si>
  <si>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</si>
  <si>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</si>
  <si>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</si>
  <si>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</si>
  <si>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</si>
  <si>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</si>
  <si>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</si>
  <si>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</si>
  <si>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</si>
  <si>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</si>
  <si>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</si>
  <si>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</si>
  <si>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</si>
  <si>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</si>
  <si>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</si>
  <si>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</si>
  <si>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</si>
  <si>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</si>
  <si>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</si>
  <si>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</si>
  <si>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</si>
  <si>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</si>
  <si>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</si>
  <si>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</si>
  <si>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</si>
  <si>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</si>
  <si>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</si>
  <si>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</si>
  <si>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</si>
  <si>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</si>
  <si>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</si>
  <si>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</si>
  <si>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</si>
  <si>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</si>
  <si>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</si>
  <si>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</si>
  <si>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</si>
  <si>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</si>
  <si>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</si>
  <si>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</si>
  <si>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</si>
  <si>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</si>
  <si>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</si>
  <si>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</si>
  <si>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</si>
  <si>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</si>
  <si>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</si>
  <si>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</si>
  <si>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</si>
  <si>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</si>
  <si>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</si>
  <si>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</si>
  <si>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</si>
  <si>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</si>
  <si>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</si>
  <si>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</si>
  <si>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</si>
  <si>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</si>
  <si>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</si>
  <si>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</si>
  <si>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</si>
  <si>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</si>
  <si>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</si>
  <si>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</si>
  <si>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</si>
  <si>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</si>
  <si>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</si>
  <si>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</si>
  <si>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</si>
  <si>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</si>
  <si>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</si>
  <si>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</si>
  <si>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</si>
  <si>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</si>
  <si>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</si>
  <si>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</si>
  <si>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</si>
  <si>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</si>
  <si>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</si>
  <si>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</si>
  <si>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</si>
  <si>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</si>
  <si>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</si>
  <si>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</si>
  <si>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</si>
  <si>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</si>
  <si>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</si>
  <si>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</si>
  <si>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</si>
  <si>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</si>
  <si>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</si>
  <si>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</si>
  <si>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</si>
  <si>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</si>
  <si>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</si>
  <si>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</si>
  <si>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</si>
  <si>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</si>
  <si>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</si>
  <si>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</si>
  <si>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</si>
  <si>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</si>
  <si>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</si>
  <si>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</si>
  <si>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</si>
  <si>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</si>
  <si>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</si>
  <si>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</si>
  <si>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</si>
  <si>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</si>
  <si>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</si>
  <si>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</si>
  <si>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</si>
  <si>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</si>
  <si>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</si>
  <si>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</si>
  <si>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</si>
  <si>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</si>
  <si>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</si>
  <si>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</si>
  <si>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</si>
  <si>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</si>
  <si>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</si>
  <si>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</si>
  <si>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</si>
  <si>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</si>
  <si>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</si>
  <si>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</si>
  <si>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</si>
  <si>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</si>
  <si>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</si>
  <si>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</si>
  <si>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</si>
  <si>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</si>
  <si>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</si>
  <si>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</si>
  <si>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</si>
  <si>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</si>
  <si>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</si>
  <si>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</si>
  <si>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</si>
  <si>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</si>
  <si>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</si>
  <si>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</si>
  <si>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</si>
  <si>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</si>
  <si>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</si>
  <si>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</si>
  <si>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</si>
  <si>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</si>
  <si>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</si>
  <si>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</si>
  <si>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</si>
  <si>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</si>
  <si>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</si>
  <si>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</si>
  <si>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</si>
  <si>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</si>
  <si>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</si>
  <si>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</si>
  <si>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</si>
  <si>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</si>
  <si>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</si>
  <si>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</si>
  <si>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</si>
  <si>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</si>
  <si>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</si>
  <si>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</si>
  <si>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</si>
  <si>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</si>
  <si>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</si>
  <si>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</si>
  <si>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</si>
  <si>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</si>
  <si>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</si>
  <si>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</si>
  <si>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</si>
  <si>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</si>
  <si>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</si>
  <si>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</si>
  <si>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</si>
  <si>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</si>
  <si>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</si>
  <si>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</si>
  <si>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</si>
  <si>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</si>
  <si>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</si>
  <si>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</si>
  <si>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</si>
  <si>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</si>
  <si>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</si>
  <si>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</si>
  <si>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</si>
  <si>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</si>
  <si>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</si>
  <si>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</si>
  <si>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</si>
  <si>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</si>
  <si>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</si>
  <si>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</si>
  <si>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</si>
  <si>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</si>
  <si>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</si>
  <si>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</si>
  <si>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</si>
  <si>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</si>
  <si>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</si>
  <si>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</si>
  <si>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</si>
  <si>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</si>
  <si>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</si>
  <si>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</si>
  <si>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</si>
  <si>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</si>
  <si>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</si>
  <si>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</si>
  <si>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</si>
  <si>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</si>
  <si>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</si>
  <si>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</si>
  <si>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</si>
  <si>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</si>
  <si>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</si>
  <si>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</si>
  <si>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</si>
  <si>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</si>
  <si>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</si>
  <si>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</si>
  <si>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</si>
  <si>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</si>
  <si>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</si>
  <si>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</si>
  <si>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</si>
  <si>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</si>
  <si>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</si>
  <si>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</si>
  <si>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</si>
  <si>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</si>
  <si>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</si>
  <si>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</si>
  <si>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</si>
  <si>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</si>
  <si>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</si>
  <si>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</si>
  <si>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</si>
  <si>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</si>
  <si>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</si>
  <si>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</si>
  <si>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</si>
  <si>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</si>
  <si>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</si>
  <si>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</si>
  <si>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</si>
  <si>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</si>
  <si>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</si>
  <si>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</si>
  <si>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</si>
  <si>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</si>
  <si>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</si>
  <si>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</si>
  <si>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</si>
  <si>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</si>
  <si>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</si>
  <si>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</si>
  <si>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</si>
  <si>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</si>
  <si>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</si>
  <si>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</si>
  <si>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</si>
  <si>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</si>
  <si>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</si>
  <si>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</si>
  <si>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</si>
  <si>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</si>
  <si>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</si>
  <si>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</si>
  <si>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</si>
  <si>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</si>
  <si>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</si>
  <si>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</si>
  <si>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</si>
  <si>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</si>
  <si>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</si>
  <si>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</si>
  <si>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</si>
  <si>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</si>
  <si>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</si>
  <si>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</si>
  <si>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</si>
  <si>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</si>
  <si>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</si>
  <si>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</si>
  <si>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</si>
  <si>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</si>
  <si>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</si>
  <si>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</si>
  <si>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</si>
  <si>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</si>
  <si>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</si>
  <si>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</si>
  <si>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</si>
  <si>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</si>
  <si>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</si>
  <si>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</si>
  <si>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</si>
  <si>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</si>
  <si>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</si>
  <si>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</si>
  <si>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</si>
  <si>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</si>
  <si>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</si>
  <si>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</si>
  <si>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</si>
  <si>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</si>
  <si>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</si>
  <si>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</si>
  <si>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</si>
  <si>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</si>
  <si>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</si>
  <si>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</si>
  <si>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</si>
  <si>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</si>
  <si>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</si>
  <si>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</si>
  <si>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</si>
  <si>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</si>
  <si>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</si>
  <si>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</si>
  <si>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</si>
  <si>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</si>
  <si>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</si>
  <si>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</si>
  <si>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</si>
  <si>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</si>
  <si>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</si>
  <si>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</si>
  <si>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</si>
  <si>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</si>
  <si>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</si>
  <si>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</si>
  <si>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</si>
  <si>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</si>
  <si>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</si>
  <si>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</si>
  <si>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</si>
  <si>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</si>
  <si>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</si>
  <si>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</si>
  <si>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</si>
  <si>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</si>
  <si>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</si>
  <si>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</si>
  <si>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</si>
  <si>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</si>
  <si>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</si>
  <si>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</si>
  <si>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</si>
  <si>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</si>
  <si>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</si>
  <si>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</si>
  <si>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</si>
  <si>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</si>
  <si>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</si>
  <si>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</si>
  <si>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</si>
  <si>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</si>
  <si>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</si>
  <si>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</si>
  <si>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</si>
  <si>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</si>
  <si>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</si>
  <si>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</si>
  <si>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</si>
  <si>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</si>
  <si>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</si>
  <si>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</si>
  <si>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</si>
  <si>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</si>
  <si>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</si>
  <si>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</si>
  <si>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</si>
  <si>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</si>
  <si>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</si>
  <si>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</si>
  <si>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</si>
  <si>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</si>
  <si>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</si>
  <si>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</si>
  <si>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</si>
  <si>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</si>
  <si>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</si>
  <si>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</si>
  <si>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</si>
  <si>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</si>
  <si>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</si>
  <si>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</si>
  <si>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</si>
  <si>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</si>
  <si>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</si>
  <si>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</si>
  <si>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</si>
  <si>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</si>
  <si>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</si>
  <si>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</si>
  <si>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</si>
  <si>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</si>
  <si>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</si>
  <si>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</si>
  <si>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</si>
  <si>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</si>
  <si>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</si>
  <si>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</si>
  <si>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</si>
  <si>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</si>
  <si>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</si>
  <si>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</si>
  <si>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</si>
  <si>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</si>
  <si>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</si>
  <si>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</si>
  <si>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</si>
  <si>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</si>
  <si>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</si>
  <si>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</si>
  <si>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</si>
  <si>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</si>
  <si>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</si>
  <si>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</si>
  <si>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</si>
  <si>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</si>
  <si>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</si>
  <si>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</si>
  <si>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</si>
  <si>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</si>
  <si>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</si>
  <si>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</si>
  <si>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</si>
  <si>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</si>
  <si>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</si>
  <si>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</si>
  <si>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</si>
  <si>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</si>
  <si>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</si>
  <si>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</si>
  <si>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</si>
  <si>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</si>
  <si>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</si>
  <si>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</si>
  <si>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</si>
  <si>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</si>
  <si>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</si>
  <si>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</si>
  <si>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</si>
  <si>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</si>
  <si>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</si>
  <si>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</si>
  <si>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</si>
  <si>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</si>
  <si>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</si>
  <si>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</si>
  <si>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</si>
  <si>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</si>
  <si>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</si>
  <si>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</si>
  <si>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</si>
  <si>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</si>
  <si>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</si>
  <si>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</si>
  <si>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</si>
  <si>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</si>
  <si>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</si>
  <si>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</si>
  <si>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</si>
  <si>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</si>
  <si>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</si>
  <si>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</si>
  <si>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</si>
  <si>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</si>
  <si>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</si>
  <si>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</si>
  <si>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</si>
  <si>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</si>
  <si>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</si>
  <si>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</si>
  <si>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</si>
  <si>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</si>
  <si>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</si>
  <si>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</si>
  <si>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</si>
  <si>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</si>
  <si>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</si>
  <si>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</si>
  <si>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</si>
  <si>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</si>
  <si>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</si>
  <si>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</si>
  <si>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</si>
  <si>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</si>
  <si>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</si>
  <si>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</si>
  <si>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</si>
  <si>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</si>
  <si>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</si>
  <si>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</si>
  <si>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</si>
  <si>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</si>
  <si>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</si>
  <si>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</si>
  <si>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</si>
  <si>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</si>
  <si>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</si>
  <si>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</si>
  <si>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</si>
  <si>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</si>
  <si>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</si>
  <si>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</si>
  <si>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</si>
  <si>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</si>
  <si>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</si>
  <si>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</si>
  <si>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</si>
  <si>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</si>
  <si>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</si>
  <si>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</si>
  <si>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</si>
  <si>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</si>
  <si>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</si>
  <si>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</si>
  <si>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</si>
  <si>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</si>
  <si>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</si>
  <si>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</si>
  <si>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</si>
  <si>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</si>
  <si>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</si>
  <si>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</si>
  <si>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</si>
  <si>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</si>
  <si>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</si>
  <si>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</si>
  <si>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</si>
  <si>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</si>
  <si>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</si>
  <si>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</si>
  <si>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</si>
  <si>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</si>
  <si>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</si>
  <si>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</si>
  <si>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</si>
  <si>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</si>
  <si>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</si>
  <si>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</si>
  <si>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</si>
  <si>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</si>
  <si>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</si>
  <si>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</si>
  <si>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</si>
  <si>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</si>
  <si>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</si>
  <si>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</si>
  <si>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</si>
  <si>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</si>
  <si>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</si>
  <si>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</si>
  <si>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</si>
  <si>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</si>
  <si>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</si>
  <si>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</si>
  <si>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</si>
  <si>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</si>
  <si>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</si>
  <si>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</si>
  <si>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</si>
  <si>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</si>
  <si>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</si>
  <si>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</si>
  <si>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</si>
  <si>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</si>
  <si>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</si>
  <si>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</si>
  <si>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</si>
  <si>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</si>
  <si>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</si>
  <si>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</si>
  <si>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</si>
  <si>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</si>
  <si>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</si>
  <si>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</si>
  <si>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</si>
  <si>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</si>
  <si>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</si>
  <si>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</si>
  <si>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</si>
  <si>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</si>
  <si>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</si>
  <si>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</si>
  <si>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</si>
  <si>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</si>
  <si>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</si>
  <si>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</si>
  <si>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</si>
  <si>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</si>
  <si>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</si>
  <si>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</si>
  <si>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</si>
  <si>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</si>
  <si>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</si>
  <si>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</si>
  <si>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</si>
  <si>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</si>
  <si>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</si>
  <si>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</si>
  <si>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</si>
  <si>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</si>
  <si>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</si>
  <si>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</si>
  <si>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</si>
  <si>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</si>
  <si>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</si>
  <si>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</si>
  <si>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</si>
  <si>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</si>
  <si>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</si>
  <si>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</si>
  <si>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</si>
  <si>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</si>
  <si>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</si>
  <si>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</si>
  <si>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</si>
  <si>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</si>
  <si>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</si>
  <si>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</si>
  <si>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</si>
  <si>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</si>
  <si>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</si>
  <si>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</si>
  <si>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</si>
  <si>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</si>
  <si>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</si>
  <si>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</si>
  <si>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</si>
  <si>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</si>
  <si>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</si>
  <si>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</si>
  <si>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</si>
  <si>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</si>
  <si>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</si>
  <si>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</si>
  <si>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</si>
  <si>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</si>
  <si>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</si>
  <si>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</si>
  <si>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</si>
  <si>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</si>
  <si>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</si>
  <si>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</si>
  <si>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</si>
  <si>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</si>
  <si>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</si>
  <si>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</si>
  <si>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</si>
  <si>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</si>
  <si>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</si>
  <si>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</si>
  <si>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</si>
  <si>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</si>
  <si>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</si>
  <si>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</si>
  <si>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</si>
  <si>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</si>
  <si>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</si>
  <si>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</si>
  <si>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</si>
  <si>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</si>
  <si>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</si>
  <si>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</si>
  <si>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</si>
  <si>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</si>
  <si>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</si>
  <si>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</si>
  <si>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</si>
  <si>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</si>
  <si>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</si>
  <si>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</si>
  <si>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</si>
  <si>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</si>
  <si>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</si>
  <si>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</si>
  <si>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</si>
  <si>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</si>
  <si>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</si>
  <si>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</si>
  <si>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</si>
  <si>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</si>
  <si>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</si>
  <si>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</si>
  <si>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</si>
  <si>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</si>
  <si>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</si>
  <si>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</si>
  <si>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</si>
  <si>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</si>
  <si>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</si>
  <si>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</si>
  <si>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</si>
  <si>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</si>
  <si>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</si>
  <si>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</si>
  <si>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</si>
  <si>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</si>
  <si>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</si>
  <si>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</si>
  <si>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</si>
  <si>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</si>
  <si>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</si>
  <si>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</si>
  <si>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</si>
  <si>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</si>
  <si>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</si>
  <si>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</si>
  <si>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</si>
  <si>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</si>
  <si>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</si>
  <si>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</si>
  <si>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</si>
  <si>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</si>
  <si>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</si>
  <si>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</si>
  <si>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</si>
  <si>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</si>
  <si>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</si>
  <si>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</si>
  <si>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</si>
  <si>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</si>
  <si>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</si>
  <si>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</si>
  <si>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</si>
  <si>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</si>
  <si>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</si>
  <si>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</si>
  <si>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</si>
  <si>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</si>
  <si>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</si>
  <si>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</si>
  <si>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</si>
  <si>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</si>
  <si>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</si>
  <si>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</si>
  <si>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</si>
  <si>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</si>
  <si>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</si>
  <si>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</si>
  <si>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</si>
  <si>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</si>
  <si>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</si>
  <si>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</si>
  <si>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</si>
  <si>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</si>
  <si>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</si>
  <si>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</si>
  <si>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</si>
  <si>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</si>
  <si>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</si>
  <si>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</si>
  <si>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</si>
  <si>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</si>
  <si>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</si>
  <si>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</si>
  <si>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</si>
  <si>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</si>
  <si>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</si>
  <si>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</si>
  <si>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</si>
  <si>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</si>
  <si>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</si>
  <si>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</si>
  <si>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</si>
  <si>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</si>
  <si>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</si>
  <si>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</si>
  <si>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</si>
  <si>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</si>
  <si>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</si>
  <si>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</si>
  <si>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</si>
  <si>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</si>
  <si>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</si>
  <si>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</si>
  <si>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</si>
  <si>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</si>
  <si>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</si>
  <si>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</si>
  <si>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</si>
  <si>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</si>
  <si>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</si>
  <si>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</si>
  <si>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</si>
  <si>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</si>
  <si>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</si>
  <si>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</si>
  <si>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</si>
  <si>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</si>
  <si>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</si>
  <si>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</si>
  <si>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</si>
  <si>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</si>
  <si>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</si>
  <si>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</si>
  <si>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</si>
  <si>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</si>
  <si>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</si>
  <si>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</si>
  <si>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</si>
  <si>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</si>
  <si>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</si>
  <si>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</si>
  <si>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</si>
  <si>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</si>
  <si>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</si>
  <si>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</si>
  <si>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</si>
  <si>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</si>
  <si>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</si>
  <si>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</si>
  <si>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</si>
  <si>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</si>
  <si>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</si>
  <si>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</si>
  <si>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</si>
  <si>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</si>
  <si>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</si>
  <si>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</si>
  <si>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</si>
  <si>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</si>
  <si>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</si>
  <si>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</si>
  <si>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</si>
  <si>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</si>
  <si>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</si>
  <si>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</si>
  <si>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</si>
  <si>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</si>
  <si>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</si>
  <si>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</si>
  <si>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</si>
  <si>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</si>
  <si>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</si>
  <si>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</si>
  <si>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</si>
  <si>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</si>
  <si>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</si>
  <si>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</si>
  <si>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</si>
  <si>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</si>
  <si>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</si>
  <si>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</si>
  <si>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</si>
  <si>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</si>
  <si>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</si>
  <si>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</si>
  <si>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</si>
  <si>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</si>
  <si>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</si>
  <si>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</si>
  <si>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</si>
  <si>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</si>
  <si>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</si>
  <si>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</si>
  <si>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</si>
  <si>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</si>
  <si>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</si>
  <si>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</si>
  <si>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</si>
  <si>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</si>
  <si>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</si>
  <si>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</si>
  <si>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</si>
  <si>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</si>
  <si>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</si>
  <si>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</si>
  <si>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</si>
  <si>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</si>
  <si>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</si>
  <si>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</si>
  <si>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</si>
  <si>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</si>
  <si>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</si>
  <si>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</si>
  <si>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</si>
  <si>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</si>
  <si>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</si>
  <si>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</si>
  <si>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</si>
  <si>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</si>
  <si>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</si>
  <si>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</si>
  <si>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</si>
  <si>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</si>
  <si>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</si>
  <si>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</si>
  <si>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</si>
  <si>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</si>
  <si>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</si>
  <si>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</si>
  <si>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</si>
  <si>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</si>
  <si>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</si>
  <si>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</si>
  <si>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</si>
  <si>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</si>
  <si>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</si>
  <si>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</si>
  <si>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</si>
  <si>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</si>
  <si>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</si>
  <si>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</si>
  <si>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</si>
  <si>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</si>
  <si>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</si>
  <si>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</si>
  <si>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</si>
  <si>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</si>
  <si>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</si>
  <si>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</si>
  <si>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</si>
  <si>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</si>
  <si>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</si>
  <si>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</si>
  <si>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</si>
  <si>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</si>
  <si>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</si>
  <si>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</si>
  <si>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</si>
  <si>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</si>
  <si>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</si>
  <si>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</si>
  <si>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</si>
  <si>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</si>
  <si>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</si>
  <si>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</si>
  <si>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</si>
  <si>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</si>
  <si>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</si>
  <si>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</si>
  <si>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</si>
  <si>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</si>
  <si>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</si>
  <si>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</si>
  <si>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</si>
  <si>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</si>
  <si>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</si>
  <si>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</si>
  <si>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</si>
  <si>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</si>
  <si>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</si>
  <si>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</si>
  <si>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</si>
  <si>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</si>
  <si>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</si>
  <si>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</si>
  <si>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</si>
  <si>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</si>
  <si>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</si>
  <si>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</si>
  <si>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</si>
  <si>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</si>
  <si>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</si>
  <si>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</si>
  <si>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</si>
  <si>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</si>
  <si>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</si>
  <si>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</si>
  <si>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</si>
  <si>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</si>
  <si>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</si>
  <si>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</si>
  <si>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</si>
  <si>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</si>
  <si>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</si>
  <si>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</si>
  <si>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</si>
  <si>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</si>
  <si>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</si>
  <si>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</si>
  <si>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</si>
  <si>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</si>
  <si>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</si>
  <si>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</si>
  <si>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</si>
  <si>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</si>
  <si>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</si>
  <si>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</si>
  <si>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</si>
  <si>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</si>
  <si>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</si>
  <si>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</si>
  <si>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</si>
  <si>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</si>
  <si>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</si>
  <si>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</si>
  <si>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</si>
  <si>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</si>
  <si>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</si>
  <si>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</si>
  <si>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</si>
  <si>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</si>
  <si>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</si>
  <si>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</si>
  <si>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</si>
  <si>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</si>
  <si>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</si>
  <si>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</si>
  <si>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</si>
  <si>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</si>
  <si>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</si>
  <si>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</si>
  <si>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</si>
  <si>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</si>
  <si>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</si>
  <si>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</si>
  <si>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</si>
  <si>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</si>
  <si>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</si>
  <si>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</si>
  <si>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</si>
  <si>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</si>
  <si>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</si>
  <si>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</si>
  <si>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</si>
  <si>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</si>
  <si>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</si>
  <si>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</si>
  <si>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</si>
  <si>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</si>
  <si>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</si>
  <si>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</si>
  <si>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</si>
  <si>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</si>
  <si>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</si>
  <si>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</si>
  <si>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</si>
  <si>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</si>
  <si>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</si>
  <si>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</si>
  <si>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</si>
  <si>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</si>
  <si>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</si>
  <si>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</si>
  <si>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</si>
  <si>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</si>
  <si>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</si>
  <si>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</si>
  <si>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</si>
  <si>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</si>
  <si>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</si>
  <si>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</si>
  <si>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</si>
  <si>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</si>
  <si>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</si>
  <si>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</si>
  <si>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</si>
  <si>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</si>
  <si>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</si>
  <si>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</si>
  <si>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</si>
  <si>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</si>
  <si>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</si>
  <si>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</si>
  <si>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</si>
  <si>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</si>
  <si>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</si>
  <si>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</si>
  <si>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</si>
  <si>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</si>
  <si>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</si>
  <si>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</si>
  <si>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</si>
  <si>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</si>
  <si>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</si>
  <si>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</si>
  <si>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</si>
  <si>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</si>
  <si>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</si>
  <si>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</si>
  <si>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</si>
  <si>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</si>
  <si>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</si>
  <si>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</si>
  <si>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</si>
  <si>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</si>
  <si>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</si>
  <si>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</si>
  <si>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</si>
  <si>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</si>
  <si>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</si>
  <si>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</si>
  <si>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</si>
  <si>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</si>
  <si>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</si>
  <si>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</si>
  <si>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</si>
  <si>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</si>
  <si>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</si>
  <si>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</si>
  <si>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</si>
  <si>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</si>
  <si>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</si>
  <si>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</si>
  <si>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</si>
  <si>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</si>
  <si>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</si>
  <si>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</si>
  <si>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</si>
  <si>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</si>
  <si>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</si>
  <si>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</si>
  <si>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</si>
  <si>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</si>
  <si>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</si>
  <si>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</si>
  <si>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</si>
  <si>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</si>
  <si>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</si>
  <si>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</si>
  <si>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</si>
  <si>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</si>
  <si>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</si>
  <si>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</si>
  <si>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</si>
  <si>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</si>
  <si>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</si>
  <si>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</si>
  <si>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</si>
  <si>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</si>
  <si>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</si>
  <si>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</si>
  <si>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</si>
  <si>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</si>
  <si>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</si>
  <si>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</si>
  <si>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</si>
  <si>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</si>
  <si>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</si>
  <si>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</si>
  <si>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</si>
  <si>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</si>
  <si>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</si>
  <si>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</si>
  <si>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</si>
  <si>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</si>
  <si>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</si>
  <si>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</si>
  <si>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</si>
  <si>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</si>
  <si>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</si>
  <si>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</si>
  <si>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</si>
  <si>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</si>
  <si>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</si>
  <si>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</si>
  <si>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</si>
  <si>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</si>
  <si>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</si>
  <si>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</si>
  <si>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</si>
  <si>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</si>
  <si>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</si>
  <si>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</si>
  <si>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</si>
  <si>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</si>
  <si>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</si>
  <si>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</si>
  <si>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</si>
  <si>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</si>
  <si>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</si>
  <si>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</si>
  <si>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</si>
  <si>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</si>
  <si>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</si>
  <si>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</si>
  <si>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</si>
  <si>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</si>
  <si>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</si>
  <si>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</si>
  <si>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</si>
  <si>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</si>
  <si>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</si>
  <si>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</si>
  <si>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</si>
  <si>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</si>
  <si>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</si>
  <si>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</si>
  <si>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</si>
  <si>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</si>
  <si>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</si>
  <si>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</si>
  <si>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</si>
  <si>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</si>
  <si>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</si>
  <si>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</si>
  <si>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</si>
  <si>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</si>
  <si>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</si>
  <si>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</si>
  <si>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</si>
  <si>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</si>
  <si>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</si>
  <si>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</si>
  <si>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</si>
  <si>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</si>
  <si>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</si>
  <si>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</si>
  <si>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</si>
  <si>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</si>
  <si>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</si>
  <si>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</si>
  <si>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</si>
  <si>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</si>
  <si>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</si>
  <si>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</si>
  <si>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</si>
  <si>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</si>
  <si>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</si>
  <si>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</si>
  <si>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</si>
  <si>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</si>
  <si>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</si>
  <si>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</si>
  <si>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</si>
  <si>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</si>
  <si>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</si>
  <si>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</si>
  <si>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</si>
  <si>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</si>
  <si>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</si>
  <si>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</si>
  <si>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</si>
  <si>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</si>
  <si>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</si>
  <si>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</si>
  <si>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</si>
  <si>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</si>
  <si>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</si>
  <si>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</si>
  <si>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</si>
  <si>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</si>
  <si>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</si>
  <si>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</si>
  <si>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</si>
  <si>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</si>
  <si>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</si>
  <si>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</si>
  <si>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</si>
  <si>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</si>
  <si>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</si>
  <si>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</si>
  <si>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</si>
  <si>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</si>
  <si>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</si>
  <si>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</si>
  <si>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</si>
  <si>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</si>
  <si>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</si>
  <si>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</si>
  <si>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</si>
  <si>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</si>
  <si>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</si>
  <si>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</si>
  <si>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</si>
  <si>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</si>
  <si>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</si>
  <si>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</si>
  <si>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</si>
  <si>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</si>
  <si>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</si>
  <si>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</si>
  <si>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</si>
  <si>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</si>
  <si>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</si>
  <si>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</si>
  <si>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</si>
  <si>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</si>
  <si>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</si>
  <si>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</si>
  <si>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</si>
  <si>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</si>
  <si>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</si>
  <si>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</si>
  <si>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</si>
  <si>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</si>
  <si>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</si>
  <si>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</si>
  <si>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</si>
  <si>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</si>
  <si>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</si>
  <si>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</si>
  <si>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</si>
  <si>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</si>
  <si>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</si>
  <si>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</si>
  <si>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</si>
  <si>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</si>
  <si>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</si>
  <si>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</si>
  <si>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</si>
  <si>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</si>
  <si>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</si>
  <si>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</si>
  <si>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</si>
  <si>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</si>
  <si>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</si>
  <si>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</si>
  <si>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</si>
  <si>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</si>
  <si>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</si>
  <si>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</si>
  <si>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</si>
  <si>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</si>
  <si>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</si>
  <si>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</si>
  <si>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</si>
  <si>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</si>
  <si>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</si>
  <si>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</si>
  <si>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</si>
  <si>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</si>
  <si>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</si>
  <si>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</si>
  <si>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</si>
  <si>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</si>
  <si>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</si>
  <si>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</si>
  <si>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</si>
  <si>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</si>
  <si>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</si>
  <si>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</si>
  <si>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</si>
  <si>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</si>
  <si>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</si>
  <si>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</si>
  <si>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</si>
  <si>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</si>
  <si>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</si>
  <si>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</si>
  <si>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</si>
  <si>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</si>
  <si>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</si>
  <si>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</si>
  <si>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</si>
  <si>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</si>
  <si>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</si>
  <si>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</si>
  <si>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</si>
  <si>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</si>
  <si>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</si>
  <si>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</si>
  <si>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</si>
  <si>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</si>
  <si>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</si>
  <si>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</si>
  <si>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</si>
  <si>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</si>
  <si>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</si>
  <si>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</si>
  <si>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</si>
  <si>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</si>
  <si>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</si>
  <si>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</si>
  <si>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</si>
  <si>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</si>
  <si>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</si>
  <si>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</si>
  <si>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</si>
  <si>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</si>
  <si>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</si>
  <si>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</si>
  <si>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</si>
  <si>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</si>
  <si>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</si>
  <si>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</si>
  <si>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</si>
  <si>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</si>
  <si>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</si>
  <si>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</si>
  <si>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</si>
  <si>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</si>
  <si>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</si>
  <si>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</si>
  <si>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</si>
  <si>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</si>
  <si>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</si>
  <si>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</si>
  <si>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</si>
  <si>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</si>
  <si>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</si>
  <si>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</si>
  <si>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</si>
  <si>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</si>
  <si>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</si>
  <si>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</si>
  <si>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</si>
  <si>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</si>
  <si>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</si>
  <si>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</si>
  <si>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</si>
  <si>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</si>
  <si>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</si>
  <si>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</si>
  <si>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</si>
  <si>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</si>
  <si>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</si>
  <si>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</si>
  <si>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</si>
  <si>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</si>
  <si>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</si>
  <si>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</si>
  <si>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</si>
  <si>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</si>
  <si>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</si>
  <si>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</si>
  <si>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</si>
  <si>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</si>
  <si>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</si>
  <si>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</si>
  <si>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</si>
  <si>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</si>
  <si>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</si>
  <si>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</si>
  <si>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</si>
  <si>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</si>
  <si>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</si>
  <si>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</si>
  <si>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</si>
  <si>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</si>
  <si>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</si>
  <si>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</si>
  <si>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</si>
  <si>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</si>
  <si>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</si>
  <si>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</si>
  <si>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</si>
  <si>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</si>
  <si>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</si>
  <si>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</si>
  <si>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</si>
  <si>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</si>
  <si>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</si>
  <si>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</si>
  <si>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</si>
  <si>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</si>
  <si>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</si>
  <si>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</si>
  <si>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</si>
  <si>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</si>
  <si>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</si>
  <si>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</si>
  <si>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</si>
  <si>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</si>
  <si>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</si>
  <si>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</si>
  <si>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</si>
  <si>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</si>
  <si>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</si>
  <si>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</si>
  <si>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</si>
  <si>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</si>
  <si>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</si>
  <si>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</si>
  <si>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</si>
  <si>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</si>
  <si>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</si>
  <si>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</si>
  <si>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</si>
  <si>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</si>
  <si>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</si>
  <si>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</si>
  <si>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</si>
  <si>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</si>
  <si>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</si>
  <si>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</si>
  <si>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</si>
  <si>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</si>
  <si>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</si>
  <si>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</si>
  <si>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</si>
  <si>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</si>
  <si>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</si>
  <si>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</si>
  <si>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</si>
  <si>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</si>
  <si>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</si>
  <si>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</si>
  <si>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</si>
  <si>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</si>
  <si>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</si>
  <si>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</si>
  <si>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</si>
  <si>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</si>
  <si>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</si>
  <si>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</si>
  <si>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</si>
  <si>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</si>
  <si>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</si>
  <si>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</si>
  <si>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</si>
  <si>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</si>
  <si>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</si>
  <si>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</si>
  <si>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</si>
  <si>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</si>
  <si>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</si>
  <si>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</si>
  <si>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</si>
  <si>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</si>
  <si>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</si>
  <si>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</si>
  <si>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</si>
  <si>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</si>
  <si>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</si>
  <si>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</si>
  <si>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</si>
  <si>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</si>
  <si>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</si>
  <si>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</si>
  <si>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</si>
  <si>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</si>
  <si>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</si>
  <si>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</si>
  <si>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</si>
  <si>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</si>
  <si>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</si>
  <si>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</si>
  <si>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</si>
  <si>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</si>
  <si>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</si>
  <si>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</si>
  <si>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</si>
  <si>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</si>
  <si>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</si>
  <si>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</si>
  <si>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</si>
  <si>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</si>
  <si>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</si>
  <si>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</si>
  <si>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</si>
  <si>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</si>
  <si>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</si>
  <si>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</si>
  <si>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</si>
  <si>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</si>
  <si>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</si>
  <si>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</si>
  <si>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</si>
  <si>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</si>
  <si>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</si>
  <si>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</si>
  <si>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</si>
  <si>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</si>
  <si>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</si>
  <si>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</si>
  <si>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</si>
  <si>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</si>
  <si>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</si>
  <si>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</si>
  <si>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</si>
  <si>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</si>
  <si>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</si>
  <si>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</si>
  <si>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</si>
  <si>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</si>
  <si>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</si>
  <si>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</si>
  <si>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</si>
  <si>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</si>
  <si>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</si>
  <si>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</si>
  <si>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</si>
  <si>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</si>
  <si>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</si>
  <si>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</si>
  <si>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</si>
  <si>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</si>
  <si>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</si>
  <si>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</si>
  <si>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</si>
  <si>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</si>
  <si>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</si>
  <si>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</si>
  <si>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</si>
  <si>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</si>
  <si>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</si>
  <si>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</si>
  <si>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</si>
  <si>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</si>
  <si>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</si>
  <si>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</si>
  <si>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</si>
  <si>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</si>
  <si>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</si>
  <si>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</si>
  <si>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</si>
  <si>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</si>
  <si>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</si>
  <si>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</si>
  <si>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</si>
  <si>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</si>
  <si>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</si>
  <si>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</si>
  <si>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</si>
  <si>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</si>
  <si>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</si>
  <si>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</si>
  <si>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</si>
  <si>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</si>
  <si>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</si>
  <si>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</si>
  <si>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</si>
  <si>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</si>
  <si>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</si>
  <si>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</si>
  <si>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</si>
  <si>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</si>
  <si>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</si>
  <si>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</si>
  <si>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</si>
  <si>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</si>
  <si>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</si>
  <si>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</si>
  <si>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</si>
  <si>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</si>
  <si>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</si>
  <si>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</si>
  <si>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</si>
  <si>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</si>
  <si>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</si>
  <si>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</si>
  <si>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</si>
  <si>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</si>
  <si>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</si>
  <si>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</si>
  <si>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</si>
  <si>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</si>
  <si>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</si>
  <si>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</si>
  <si>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</si>
  <si>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</si>
  <si>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</si>
  <si>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</si>
  <si>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</si>
  <si>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</si>
  <si>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</si>
  <si>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</si>
  <si>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</si>
  <si>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</si>
  <si>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</si>
  <si>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</si>
  <si>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</si>
  <si>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</si>
  <si>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</si>
  <si>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</si>
  <si>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</si>
  <si>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</si>
  <si>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</si>
  <si>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</si>
  <si>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</si>
  <si>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</si>
  <si>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</si>
  <si>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</si>
  <si>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</si>
  <si>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</si>
  <si>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</si>
  <si>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</si>
  <si>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</si>
  <si>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</si>
  <si>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</si>
  <si>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</si>
  <si>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</si>
  <si>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</si>
  <si>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</si>
  <si>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</si>
  <si>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</si>
  <si>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</si>
  <si>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</si>
  <si>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</si>
  <si>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</si>
  <si>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</si>
  <si>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</si>
  <si>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</si>
  <si>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</si>
  <si>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</si>
  <si>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</si>
  <si>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</si>
  <si>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</si>
  <si>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</si>
  <si>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</si>
  <si>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</si>
  <si>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</si>
  <si>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</si>
  <si>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</si>
  <si>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</si>
  <si>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</si>
  <si>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</si>
  <si>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</si>
  <si>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</si>
  <si>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</si>
  <si>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</si>
  <si>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</si>
  <si>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</si>
  <si>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</si>
  <si>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</si>
  <si>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</si>
  <si>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</si>
  <si>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</si>
  <si>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</si>
  <si>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</si>
  <si>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</si>
  <si>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</si>
  <si>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</si>
  <si>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</si>
  <si>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</si>
  <si>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</si>
  <si>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</si>
  <si>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</si>
  <si>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</si>
  <si>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</si>
  <si>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</si>
  <si>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</si>
  <si>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</si>
  <si>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</si>
  <si>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</si>
  <si>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</si>
  <si>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</si>
  <si>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</si>
  <si>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</si>
  <si>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</si>
  <si>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</si>
  <si>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</si>
  <si>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</si>
  <si>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</si>
  <si>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</si>
  <si>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</si>
  <si>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</si>
  <si>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</si>
  <si>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</si>
  <si>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</si>
  <si>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</si>
  <si>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</si>
  <si>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</si>
  <si>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</si>
  <si>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</si>
  <si>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</si>
  <si>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</si>
  <si>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</si>
  <si>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</si>
  <si>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</si>
  <si>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</si>
  <si>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</si>
  <si>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</si>
  <si>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</si>
  <si>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</si>
  <si>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</si>
  <si>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</si>
  <si>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</si>
  <si>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</si>
  <si>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</si>
  <si>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</si>
  <si>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</si>
  <si>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</si>
  <si>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</si>
  <si>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</si>
  <si>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</si>
  <si>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</si>
  <si>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</si>
  <si>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</si>
  <si>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</si>
  <si>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</si>
  <si>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</si>
  <si>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</si>
  <si>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</si>
  <si>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</si>
  <si>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</si>
  <si>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</si>
  <si>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</si>
  <si>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</si>
  <si>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</si>
  <si>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</si>
  <si>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</si>
  <si>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</si>
  <si>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</si>
  <si>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</si>
  <si>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</si>
  <si>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</si>
  <si>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</si>
  <si>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</si>
  <si>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</si>
  <si>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</si>
  <si>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</si>
  <si>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</si>
  <si>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</si>
  <si>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</si>
  <si>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</si>
  <si>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</si>
  <si>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</si>
  <si>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</si>
  <si>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</si>
  <si>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</si>
  <si>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</si>
  <si>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</si>
  <si>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</si>
  <si>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</si>
  <si>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</si>
  <si>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</si>
  <si>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</si>
  <si>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</si>
  <si>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</si>
  <si>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</si>
  <si>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</si>
  <si>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</si>
  <si>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</si>
  <si>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</si>
  <si>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</si>
  <si>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</si>
  <si>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</si>
  <si>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</si>
  <si>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</si>
  <si>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</si>
  <si>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</si>
  <si>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</si>
  <si>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</si>
  <si>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</si>
  <si>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</si>
  <si>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</si>
  <si>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</si>
  <si>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</si>
  <si>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</si>
  <si>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</si>
  <si>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</si>
  <si>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</si>
  <si>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</si>
  <si>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</si>
  <si>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</si>
  <si>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</si>
  <si>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</si>
  <si>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</si>
  <si>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</si>
  <si>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</si>
  <si>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</si>
  <si>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</si>
  <si>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</si>
  <si>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</si>
  <si>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</si>
  <si>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</si>
  <si>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</si>
  <si>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</si>
  <si>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</si>
  <si>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</si>
  <si>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</si>
  <si>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</si>
  <si>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</si>
  <si>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</si>
  <si>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</si>
  <si>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</si>
  <si>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</si>
  <si>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</si>
  <si>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</si>
  <si>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</si>
  <si>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</si>
  <si>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</si>
  <si>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</si>
  <si>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</si>
  <si>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</si>
  <si>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</si>
  <si>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</si>
  <si>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</si>
  <si>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</si>
  <si>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</si>
  <si>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</si>
  <si>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</si>
  <si>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</si>
  <si>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</si>
  <si>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</si>
  <si>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</si>
  <si>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</si>
  <si>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</si>
  <si>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</si>
  <si>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</si>
  <si>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</si>
  <si>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</si>
  <si>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</si>
  <si>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</si>
  <si>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</si>
  <si>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</si>
  <si>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</si>
  <si>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</si>
  <si>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</si>
  <si>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</si>
  <si>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</si>
  <si>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</si>
  <si>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</si>
  <si>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</si>
  <si>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</si>
  <si>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</si>
  <si>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</si>
  <si>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</si>
  <si>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</si>
  <si>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</si>
  <si>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</si>
  <si>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</si>
  <si>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</si>
  <si>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</si>
  <si>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</si>
  <si>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</si>
  <si>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</si>
  <si>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</si>
  <si>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</si>
  <si>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</si>
  <si>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</si>
  <si>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</si>
  <si>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</si>
  <si>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</si>
  <si>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</si>
  <si>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</si>
  <si>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</si>
  <si>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</si>
  <si>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</si>
  <si>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</si>
  <si>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</si>
  <si>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</si>
  <si>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</si>
  <si>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</si>
  <si>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</si>
  <si>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</si>
  <si>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</si>
  <si>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</si>
  <si>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</si>
  <si>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</si>
  <si>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</si>
  <si>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</si>
  <si>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</si>
  <si>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</si>
  <si>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</si>
  <si>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</si>
  <si>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</si>
  <si>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</si>
  <si>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</si>
  <si>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</si>
  <si>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</si>
  <si>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</si>
  <si>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</si>
  <si>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</si>
  <si>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</si>
  <si>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</si>
  <si>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</si>
  <si>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</si>
  <si>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</si>
  <si>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</si>
  <si>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</si>
  <si>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</si>
  <si>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</si>
  <si>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</si>
  <si>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</si>
  <si>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</si>
  <si>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</si>
  <si>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</si>
  <si>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</si>
  <si>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</si>
  <si>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</si>
  <si>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</si>
  <si>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</si>
  <si>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</si>
  <si>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</si>
  <si>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</si>
  <si>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</si>
  <si>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</si>
  <si>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</si>
  <si>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</si>
  <si>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</si>
  <si>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</si>
  <si>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</si>
  <si>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</si>
  <si>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</si>
  <si>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</si>
  <si>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</si>
  <si>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</si>
  <si>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</si>
  <si>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</si>
  <si>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</si>
  <si>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</si>
  <si>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</si>
  <si>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</si>
  <si>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</si>
  <si>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</si>
  <si>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</si>
  <si>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</si>
  <si>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</si>
  <si>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</si>
  <si>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</si>
  <si>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</si>
  <si>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</si>
  <si>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</si>
  <si>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</si>
  <si>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</si>
  <si>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</si>
  <si>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</si>
  <si>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</si>
  <si>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</si>
  <si>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</si>
  <si>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</si>
  <si>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</si>
  <si>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</si>
  <si>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</si>
  <si>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</si>
  <si>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</si>
  <si>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</si>
  <si>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</si>
  <si>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</si>
  <si>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</si>
  <si>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</si>
  <si>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</si>
  <si>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</si>
  <si>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</si>
  <si>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</si>
  <si>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</si>
  <si>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</si>
  <si>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</si>
  <si>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</si>
  <si>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</si>
  <si>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</si>
  <si>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</si>
  <si>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</si>
  <si>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</si>
  <si>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</si>
  <si>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</si>
  <si>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</si>
  <si>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</si>
  <si>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</si>
  <si>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</si>
  <si>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</si>
  <si>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</si>
  <si>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</si>
  <si>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</si>
  <si>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</si>
  <si>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</si>
  <si>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</si>
  <si>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</si>
  <si>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</si>
  <si>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</si>
  <si>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</si>
  <si>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</si>
  <si>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</si>
  <si>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</si>
  <si>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</si>
  <si>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</si>
  <si>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</si>
  <si>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</si>
  <si>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</si>
  <si>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</si>
  <si>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</si>
  <si>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</si>
  <si>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</si>
  <si>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</si>
  <si>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</si>
  <si>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</si>
  <si>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</si>
  <si>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</si>
  <si>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</si>
  <si>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</si>
  <si>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</si>
  <si>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</si>
  <si>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</si>
  <si>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</si>
  <si>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</si>
  <si>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</si>
  <si>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</si>
  <si>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</si>
  <si>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</si>
  <si>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</si>
  <si>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</si>
  <si>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</si>
  <si>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</si>
  <si>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</si>
  <si>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</si>
  <si>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</si>
  <si>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</si>
  <si>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</si>
  <si>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</si>
  <si>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</si>
  <si>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</si>
  <si>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</si>
  <si>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</si>
  <si>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</si>
  <si>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</si>
  <si>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</si>
  <si>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</si>
  <si>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</si>
  <si>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</si>
  <si>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</si>
  <si>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</si>
  <si>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</si>
  <si>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</si>
  <si>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</si>
  <si>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</si>
  <si>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</si>
  <si>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</si>
  <si>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</si>
  <si>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</si>
  <si>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</si>
  <si>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</si>
  <si>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</si>
  <si>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</si>
  <si>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</si>
  <si>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</si>
  <si>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</si>
  <si>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</si>
  <si>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</si>
  <si>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</si>
  <si>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</si>
  <si>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</si>
  <si>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</si>
  <si>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</si>
  <si>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</si>
  <si>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</si>
  <si>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</si>
  <si>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</si>
  <si>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</si>
  <si>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</si>
  <si>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</si>
  <si>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</si>
  <si>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</si>
  <si>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</si>
  <si>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</si>
  <si>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</si>
  <si>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</si>
  <si>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</si>
  <si>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</si>
  <si>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</si>
  <si>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</si>
  <si>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</si>
  <si>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</si>
  <si>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</si>
  <si>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</si>
  <si>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</si>
  <si>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</si>
  <si>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</si>
  <si>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</si>
  <si>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</si>
  <si>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</si>
  <si>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</si>
  <si>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</si>
  <si>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</si>
  <si>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</si>
  <si>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</si>
  <si>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</si>
  <si>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</si>
  <si>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</si>
  <si>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</si>
  <si>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</si>
  <si>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</si>
  <si>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</si>
  <si>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</si>
  <si>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</si>
  <si>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</si>
  <si>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</si>
  <si>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</si>
  <si>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</si>
  <si>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</si>
  <si>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</si>
  <si>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</si>
  <si>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</si>
  <si>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</si>
  <si>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</si>
  <si>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</si>
  <si>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</si>
  <si>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</si>
  <si>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</si>
  <si>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</si>
  <si>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</si>
  <si>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</si>
  <si>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</si>
  <si>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</si>
  <si>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</si>
  <si>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</si>
  <si>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</si>
  <si>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</si>
  <si>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</si>
  <si>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</si>
  <si>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</si>
  <si>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</si>
  <si>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</si>
  <si>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</si>
  <si>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</si>
  <si>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</si>
  <si>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</si>
  <si>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</si>
  <si>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</si>
  <si>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</si>
  <si>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</si>
  <si>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</si>
  <si>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</si>
  <si>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</si>
  <si>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</si>
  <si>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</si>
  <si>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</si>
  <si>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</si>
  <si>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</si>
  <si>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</si>
  <si>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</si>
  <si>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</si>
  <si>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</si>
  <si>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</si>
  <si>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</si>
  <si>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</si>
  <si>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</si>
  <si>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</si>
  <si>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</si>
  <si>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</si>
  <si>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</si>
  <si>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</si>
  <si>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</si>
  <si>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</si>
  <si>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</si>
  <si>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</si>
  <si>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</si>
  <si>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</si>
  <si>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</si>
  <si>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</si>
  <si>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</si>
  <si>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</si>
  <si>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</si>
  <si>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</si>
  <si>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</si>
  <si>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</si>
  <si>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</si>
  <si>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</si>
  <si>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</si>
  <si>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</si>
  <si>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</si>
  <si>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</si>
  <si>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</si>
  <si>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</si>
  <si>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</si>
  <si>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</si>
  <si>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</si>
  <si>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</si>
  <si>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</si>
  <si>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</si>
  <si>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</si>
  <si>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</si>
  <si>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</si>
  <si>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</si>
  <si>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</si>
  <si>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</si>
  <si>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</si>
  <si>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</si>
  <si>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</si>
  <si>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</si>
  <si>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</si>
  <si>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</si>
  <si>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</si>
  <si>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</si>
  <si>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</si>
  <si>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</si>
  <si>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</si>
  <si>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</si>
  <si>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</si>
  <si>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</si>
  <si>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</si>
  <si>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</si>
  <si>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</si>
  <si>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</si>
  <si>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</si>
  <si>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</si>
  <si>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</si>
  <si>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</si>
  <si>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</si>
  <si>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</si>
  <si>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</si>
  <si>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</si>
  <si>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</si>
  <si>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</si>
  <si>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</si>
  <si>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</si>
  <si>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</si>
  <si>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</si>
  <si>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</si>
  <si>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</si>
  <si>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</si>
  <si>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</si>
  <si>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</si>
  <si>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</si>
  <si>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</si>
  <si>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</si>
  <si>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</si>
  <si>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</si>
  <si>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</si>
  <si>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</si>
  <si>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</si>
  <si>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</si>
  <si>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</si>
  <si>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</si>
  <si>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</si>
  <si>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</si>
  <si>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</si>
  <si>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</si>
  <si>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</si>
  <si>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</si>
  <si>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</si>
  <si>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</si>
  <si>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</si>
  <si>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</si>
  <si>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</si>
  <si>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</si>
  <si>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</si>
  <si>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</si>
  <si>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</si>
  <si>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</si>
  <si>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</si>
  <si>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</si>
  <si>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</si>
  <si>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</si>
  <si>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</si>
  <si>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</si>
  <si>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</si>
  <si>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</si>
  <si>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</si>
  <si>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</si>
  <si>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</si>
  <si>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</si>
  <si>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</si>
  <si>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</si>
  <si>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</si>
  <si>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</si>
  <si>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</si>
  <si>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</si>
  <si>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</si>
  <si>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</si>
  <si>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</si>
  <si>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</si>
  <si>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</si>
  <si>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</si>
  <si>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</si>
  <si>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</si>
  <si>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</si>
  <si>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</si>
  <si>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</si>
  <si>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</si>
  <si>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</si>
  <si>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</si>
  <si>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</si>
  <si>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</si>
  <si>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</si>
  <si>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</si>
  <si>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</si>
  <si>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</si>
  <si>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</si>
  <si>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</si>
  <si>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</si>
  <si>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</si>
  <si>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</si>
  <si>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</si>
  <si>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</si>
  <si>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</si>
  <si>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</si>
  <si>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</si>
  <si>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</si>
  <si>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</si>
  <si>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</si>
  <si>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</si>
  <si>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</si>
  <si>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</si>
  <si>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</si>
  <si>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</si>
  <si>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</si>
  <si>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</si>
  <si>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</si>
  <si>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</si>
  <si>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</si>
  <si>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</si>
  <si>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</si>
  <si>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</si>
  <si>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</si>
  <si>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</si>
  <si>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</si>
  <si>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</si>
  <si>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</si>
  <si>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</si>
  <si>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</si>
  <si>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</si>
  <si>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</si>
  <si>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</si>
  <si>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</si>
  <si>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</si>
  <si>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</si>
  <si>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</si>
  <si>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</si>
  <si>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</si>
  <si>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</si>
  <si>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</si>
  <si>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</si>
  <si>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</si>
  <si>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</si>
  <si>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</si>
  <si>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</si>
  <si>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</si>
  <si>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</si>
  <si>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</si>
  <si>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</si>
  <si>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</si>
  <si>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</si>
  <si>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</si>
  <si>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</si>
  <si>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</si>
  <si>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</si>
  <si>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</si>
  <si>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</si>
  <si>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</si>
  <si>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</si>
  <si>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</si>
  <si>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</si>
  <si>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</si>
  <si>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</si>
  <si>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</si>
  <si>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</si>
  <si>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</si>
  <si>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</si>
  <si>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</si>
  <si>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</si>
  <si>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</si>
  <si>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</si>
  <si>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</si>
  <si>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</si>
  <si>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</si>
  <si>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</si>
  <si>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</si>
  <si>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</si>
  <si>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</si>
  <si>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</si>
  <si>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</si>
  <si>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</si>
  <si>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</si>
  <si>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</si>
  <si>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</si>
  <si>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</si>
  <si>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</si>
  <si>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</si>
  <si>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</si>
  <si>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</si>
  <si>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</si>
  <si>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</si>
  <si>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</si>
  <si>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</si>
  <si>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</si>
  <si>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</si>
  <si>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</si>
  <si>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</si>
  <si>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</si>
  <si>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</si>
  <si>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</si>
  <si>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</si>
  <si>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</si>
  <si>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</si>
  <si>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</si>
  <si>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</si>
  <si>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</si>
  <si>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</si>
  <si>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</si>
  <si>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</si>
  <si>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</si>
  <si>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</si>
  <si>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</si>
  <si>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</si>
  <si>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</si>
  <si>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</si>
  <si>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</si>
  <si>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</si>
  <si>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</si>
  <si>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</si>
  <si>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</si>
  <si>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</si>
  <si>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</si>
  <si>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</si>
  <si>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</si>
  <si>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</si>
  <si>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</si>
  <si>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</si>
  <si>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</si>
  <si>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</si>
  <si>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</si>
  <si>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</si>
  <si>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</si>
  <si>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</si>
  <si>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</si>
  <si>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</si>
  <si>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</si>
  <si>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</si>
  <si>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</si>
  <si>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</si>
  <si>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</si>
  <si>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</si>
  <si>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</si>
  <si>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</si>
  <si>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</si>
  <si>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</si>
  <si>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</si>
  <si>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</si>
  <si>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</si>
  <si>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</si>
  <si>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</si>
  <si>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</si>
  <si>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</si>
  <si>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</si>
  <si>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</si>
  <si>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</si>
  <si>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</si>
  <si>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</si>
  <si>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</si>
  <si>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</si>
  <si>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</si>
  <si>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</si>
  <si>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</si>
  <si>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</si>
  <si>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</si>
  <si>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</si>
  <si>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</si>
  <si>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</si>
  <si>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</si>
  <si>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</si>
  <si>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</si>
  <si>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</si>
  <si>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</si>
  <si>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</si>
  <si>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</si>
  <si>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</si>
  <si>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</si>
  <si>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</si>
  <si>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</si>
  <si>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</si>
  <si>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</si>
  <si>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</si>
  <si>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</si>
  <si>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</si>
  <si>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</si>
  <si>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</si>
  <si>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</si>
  <si>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</si>
  <si>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</si>
  <si>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</si>
  <si>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</si>
  <si>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</si>
  <si>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</si>
  <si>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</si>
  <si>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</si>
  <si>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</si>
  <si>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</si>
  <si>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</si>
  <si>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</si>
  <si>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</si>
  <si>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</si>
  <si>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</si>
  <si>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</si>
  <si>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</si>
  <si>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</si>
  <si>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</si>
  <si>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</si>
  <si>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</si>
  <si>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</si>
  <si>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</si>
  <si>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</si>
  <si>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</si>
  <si>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</si>
  <si>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</si>
  <si>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</si>
  <si>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</si>
  <si>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</si>
  <si>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</si>
  <si>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</si>
  <si>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</si>
  <si>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</si>
  <si>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</si>
  <si>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</si>
  <si>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</si>
  <si>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</si>
  <si>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</si>
  <si>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</si>
  <si>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</si>
  <si>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</si>
  <si>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</si>
  <si>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</si>
  <si>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</si>
  <si>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</si>
  <si>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</si>
  <si>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</si>
  <si>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</si>
  <si>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</si>
  <si>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</si>
  <si>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</si>
  <si>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</si>
  <si>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</si>
  <si>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</si>
  <si>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</si>
  <si>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</si>
  <si>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</si>
  <si>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</si>
  <si>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</si>
  <si>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</si>
  <si>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</si>
  <si>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</si>
  <si>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</si>
  <si>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</si>
  <si>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</si>
  <si>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</si>
  <si>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</si>
  <si>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</si>
  <si>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</si>
  <si>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</si>
  <si>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</si>
  <si>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</si>
  <si>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</si>
  <si>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</si>
  <si>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</si>
  <si>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</si>
  <si>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</si>
  <si>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</si>
  <si>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</si>
  <si>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</si>
  <si>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</si>
  <si>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</si>
  <si>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</si>
  <si>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广东省河源市</t>
    <phoneticPr fontId="6" type="noConversion"/>
  </si>
  <si>
    <t>企业</t>
  </si>
  <si>
    <t>住宅、商服</t>
    <phoneticPr fontId="6" type="noConversion"/>
  </si>
  <si>
    <t>住宅、商业、地下车库</t>
    <phoneticPr fontId="6" type="noConversion"/>
  </si>
  <si>
    <t>符合</t>
  </si>
  <si>
    <t>不一致</t>
  </si>
  <si>
    <t>出让</t>
  </si>
  <si>
    <t>商业</t>
  </si>
  <si>
    <t>否</t>
  </si>
  <si>
    <t>通路</t>
  </si>
  <si>
    <t>通电</t>
  </si>
  <si>
    <t>通上水</t>
  </si>
  <si>
    <t>宗地内已开工建设</t>
  </si>
  <si>
    <t>平整</t>
  </si>
  <si>
    <t>地上</t>
  </si>
  <si>
    <t>平层住宅</t>
  </si>
  <si>
    <t>独立商业</t>
  </si>
  <si>
    <t>地下</t>
  </si>
  <si>
    <t>车库</t>
  </si>
  <si>
    <t>住宅</t>
    <phoneticPr fontId="7" type="noConversion"/>
  </si>
  <si>
    <t>商业</t>
    <phoneticPr fontId="7" type="noConversion"/>
  </si>
  <si>
    <t>地下车库</t>
    <phoneticPr fontId="7" type="noConversion"/>
  </si>
  <si>
    <t>售价</t>
  </si>
  <si>
    <t>正常</t>
    <phoneticPr fontId="21" type="noConversion"/>
  </si>
  <si>
    <t>精装</t>
    <phoneticPr fontId="21" type="noConversion"/>
  </si>
  <si>
    <t>毛坯</t>
    <phoneticPr fontId="21" type="noConversion"/>
  </si>
  <si>
    <t>普装</t>
    <phoneticPr fontId="21" type="noConversion"/>
  </si>
  <si>
    <t>简装</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</si>
  <si>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</si>
  <si>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</si>
  <si>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</si>
  <si>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</si>
  <si>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</si>
  <si>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</si>
  <si>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</si>
  <si>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</si>
  <si>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</si>
  <si>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</si>
  <si>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</si>
  <si>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</si>
  <si>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河源市粤赣高速公路西面、万绿湖大道南面</t>
  </si>
  <si>
    <t>河源市</t>
  </si>
  <si>
    <t>住宅用地</t>
  </si>
  <si>
    <t>＞1且≤1.8</t>
  </si>
  <si>
    <t>挂牌</t>
  </si>
  <si>
    <t>2018-06-28</t>
  </si>
  <si>
    <t>河源市保腾实业投资有限公司</t>
  </si>
  <si>
    <t>综合用地(含住宅)</t>
  </si>
  <si>
    <t>2018-06-22</t>
  </si>
  <si>
    <t>2018-06-08</t>
  </si>
  <si>
    <t>深圳市程明投资有限公司</t>
  </si>
  <si>
    <t>河源市区东城西片区京九铁路规划40米道路东边、纬十七路南面、纬十六路北面地段</t>
  </si>
  <si>
    <t>＞1且≤2.5</t>
  </si>
  <si>
    <t>2018-05-29</t>
  </si>
  <si>
    <t>恒大地产集团河源有限公司</t>
  </si>
  <si>
    <t>河源市柏埔河南路南侧,经五北路西侧</t>
  </si>
  <si>
    <t>＞1且≤2.8</t>
  </si>
  <si>
    <t>2018-04-30</t>
  </si>
  <si>
    <t>广州市方圆乐泓实业投资有限公司</t>
  </si>
  <si>
    <t>河源市江东新区建设大道南侧、东环路东侧</t>
  </si>
  <si>
    <t>2018-01-29</t>
  </si>
  <si>
    <t>河源市碧桂园物业发展有限公司</t>
  </si>
  <si>
    <t>河源市东至龙岭二路,西至规划15米道路,南至龙岭三路</t>
  </si>
  <si>
    <t>2017-10-11</t>
  </si>
  <si>
    <t>河源市盛深海实业有限公司</t>
  </si>
  <si>
    <t>河源市高新区东至大塘路、南至高新一路、西至兴业大道、北至相邻用地</t>
  </si>
  <si>
    <t>2017-07-17</t>
  </si>
  <si>
    <t>广东深河产业投资开发有限公司</t>
  </si>
  <si>
    <t>河源市高新区东至大塘路、南至相邻用地、西至兴业大道、北至科技大道</t>
  </si>
  <si>
    <t>河源市源西片区河源大道西边、达康路南面</t>
  </si>
  <si>
    <t>2017-07-10</t>
  </si>
  <si>
    <t>河源市新景投资有限公司</t>
  </si>
  <si>
    <t>河源市江东新区城市建设大道北侧胜利村拆迁安置点西面</t>
  </si>
  <si>
    <t>2017-06-12</t>
  </si>
  <si>
    <t>周宝娴</t>
  </si>
  <si>
    <t>河源市新市区永和路南面、华达街西边</t>
  </si>
  <si>
    <t>＞1且≤2.2</t>
  </si>
  <si>
    <t>2017-02-28</t>
  </si>
  <si>
    <t>李凤娣</t>
  </si>
  <si>
    <t>河源市源城区太平街北面,化龙路东面,中山大道西面</t>
  </si>
  <si>
    <t>2017-02-27</t>
  </si>
  <si>
    <t>河源市新景房地产开发有限公司</t>
  </si>
  <si>
    <t>河源市源西片区百子园大道北边、达康路东边</t>
  </si>
  <si>
    <t>2017-01-19</t>
  </si>
  <si>
    <t>河源市耀茗实业有限公司</t>
  </si>
  <si>
    <t>河源市源城区百子园工业区内老广梅公路北面、严子松路东边</t>
  </si>
  <si>
    <t>＞1且≤2.3</t>
  </si>
  <si>
    <t>2016-12-30</t>
  </si>
  <si>
    <t>广东中兴绿丰投资有限公司</t>
  </si>
  <si>
    <t>河源市中兴大道西边、规划四路南边</t>
  </si>
  <si>
    <t>＞1且≤3</t>
  </si>
  <si>
    <t>2016-12-19</t>
  </si>
  <si>
    <t>河源市庄田片区西环路东面</t>
  </si>
  <si>
    <t>河源市汇盛联泰实业有限公司</t>
  </si>
  <si>
    <t>河源市江东新区东环路西侧、碧桂园北侧</t>
  </si>
  <si>
    <t>＞1且≤2.7</t>
  </si>
  <si>
    <t>2016-11-16</t>
  </si>
  <si>
    <t>河源市江东新区鑫晟投资有限公司</t>
  </si>
  <si>
    <t>河源大道西面、万绿大道北面</t>
  </si>
  <si>
    <t>＞1,≤2</t>
  </si>
  <si>
    <t>2016-08-30</t>
  </si>
  <si>
    <t>姚聪秀</t>
  </si>
  <si>
    <r>
      <rPr>
        <sz val="10"/>
        <rFont val="宋体"/>
        <family val="3"/>
        <charset val="134"/>
      </rPr>
      <t>标黄从上至下依次为</t>
    </r>
    <r>
      <rPr>
        <sz val="10"/>
        <rFont val="Arial"/>
        <family val="2"/>
      </rPr>
      <t>A</t>
    </r>
    <r>
      <rPr>
        <sz val="10"/>
        <rFont val="宋体"/>
        <family val="3"/>
        <charset val="134"/>
      </rPr>
      <t>、</t>
    </r>
    <r>
      <rPr>
        <sz val="10"/>
        <rFont val="Arial"/>
        <family val="2"/>
      </rPr>
      <t>B</t>
    </r>
    <r>
      <rPr>
        <sz val="10"/>
        <rFont val="宋体"/>
        <family val="3"/>
        <charset val="134"/>
      </rPr>
      <t>、</t>
    </r>
    <r>
      <rPr>
        <sz val="10"/>
        <rFont val="Arial"/>
        <family val="2"/>
      </rPr>
      <t>C</t>
    </r>
    <r>
      <rPr>
        <sz val="10"/>
        <rFont val="宋体"/>
        <family val="3"/>
        <charset val="134"/>
      </rPr>
      <t>、</t>
    </r>
    <r>
      <rPr>
        <sz val="10"/>
        <rFont val="Arial"/>
        <family val="2"/>
      </rPr>
      <t>D</t>
    </r>
    <phoneticPr fontId="3" type="noConversion"/>
  </si>
  <si>
    <t>正常</t>
    <phoneticPr fontId="26" type="noConversion"/>
  </si>
  <si>
    <t>住宅</t>
    <phoneticPr fontId="26" type="noConversion"/>
  </si>
  <si>
    <t>住宅</t>
    <phoneticPr fontId="26" type="noConversion"/>
  </si>
  <si>
    <t>双面临街</t>
  </si>
  <si>
    <t>单面临街</t>
  </si>
  <si>
    <t>楼面地价</t>
  </si>
  <si>
    <t>高溢价</t>
  </si>
  <si>
    <t>高溢价</t>
    <phoneticPr fontId="26" type="noConversion"/>
  </si>
  <si>
    <t>项目全部</t>
  </si>
  <si>
    <t>土地</t>
  </si>
  <si>
    <t>比较法-住宅、综合</t>
  </si>
  <si>
    <t>剩余法-待开发</t>
  </si>
  <si>
    <t>雅乐居花园</t>
    <phoneticPr fontId="3" type="noConversion"/>
  </si>
  <si>
    <t>美丽城</t>
    <phoneticPr fontId="3" type="noConversion"/>
  </si>
  <si>
    <t>名门世家</t>
    <phoneticPr fontId="3" type="noConversion"/>
  </si>
  <si>
    <t>正常</t>
    <phoneticPr fontId="27" type="noConversion"/>
  </si>
  <si>
    <t>正常</t>
    <phoneticPr fontId="27" type="noConversion"/>
  </si>
  <si>
    <t>住宅</t>
    <phoneticPr fontId="27" type="noConversion"/>
  </si>
  <si>
    <t>元/车位</t>
  </si>
  <si>
    <t>已全部缴纳</t>
  </si>
  <si>
    <t>1号楼</t>
    <phoneticPr fontId="3" type="noConversion"/>
  </si>
  <si>
    <t>2号楼</t>
    <phoneticPr fontId="3" type="noConversion"/>
  </si>
  <si>
    <t>3号楼</t>
    <phoneticPr fontId="3" type="noConversion"/>
  </si>
  <si>
    <t>4号楼</t>
    <phoneticPr fontId="3" type="noConversion"/>
  </si>
  <si>
    <t>5号楼</t>
    <phoneticPr fontId="3" type="noConversion"/>
  </si>
  <si>
    <r>
      <t>6</t>
    </r>
    <r>
      <rPr>
        <sz val="11"/>
        <color indexed="8"/>
        <rFont val="宋体"/>
        <family val="3"/>
        <charset val="134"/>
      </rPr>
      <t>号楼</t>
    </r>
    <phoneticPr fontId="3" type="noConversion"/>
  </si>
  <si>
    <t>7号楼</t>
    <phoneticPr fontId="3" type="noConversion"/>
  </si>
  <si>
    <t>8号楼</t>
    <phoneticPr fontId="3" type="noConversion"/>
  </si>
  <si>
    <t>9号楼</t>
    <phoneticPr fontId="3" type="noConversion"/>
  </si>
  <si>
    <t>商业</t>
    <phoneticPr fontId="3" type="noConversion"/>
  </si>
  <si>
    <t>地下车库</t>
    <phoneticPr fontId="3" type="noConversion"/>
  </si>
  <si>
    <t>设备</t>
    <phoneticPr fontId="3" type="noConversion"/>
  </si>
  <si>
    <t>主干道——建设大道</t>
    <phoneticPr fontId="26" type="noConversion"/>
  </si>
  <si>
    <r>
      <t>主干道</t>
    </r>
    <r>
      <rPr>
        <sz val="11"/>
        <rFont val="Arial"/>
        <family val="2"/>
      </rPr>
      <t>——</t>
    </r>
    <r>
      <rPr>
        <sz val="11"/>
        <rFont val="宋体"/>
        <family val="3"/>
        <charset val="134"/>
      </rPr>
      <t>建设大道</t>
    </r>
    <phoneticPr fontId="26" type="noConversion"/>
  </si>
  <si>
    <t>推出楼面价</t>
    <phoneticPr fontId="233" type="noConversion"/>
  </si>
  <si>
    <t>主干道</t>
  </si>
  <si>
    <t>主干道</t>
    <phoneticPr fontId="26" type="noConversion"/>
  </si>
  <si>
    <t>次干道</t>
    <phoneticPr fontId="26" type="noConversion"/>
  </si>
  <si>
    <t>支路</t>
  </si>
  <si>
    <t>支路</t>
    <phoneticPr fontId="26" type="noConversion"/>
  </si>
  <si>
    <t>支路-万绿湖大道</t>
    <phoneticPr fontId="26" type="noConversion"/>
  </si>
  <si>
    <t>一般</t>
  </si>
  <si>
    <t>较好</t>
  </si>
  <si>
    <t>较好</t>
    <phoneticPr fontId="26" type="noConversion"/>
  </si>
  <si>
    <t>一般</t>
    <phoneticPr fontId="26" type="noConversion"/>
  </si>
  <si>
    <t>较好</t>
    <phoneticPr fontId="26" type="noConversion"/>
  </si>
  <si>
    <t>较好</t>
    <phoneticPr fontId="26" type="noConversion"/>
  </si>
  <si>
    <t>六通</t>
    <phoneticPr fontId="26" type="noConversion"/>
  </si>
  <si>
    <t>《国有土地使用证》[粤（2017）河源市不动产权第0038838号]</t>
    <phoneticPr fontId="6" type="noConversion"/>
  </si>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</sst>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1F1F1"/>
        <bgColor indexed="64"/>
      </patternFill>
    </fill>
    <fill>
      <patternFill patternType="solid">
        <fgColor rgb="FFBDB4AF"/>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86" fillId="0" borderId="0" xfId="15" applyFont="1"/>
    <xf numFmtId="0" fontId="277" fillId="0" borderId="0" xfId="0" applyFont="1" applyAlignment="1">
      <alignment horizontal="left" vertical="center" wrapText="1"/>
    </xf>
    <xf numFmtId="0" fontId="277" fillId="0" borderId="153" xfId="0" applyFont="1" applyBorder="1" applyAlignment="1">
      <alignment horizontal="right" vertical="center" wrapText="1"/>
    </xf>
    <xf numFmtId="0" fontId="277" fillId="17" borderId="0" xfId="0" applyFont="1" applyFill="1" applyAlignment="1">
      <alignment horizontal="left" vertical="center" wrapText="1"/>
    </xf>
    <xf numFmtId="0" fontId="277" fillId="17" borderId="153" xfId="0" applyFont="1" applyFill="1" applyBorder="1" applyAlignment="1">
      <alignment horizontal="right" vertical="center" wrapText="1"/>
    </xf>
    <xf numFmtId="0" fontId="277" fillId="18" borderId="0" xfId="0" applyFont="1" applyFill="1" applyAlignment="1">
      <alignment horizontal="left" vertical="center" wrapText="1"/>
    </xf>
    <xf numFmtId="0" fontId="277" fillId="18" borderId="153" xfId="0" applyFont="1" applyFill="1" applyBorder="1" applyAlignment="1">
      <alignment horizontal="right" vertical="center" wrapText="1"/>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180" fontId="148" fillId="0" borderId="2" xfId="1" applyNumberFormat="1" applyFont="1" applyFill="1" applyBorder="1" applyAlignment="1" applyProtection="1">
      <alignment horizontal="center" vertical="center" wrapText="1"/>
      <protection locked="0"/>
    </xf>
    <xf numFmtId="0" fontId="127" fillId="0" borderId="0" xfId="15" applyFont="1"/>
    <xf numFmtId="0" fontId="86" fillId="9" borderId="0" xfId="15" applyFill="1"/>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jp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416719</xdr:colOff>
      <xdr:row>24</xdr:row>
      <xdr:rowOff>83344</xdr:rowOff>
    </xdr:from>
    <xdr:to>
      <xdr:col>4</xdr:col>
      <xdr:colOff>645319</xdr:colOff>
      <xdr:row>51</xdr:row>
      <xdr:rowOff>40481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719" y="4083844"/>
          <a:ext cx="5191125" cy="458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50</xdr:row>
      <xdr:rowOff>28575</xdr:rowOff>
    </xdr:from>
    <xdr:to>
      <xdr:col>7</xdr:col>
      <xdr:colOff>133350</xdr:colOff>
      <xdr:row>88</xdr:row>
      <xdr:rowOff>133350</xdr:rowOff>
    </xdr:to>
    <xdr:pic>
      <xdr:nvPicPr>
        <xdr:cNvPr id="3" name="图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124825"/>
          <a:ext cx="7353300" cy="625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847725</xdr:colOff>
      <xdr:row>51</xdr:row>
      <xdr:rowOff>0</xdr:rowOff>
    </xdr:from>
    <xdr:to>
      <xdr:col>13</xdr:col>
      <xdr:colOff>123825</xdr:colOff>
      <xdr:row>85</xdr:row>
      <xdr:rowOff>114300</xdr:rowOff>
    </xdr:to>
    <xdr:pic>
      <xdr:nvPicPr>
        <xdr:cNvPr id="4"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6475" y="8258175"/>
          <a:ext cx="6705600" cy="561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84</xdr:row>
      <xdr:rowOff>152400</xdr:rowOff>
    </xdr:from>
    <xdr:to>
      <xdr:col>7</xdr:col>
      <xdr:colOff>266700</xdr:colOff>
      <xdr:row>124</xdr:row>
      <xdr:rowOff>9525</xdr:rowOff>
    </xdr:to>
    <xdr:pic>
      <xdr:nvPicPr>
        <xdr:cNvPr id="5"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54100"/>
          <a:ext cx="7524750" cy="633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84</xdr:row>
      <xdr:rowOff>114300</xdr:rowOff>
    </xdr:from>
    <xdr:to>
      <xdr:col>14</xdr:col>
      <xdr:colOff>314325</xdr:colOff>
      <xdr:row>123</xdr:row>
      <xdr:rowOff>38100</xdr:rowOff>
    </xdr:to>
    <xdr:pic>
      <xdr:nvPicPr>
        <xdr:cNvPr id="6" name="图片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0" y="13716000"/>
          <a:ext cx="7791450" cy="623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457199</xdr:colOff>
      <xdr:row>7</xdr:row>
      <xdr:rowOff>9525</xdr:rowOff>
    </xdr:from>
    <xdr:to>
      <xdr:col>17</xdr:col>
      <xdr:colOff>532762</xdr:colOff>
      <xdr:row>20</xdr:row>
      <xdr:rowOff>12925</xdr:rowOff>
    </xdr:to>
    <xdr:pic>
      <xdr:nvPicPr>
        <xdr:cNvPr id="3" name="图片 2"/>
        <xdr:cNvPicPr>
          <a:picLocks noChangeAspect="1"/>
        </xdr:cNvPicPr>
      </xdr:nvPicPr>
      <xdr:blipFill>
        <a:blip xmlns:r="http://schemas.openxmlformats.org/officeDocument/2006/relationships" r:embed="rId1"/>
        <a:stretch>
          <a:fillRect/>
        </a:stretch>
      </xdr:blipFill>
      <xdr:spPr>
        <a:xfrm>
          <a:off x="8000999" y="1209675"/>
          <a:ext cx="4190363" cy="2232250"/>
        </a:xfrm>
        <a:prstGeom prst="rect">
          <a:avLst/>
        </a:prstGeom>
      </xdr:spPr>
    </xdr:pic>
    <xdr:clientData/>
  </xdr:twoCellAnchor>
  <xdr:twoCellAnchor editAs="oneCell">
    <xdr:from>
      <xdr:col>5</xdr:col>
      <xdr:colOff>371475</xdr:colOff>
      <xdr:row>7</xdr:row>
      <xdr:rowOff>0</xdr:rowOff>
    </xdr:from>
    <xdr:to>
      <xdr:col>11</xdr:col>
      <xdr:colOff>501014</xdr:colOff>
      <xdr:row>19</xdr:row>
      <xdr:rowOff>38100</xdr:rowOff>
    </xdr:to>
    <xdr:pic>
      <xdr:nvPicPr>
        <xdr:cNvPr id="4" name="图片 3"/>
        <xdr:cNvPicPr>
          <a:picLocks noChangeAspect="1"/>
        </xdr:cNvPicPr>
      </xdr:nvPicPr>
      <xdr:blipFill>
        <a:blip xmlns:r="http://schemas.openxmlformats.org/officeDocument/2006/relationships" r:embed="rId2"/>
        <a:stretch>
          <a:fillRect/>
        </a:stretch>
      </xdr:blipFill>
      <xdr:spPr>
        <a:xfrm>
          <a:off x="3800475" y="1200150"/>
          <a:ext cx="4244339" cy="2095500"/>
        </a:xfrm>
        <a:prstGeom prst="rect">
          <a:avLst/>
        </a:prstGeom>
      </xdr:spPr>
    </xdr:pic>
    <xdr:clientData/>
  </xdr:twoCellAnchor>
  <xdr:twoCellAnchor editAs="oneCell">
    <xdr:from>
      <xdr:col>5</xdr:col>
      <xdr:colOff>352425</xdr:colOff>
      <xdr:row>19</xdr:row>
      <xdr:rowOff>133350</xdr:rowOff>
    </xdr:from>
    <xdr:to>
      <xdr:col>11</xdr:col>
      <xdr:colOff>552450</xdr:colOff>
      <xdr:row>32</xdr:row>
      <xdr:rowOff>39657</xdr:rowOff>
    </xdr:to>
    <xdr:pic>
      <xdr:nvPicPr>
        <xdr:cNvPr id="5" name="图片 4"/>
        <xdr:cNvPicPr>
          <a:picLocks noChangeAspect="1"/>
        </xdr:cNvPicPr>
      </xdr:nvPicPr>
      <xdr:blipFill>
        <a:blip xmlns:r="http://schemas.openxmlformats.org/officeDocument/2006/relationships" r:embed="rId3"/>
        <a:stretch>
          <a:fillRect/>
        </a:stretch>
      </xdr:blipFill>
      <xdr:spPr>
        <a:xfrm>
          <a:off x="3781425" y="3390900"/>
          <a:ext cx="4314825" cy="2135157"/>
        </a:xfrm>
        <a:prstGeom prst="rect">
          <a:avLst/>
        </a:prstGeom>
      </xdr:spPr>
    </xdr:pic>
    <xdr:clientData/>
  </xdr:twoCellAnchor>
  <xdr:twoCellAnchor editAs="oneCell">
    <xdr:from>
      <xdr:col>11</xdr:col>
      <xdr:colOff>457200</xdr:colOff>
      <xdr:row>20</xdr:row>
      <xdr:rowOff>38100</xdr:rowOff>
    </xdr:from>
    <xdr:to>
      <xdr:col>17</xdr:col>
      <xdr:colOff>437398</xdr:colOff>
      <xdr:row>29</xdr:row>
      <xdr:rowOff>28383</xdr:rowOff>
    </xdr:to>
    <xdr:pic>
      <xdr:nvPicPr>
        <xdr:cNvPr id="6" name="图片 5"/>
        <xdr:cNvPicPr>
          <a:picLocks noChangeAspect="1"/>
        </xdr:cNvPicPr>
      </xdr:nvPicPr>
      <xdr:blipFill>
        <a:blip xmlns:r="http://schemas.openxmlformats.org/officeDocument/2006/relationships" r:embed="rId4"/>
        <a:stretch>
          <a:fillRect/>
        </a:stretch>
      </xdr:blipFill>
      <xdr:spPr>
        <a:xfrm>
          <a:off x="8001000" y="3467100"/>
          <a:ext cx="4094998" cy="1533333"/>
        </a:xfrm>
        <a:prstGeom prst="rect">
          <a:avLst/>
        </a:prstGeom>
      </xdr:spPr>
    </xdr:pic>
    <xdr:clientData/>
  </xdr:twoCellAnchor>
  <xdr:twoCellAnchor editAs="oneCell">
    <xdr:from>
      <xdr:col>0</xdr:col>
      <xdr:colOff>28576</xdr:colOff>
      <xdr:row>20</xdr:row>
      <xdr:rowOff>161925</xdr:rowOff>
    </xdr:from>
    <xdr:to>
      <xdr:col>5</xdr:col>
      <xdr:colOff>504826</xdr:colOff>
      <xdr:row>32</xdr:row>
      <xdr:rowOff>104775</xdr:rowOff>
    </xdr:to>
    <xdr:pic>
      <xdr:nvPicPr>
        <xdr:cNvPr id="7" name="图片 6"/>
        <xdr:cNvPicPr>
          <a:picLocks noChangeAspect="1"/>
        </xdr:cNvPicPr>
      </xdr:nvPicPr>
      <xdr:blipFill>
        <a:blip xmlns:r="http://schemas.openxmlformats.org/officeDocument/2006/relationships" r:embed="rId5"/>
        <a:stretch>
          <a:fillRect/>
        </a:stretch>
      </xdr:blipFill>
      <xdr:spPr>
        <a:xfrm>
          <a:off x="28576" y="3590925"/>
          <a:ext cx="3905250" cy="2000250"/>
        </a:xfrm>
        <a:prstGeom prst="rect">
          <a:avLst/>
        </a:prstGeom>
      </xdr:spPr>
    </xdr:pic>
    <xdr:clientData/>
  </xdr:twoCellAnchor>
  <xdr:twoCellAnchor editAs="oneCell">
    <xdr:from>
      <xdr:col>0</xdr:col>
      <xdr:colOff>1</xdr:colOff>
      <xdr:row>7</xdr:row>
      <xdr:rowOff>1</xdr:rowOff>
    </xdr:from>
    <xdr:to>
      <xdr:col>5</xdr:col>
      <xdr:colOff>370549</xdr:colOff>
      <xdr:row>20</xdr:row>
      <xdr:rowOff>152400</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200151"/>
          <a:ext cx="3799548" cy="2381249"/>
        </a:xfrm>
        <a:prstGeom prst="rect">
          <a:avLst/>
        </a:prstGeom>
      </xdr:spPr>
    </xdr:pic>
    <xdr:clientData/>
  </xdr:twoCellAnchor>
  <xdr:twoCellAnchor editAs="oneCell">
    <xdr:from>
      <xdr:col>1</xdr:col>
      <xdr:colOff>19050</xdr:colOff>
      <xdr:row>33</xdr:row>
      <xdr:rowOff>38100</xdr:rowOff>
    </xdr:from>
    <xdr:to>
      <xdr:col>11</xdr:col>
      <xdr:colOff>638175</xdr:colOff>
      <xdr:row>67</xdr:row>
      <xdr:rowOff>142875</xdr:rowOff>
    </xdr:to>
    <xdr:pic>
      <xdr:nvPicPr>
        <xdr:cNvPr id="2" name="图片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04850" y="5695950"/>
          <a:ext cx="7477125" cy="5934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30&#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42246.080000000002</v>
          </cell>
        </row>
        <row r="19">
          <cell r="G19">
            <v>14734</v>
          </cell>
          <cell r="L19">
            <v>13239.93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2657</v>
      </c>
      <c r="B1" s="2893" t="s">
        <v>2754</v>
      </c>
    </row>
    <row r="2" spans="1:55" s="2897" customFormat="1" ht="15" thickTop="1">
      <c r="A2" s="2895" t="s">
        <v>2661</v>
      </c>
      <c r="B2" s="2896" t="str">
        <f>'预评函-封皮'!B37</f>
        <v>广东省河源市出让国有建设用地使用权抵押价格预评估</v>
      </c>
      <c r="AX2" s="2898"/>
      <c r="AZ2" s="2898"/>
      <c r="BA2" s="2899"/>
      <c r="BC2" s="2899"/>
    </row>
    <row r="3" spans="1:55" s="2900" customFormat="1">
      <c r="A3" s="2879" t="s">
        <v>2662</v>
      </c>
      <c r="B3" s="2882">
        <f>'预评函-封皮'!B40</f>
        <v>0</v>
      </c>
    </row>
    <row r="4" spans="1:55" s="2881" customFormat="1">
      <c r="A4" s="2879" t="s">
        <v>2663</v>
      </c>
      <c r="B4" s="2880" t="str">
        <f>'预评函-封皮'!B46</f>
        <v>吴薇、郑燚</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2664</v>
      </c>
      <c r="B5" s="2902" t="str">
        <f>'预评函-封皮'!B49</f>
        <v>康正预评字号</v>
      </c>
    </row>
    <row r="6" spans="1:55" s="2903" customFormat="1" ht="15" thickTop="1">
      <c r="A6" s="2895" t="s">
        <v>2706</v>
      </c>
      <c r="B6" s="2896" t="str">
        <f>'预评函-1'!A4</f>
        <v>受贵公司委托，我公司对广东省河源市出让国有建设用地使用权抵押价格进行了预评估。</v>
      </c>
      <c r="AM6" s="2904"/>
    </row>
    <row r="7" spans="1:55" s="2878" customFormat="1">
      <c r="A7" s="2879" t="s">
        <v>2658</v>
      </c>
      <c r="B7" s="2880" t="str">
        <f>'预评函-1'!A6</f>
        <v>估价对象为使用的、位于广东省河源市出让国有建设用地使用权。根据《国有土地使用证》[]，估价对象（分摊）出让国有建设用地使用权面积为47310.04平方米。根据《建设工程规划许可证》[]、《出让合同》[]，估价对象规划建筑面积为150957.27平方米。</v>
      </c>
    </row>
    <row r="8" spans="1:55" s="2878" customFormat="1">
      <c r="A8" s="2879" t="s">
        <v>2659</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2709</v>
      </c>
      <c r="B9" s="2880" t="str">
        <f>'预评函-1'!A9</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2660</v>
      </c>
      <c r="B10" s="2880" t="str">
        <f>'预评函-1'!A11</f>
        <v>2018年7月24日（评估专业人员勘察现场之日）</v>
      </c>
    </row>
    <row r="11" spans="1:55" s="2878" customFormat="1">
      <c r="A11" s="2879" t="s">
        <v>2666</v>
      </c>
      <c r="B11" s="2880" t="str">
        <f>'预评函-1'!A14</f>
        <v>根据《国有土地使用证》[粤（2017）河源市不动产权第0038838号]，本次评估估价对象证载（地类）用途为住宅、商服。</v>
      </c>
    </row>
    <row r="12" spans="1:55" s="2878" customFormat="1">
      <c r="A12" s="2879" t="s">
        <v>2667</v>
      </c>
      <c r="B12" s="2880" t="str">
        <f>'预评函-1'!A15</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row>
    <row r="13" spans="1:55" s="2878" customFormat="1">
      <c r="A13" s="2879" t="s">
        <v>2668</v>
      </c>
      <c r="B13" s="2880" t="str">
        <f>'预评函-1'!A17</f>
        <v>根据委托估价方介绍及评估专业人员现场勘查，本次评估估价对象实际土地开发程度为红线外市政基础设施达“七通”（即通路、通电、通上水、、、、）、宗地红线内已开工建设。。</v>
      </c>
    </row>
    <row r="14" spans="1:55" s="2878" customFormat="1">
      <c r="A14" s="2879" t="s">
        <v>2669</v>
      </c>
      <c r="B14" s="288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8" customFormat="1">
      <c r="A15" s="2879" t="s">
        <v>2665</v>
      </c>
      <c r="B15" s="2880" t="str">
        <f>'预评函-1'!A20</f>
        <v>根据《国有土地使用证》[]，估价对象（分摊）出让国有建设用地使用权面积为47310.04平方米。根据《建设工程规划许可证》[]、《出让合同》[]，估价对象规划建筑面积为150957.27平方米。</v>
      </c>
    </row>
    <row r="16" spans="1:55" s="2878" customFormat="1">
      <c r="A16" s="2879" t="s">
        <v>2670</v>
      </c>
      <c r="B16" s="2880" t="str">
        <f>'预评函-1'!A22</f>
        <v>本次估价对象为出让国有建设用地使用权，依据《国有土地使用证》[粤（2017）河源市不动产权第0038838号]、《国有建设用地使用权出让合同》[]及附件、《北京市规划委员会关于同意XX项目的规划设计方案的规划意见复函》[]以及《建设工程规划许可证》[]，土地终止日期为住宅2084年12月31日、商业2054年12月31日地下车库2064年12月31日。截至估价期日，出让国有建设用地使用权剩余土地使用年限为。</v>
      </c>
    </row>
    <row r="17" spans="1:48" s="2878" customFormat="1">
      <c r="A17" s="2879" t="s">
        <v>2671</v>
      </c>
      <c r="B17" s="2880" t="str">
        <f>'预评函-1'!A23</f>
        <v>本次评估设定估价对象剩余土地使用年限为。</v>
      </c>
    </row>
    <row r="18" spans="1:48" s="2878" customFormat="1">
      <c r="A18" s="2879" t="s">
        <v>2672</v>
      </c>
      <c r="B18" s="2880" t="str">
        <f>'预评函-1'!A25</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19" spans="1:48" s="2878" customFormat="1">
      <c r="A19" s="2879" t="s">
        <v>2673</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2674</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2675</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2676</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2677</v>
      </c>
      <c r="B23" s="2880" t="str">
        <f>'预评函-2'!K2</f>
        <v>估价期日：2018年7月24日</v>
      </c>
    </row>
    <row r="24" spans="1:48">
      <c r="A24" s="2879" t="s">
        <v>2678</v>
      </c>
      <c r="B24" s="2880" t="str">
        <f>'预评函-2'!R2</f>
        <v>估价期日的国有建设用地使用权性质：出让</v>
      </c>
    </row>
    <row r="25" spans="1:48">
      <c r="A25" s="2879" t="s">
        <v>2734</v>
      </c>
      <c r="B25" s="2880" t="str">
        <f>'预评函-2'!A3</f>
        <v>估价期日土地使用者</v>
      </c>
    </row>
    <row r="26" spans="1:48">
      <c r="A26" s="2879" t="s">
        <v>2710</v>
      </c>
      <c r="B26" s="2880" t="str">
        <f>'预评函-2'!A5</f>
        <v>中信开发</v>
      </c>
    </row>
    <row r="27" spans="1:48">
      <c r="A27" s="2879" t="s">
        <v>2735</v>
      </c>
      <c r="B27" s="2880" t="str">
        <f>'预评函-2'!B3</f>
        <v>宗地编号/不动产单元号</v>
      </c>
    </row>
    <row r="28" spans="1:48">
      <c r="A28" s="2879" t="s">
        <v>2711</v>
      </c>
      <c r="B28" s="2880" t="str">
        <f>'预评函-2'!B5</f>
        <v>11111111111</v>
      </c>
    </row>
    <row r="29" spans="1:48">
      <c r="A29" s="2879" t="s">
        <v>2737</v>
      </c>
      <c r="B29" s="2880">
        <f>'预评函-2'!C5</f>
        <v>22</v>
      </c>
    </row>
    <row r="30" spans="1:48">
      <c r="A30" s="2879" t="s">
        <v>2738</v>
      </c>
      <c r="B30" s="2880" t="str">
        <f>'预评函-2'!D3</f>
        <v>土地使用证编号/不动产权证书编号</v>
      </c>
    </row>
    <row r="31" spans="1:48">
      <c r="A31" s="2879" t="s">
        <v>2712</v>
      </c>
      <c r="B31" s="2880" t="str">
        <f>'预评函-2'!D5</f>
        <v>京国土字第111号</v>
      </c>
    </row>
    <row r="32" spans="1:48">
      <c r="A32" s="2879" t="s">
        <v>2713</v>
      </c>
      <c r="B32" s="2880" t="str">
        <f>'预评函-2'!E5</f>
        <v>住宅、商服</v>
      </c>
      <c r="AV32" s="2884"/>
    </row>
    <row r="33" spans="1:2">
      <c r="A33" s="2879" t="s">
        <v>2714</v>
      </c>
      <c r="B33" s="2880">
        <f>'预评函-2'!F5</f>
        <v>258</v>
      </c>
    </row>
    <row r="34" spans="1:2">
      <c r="A34" s="2879" t="s">
        <v>2715</v>
      </c>
      <c r="B34" s="2880" t="str">
        <f>'预评函-2'!G5</f>
        <v>住宅、商业、地下车库</v>
      </c>
    </row>
    <row r="35" spans="1:2">
      <c r="A35" s="2879" t="s">
        <v>2716</v>
      </c>
      <c r="B35" s="2880">
        <f>'预评函-2'!H5</f>
        <v>1.5</v>
      </c>
    </row>
    <row r="36" spans="1:2">
      <c r="A36" s="2879" t="s">
        <v>2717</v>
      </c>
      <c r="B36" s="2880">
        <f>'预评函-2'!I5</f>
        <v>1.5</v>
      </c>
    </row>
    <row r="37" spans="1:2">
      <c r="A37" s="2879" t="s">
        <v>2718</v>
      </c>
      <c r="B37" s="2880">
        <f>'预评函-2'!J5</f>
        <v>1.5</v>
      </c>
    </row>
    <row r="38" spans="1:2">
      <c r="A38" s="2879" t="s">
        <v>2719</v>
      </c>
      <c r="B38" s="2880" t="str">
        <f>'预评函-2'!K5</f>
        <v>红线外七通、宗地红线内宗地内已开工建设</v>
      </c>
    </row>
    <row r="39" spans="1:2">
      <c r="A39" s="2879" t="s">
        <v>2720</v>
      </c>
      <c r="B39" s="2880" t="str">
        <f>'预评函-2'!L5</f>
        <v>红线外七通、宗地红线内场地平整</v>
      </c>
    </row>
    <row r="40" spans="1:2">
      <c r="A40" s="2879" t="s">
        <v>2739</v>
      </c>
      <c r="B40" s="2880" t="str">
        <f>'预评函-2'!M3</f>
        <v>（剩余）土地使用年限/年</v>
      </c>
    </row>
    <row r="41" spans="1:2">
      <c r="A41" s="2879" t="s">
        <v>2721</v>
      </c>
      <c r="B41" s="2880">
        <f>'预评函-2'!M5</f>
        <v>0</v>
      </c>
    </row>
    <row r="42" spans="1:2">
      <c r="A42" s="2879" t="s">
        <v>2740</v>
      </c>
      <c r="B42" s="2880" t="str">
        <f>'预评函-2'!N3</f>
        <v>（分摊）出让国有建设用地使用权面积/㎡</v>
      </c>
    </row>
    <row r="43" spans="1:2">
      <c r="A43" s="2879" t="s">
        <v>2722</v>
      </c>
      <c r="B43" s="2880">
        <f>'预评函-2'!N5</f>
        <v>47310.04</v>
      </c>
    </row>
    <row r="44" spans="1:2">
      <c r="A44" s="2879" t="s">
        <v>2741</v>
      </c>
      <c r="B44" s="2880" t="str">
        <f>'预评函-2'!O3</f>
        <v>规划建筑面积/㎡</v>
      </c>
    </row>
    <row r="45" spans="1:2">
      <c r="A45" s="2879" t="s">
        <v>2723</v>
      </c>
      <c r="B45" s="2880">
        <f>'预评函-2'!O5</f>
        <v>150957.27000000002</v>
      </c>
    </row>
    <row r="46" spans="1:2">
      <c r="A46" s="2879" t="s">
        <v>2724</v>
      </c>
      <c r="B46" s="2880">
        <f ca="1">'预评函-2'!P5</f>
        <v>7899</v>
      </c>
    </row>
    <row r="47" spans="1:2">
      <c r="A47" s="2879" t="s">
        <v>2725</v>
      </c>
      <c r="B47" s="2880">
        <f ca="1">'预评函-2'!Q5</f>
        <v>2475</v>
      </c>
    </row>
    <row r="48" spans="1:2">
      <c r="A48" s="2879" t="s">
        <v>2726</v>
      </c>
      <c r="B48" s="2880">
        <f ca="1">'预评函-2'!R5</f>
        <v>37369</v>
      </c>
    </row>
    <row r="49" spans="1:2">
      <c r="A49" s="2879" t="s">
        <v>2742</v>
      </c>
      <c r="B49" s="2880" t="str">
        <f>'预评函-2'!A6</f>
        <v>抵押价格</v>
      </c>
    </row>
    <row r="50" spans="1:2">
      <c r="A50" s="2879" t="s">
        <v>2727</v>
      </c>
      <c r="B50" s="2880">
        <f ca="1">'预评函-2'!R6</f>
        <v>37369</v>
      </c>
    </row>
    <row r="51" spans="1:2">
      <c r="A51" s="2879" t="s">
        <v>2743</v>
      </c>
      <c r="B51" s="2880" t="str">
        <f>'预评函-2'!A7</f>
        <v>——</v>
      </c>
    </row>
    <row r="52" spans="1:2">
      <c r="A52" s="2879" t="s">
        <v>2728</v>
      </c>
      <c r="B52" s="2880" t="str">
        <f>'预评函-2'!R7</f>
        <v>——</v>
      </c>
    </row>
    <row r="53" spans="1:2">
      <c r="A53" s="2879" t="s">
        <v>2744</v>
      </c>
      <c r="B53" s="2880">
        <f>'预评函-2'!A8</f>
        <v>0</v>
      </c>
    </row>
    <row r="54" spans="1:2" s="2894" customFormat="1" ht="15" thickBot="1">
      <c r="A54" s="2901" t="s">
        <v>2729</v>
      </c>
      <c r="B54" s="2902" t="str">
        <f>'预评函-2'!R8</f>
        <v>——</v>
      </c>
    </row>
    <row r="55" spans="1:2" ht="15" thickTop="1">
      <c r="A55" s="2890" t="s">
        <v>2679</v>
      </c>
      <c r="B55" s="2891" t="str">
        <f>'预评函-3'!A2</f>
        <v>1.权利限制：根据估价对象《不动产权证书》——、《国有土地使用权》复印件，截至估价期日，估价对象抵押权未见登记。未设定租赁等其他他项权利。</v>
      </c>
    </row>
    <row r="56" spans="1:2">
      <c r="A56" s="2879" t="s">
        <v>2680</v>
      </c>
      <c r="B56" s="2880" t="str">
        <f>'预评函-3'!A3</f>
        <v>2.基础设施条件：估价对象实际开发程度为红线外七通、宗地红线内宗地内已开工建设；本次评估设定开发程度为红线外七通、宗地红线内场地平整。</v>
      </c>
    </row>
    <row r="57" spans="1:2">
      <c r="A57" s="2879" t="s">
        <v>2681</v>
      </c>
      <c r="B57" s="2880" t="str">
        <f>'预评函-3'!A4</f>
        <v>3.估价规划限制条件：详见《建设工程规划许可证》[]、《出让合同》[]。</v>
      </c>
    </row>
    <row r="58" spans="1:2" s="2894" customFormat="1" ht="15" thickBot="1">
      <c r="A58" s="2901" t="s">
        <v>2730</v>
      </c>
      <c r="B58" s="2902" t="str">
        <f>'预评函-3'!A5</f>
        <v>4.影响价格的其他限定条件：无。</v>
      </c>
    </row>
    <row r="59" spans="1:2" ht="15" thickTop="1">
      <c r="A59" s="2890" t="s">
        <v>2682</v>
      </c>
      <c r="B59" s="2891" t="str">
        <f>'预评函-3'!A8</f>
        <v>2.本《评估意见函》仅供金融机构进行内部审核使用，不做其他目的之用。</v>
      </c>
    </row>
    <row r="60" spans="1:2">
      <c r="A60" s="2879" t="s">
        <v>2683</v>
      </c>
      <c r="B60" s="2880" t="str">
        <f>'预评函-3'!A9</f>
        <v>3.抵押双方在办理抵押登记手续时，应使用本公司出具的正式《土地估价报告》，特提请报告使用者注意。</v>
      </c>
    </row>
    <row r="61" spans="1:2">
      <c r="A61" s="2879" t="s">
        <v>2685</v>
      </c>
      <c r="B61" s="2880" t="str">
        <f>'预评函-3'!A10</f>
        <v>4.估价师所知悉的法定优先受偿款情况为：</v>
      </c>
    </row>
    <row r="62" spans="1:2">
      <c r="A62" s="2879" t="s">
        <v>2684</v>
      </c>
      <c r="B62" s="2880" t="str">
        <f>'预评函-3'!A11</f>
        <v>（1）根据估价对象《不动产权证书》——、《国有土地使用权》复印件，截至估价期日，估价对象抵押权未见登记。</v>
      </c>
    </row>
    <row r="63" spans="1:2">
      <c r="A63" s="2879" t="s">
        <v>2686</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2687</v>
      </c>
      <c r="B64" s="2885" t="str">
        <f>'预评函-3'!A13</f>
        <v>（3）。</v>
      </c>
    </row>
    <row r="65" spans="1:2">
      <c r="A65" s="2879" t="s">
        <v>2688</v>
      </c>
      <c r="B65" s="2886" t="str">
        <f>'预评函-3'!A14</f>
        <v>综上，本次评估不存在估价师知悉的法定优先受偿款</v>
      </c>
    </row>
    <row r="66" spans="1:2">
      <c r="A66" s="2879" t="s">
        <v>2689</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2690</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2693</v>
      </c>
      <c r="B68" s="2905">
        <f>'预评函-3'!D30</f>
        <v>42558</v>
      </c>
    </row>
    <row r="69" spans="1:2" ht="15" thickTop="1">
      <c r="A69" s="2890" t="s">
        <v>2691</v>
      </c>
      <c r="B69" s="2891" t="str">
        <f>'预评函-3'!A20</f>
        <v>吴薇</v>
      </c>
    </row>
    <row r="70" spans="1:2">
      <c r="A70" s="2879" t="s">
        <v>2691</v>
      </c>
      <c r="B70" s="2886">
        <f ca="1">'预评函-3'!B20</f>
        <v>2002110125</v>
      </c>
    </row>
    <row r="71" spans="1:2">
      <c r="A71" s="2879" t="s">
        <v>2692</v>
      </c>
      <c r="B71" s="2880" t="str">
        <f>'预评函-3'!A21</f>
        <v>郑燚</v>
      </c>
    </row>
    <row r="72" spans="1:2" s="2894" customFormat="1" ht="15" thickBot="1">
      <c r="A72" s="2901" t="s">
        <v>2692</v>
      </c>
      <c r="B72" s="2907">
        <f>'预评函-3'!B21</f>
        <v>2014110011</v>
      </c>
    </row>
    <row r="73" spans="1:2" ht="15" thickTop="1">
      <c r="A73" s="2890" t="s">
        <v>2751</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2752</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2753</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2788</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F12" sqref="F12:I12"/>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55" t="str">
        <f>IF(B10="北京市","北京市",C10)&amp;F10&amp;B16&amp;"国有建设用地使用权"&amp;B9&amp;"预评估"</f>
        <v>广东省河源市出让国有建设用地使用权抵押价格预评估</v>
      </c>
      <c r="C1" s="3256"/>
      <c r="D1" s="3256"/>
      <c r="E1" s="3256"/>
      <c r="F1" s="3256"/>
      <c r="G1" s="3256"/>
      <c r="H1" s="3256"/>
      <c r="I1" s="3257"/>
      <c r="J1" s="1694"/>
      <c r="K1" s="2456" t="str">
        <f>IF(B10="北京市","北京市",C10)&amp;F10&amp;B16&amp;"国有建设用地使用权"&amp;B9</f>
        <v>广东省河源市出让国有建设用地使用权抵押价格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广东省河源市出让国有建设用地使用权</v>
      </c>
      <c r="L2" s="1723"/>
      <c r="M2" s="1723"/>
      <c r="N2" s="1694"/>
      <c r="O2" s="1695"/>
      <c r="P2" s="1694"/>
      <c r="Q2" s="1694"/>
      <c r="R2" s="1694"/>
      <c r="S2" s="1694"/>
      <c r="T2" s="1694"/>
      <c r="U2" s="1694"/>
    </row>
    <row r="3" spans="1:21">
      <c r="A3" s="1661" t="s">
        <v>1942</v>
      </c>
      <c r="B3" s="1662">
        <v>43305</v>
      </c>
      <c r="C3" s="1663" t="s">
        <v>1997</v>
      </c>
      <c r="D3" s="1662">
        <v>43305</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2985</v>
      </c>
      <c r="C4" s="1846">
        <f ca="1">SUMIF(土地估价师,B4,估价师及机构信息!E3:E24)</f>
        <v>2002110125</v>
      </c>
      <c r="D4" s="1843" t="s">
        <v>2986</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吴薇、郑燚</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55"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61" t="s">
        <v>1947</v>
      </c>
      <c r="E8" s="1844" t="s">
        <v>2988</v>
      </c>
      <c r="F8" s="1672"/>
      <c r="G8" s="1660"/>
      <c r="H8" s="1660"/>
      <c r="I8" s="1707"/>
      <c r="J8" s="1694"/>
      <c r="K8" s="1774"/>
      <c r="L8" s="1723"/>
      <c r="M8" s="1723"/>
      <c r="N8" s="1694"/>
      <c r="O8" s="1695"/>
      <c r="P8" s="1694"/>
      <c r="Q8" s="1694"/>
      <c r="R8" s="1694"/>
      <c r="S8" s="1694"/>
      <c r="T8" s="1694"/>
      <c r="U8" s="1694"/>
    </row>
    <row r="9" spans="1:21" ht="15" thickBot="1">
      <c r="A9" s="1673" t="s">
        <v>1946</v>
      </c>
      <c r="B9" s="1674" t="s">
        <v>2988</v>
      </c>
      <c r="C9" s="1675"/>
      <c r="D9" s="3262"/>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t="s">
        <v>2990</v>
      </c>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2002</v>
      </c>
      <c r="B11" s="1698" t="s">
        <v>2991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58" t="s">
        <v>2992</v>
      </c>
      <c r="C12" s="3259"/>
      <c r="D12" s="3260"/>
      <c r="E12" s="1699" t="s">
        <v>2063</v>
      </c>
      <c r="F12" s="3276" t="s">
        <v>3141</v>
      </c>
      <c r="G12" s="3277"/>
      <c r="H12" s="3277"/>
      <c r="I12" s="3278"/>
      <c r="J12" s="1694"/>
      <c r="K12" s="1774"/>
      <c r="L12" s="1723"/>
      <c r="M12" s="1723"/>
      <c r="N12" s="1694"/>
      <c r="O12" s="1695"/>
      <c r="P12" s="1694"/>
      <c r="Q12" s="1694"/>
      <c r="R12" s="1694"/>
      <c r="S12" s="1694"/>
      <c r="T12" s="1694"/>
      <c r="U12" s="1694"/>
    </row>
    <row r="13" spans="1:21">
      <c r="A13" s="1687" t="s">
        <v>2061</v>
      </c>
      <c r="B13" s="3258" t="s">
        <v>2993</v>
      </c>
      <c r="C13" s="3259"/>
      <c r="D13" s="3260"/>
      <c r="E13" s="1699" t="s">
        <v>2063</v>
      </c>
      <c r="F13" s="3276" t="s">
        <v>2890</v>
      </c>
      <c r="G13" s="3277"/>
      <c r="H13" s="3277"/>
      <c r="I13" s="3278"/>
      <c r="J13" s="1694"/>
      <c r="K13" s="1774"/>
      <c r="L13" s="1723"/>
      <c r="M13" s="1723"/>
      <c r="N13" s="1694"/>
      <c r="O13" s="1695"/>
      <c r="P13" s="1694"/>
      <c r="Q13" s="1694"/>
      <c r="R13" s="1694"/>
      <c r="S13" s="1694"/>
      <c r="T13" s="1694"/>
      <c r="U13" s="1694"/>
    </row>
    <row r="14" spans="1:21">
      <c r="A14" s="1661" t="s">
        <v>2064</v>
      </c>
      <c r="B14" s="1699"/>
      <c r="C14" s="1845" t="s">
        <v>2995</v>
      </c>
      <c r="D14" s="1733" t="str">
        <f>IF(C14="不一致","是否符合证载地类范围","")</f>
        <v>是否符合证载地类范围</v>
      </c>
      <c r="E14" s="1699"/>
      <c r="F14" s="1790" t="s">
        <v>2994</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2996</v>
      </c>
      <c r="C16" s="1699" t="s">
        <v>1951</v>
      </c>
      <c r="D16" s="2647" t="s">
        <v>1952</v>
      </c>
      <c r="E16" s="1722" t="s">
        <v>2997</v>
      </c>
      <c r="F16" s="1722"/>
      <c r="G16" s="1722" t="s">
        <v>35</v>
      </c>
      <c r="H16" s="1722"/>
      <c r="I16" s="1686" t="s">
        <v>1957</v>
      </c>
      <c r="J16" s="1694"/>
      <c r="K16" s="2457" t="str">
        <f>IF(D17="","",D16&amp;TEXT(D17,"yyyy年m月d日;;"))</f>
        <v>住宅2084年12月31日</v>
      </c>
      <c r="L16" s="1699" t="str">
        <f>IF(OR(K16="",M16=""),"","、")</f>
        <v>、</v>
      </c>
      <c r="M16" s="2457" t="str">
        <f>IF(E17="","",E16&amp;TEXT(E17,"yyyy年m月d日;;"))</f>
        <v>商业2054年12月31日</v>
      </c>
      <c r="N16" s="1699" t="str">
        <f>IF(OR(M16="",O16=""),"","、")</f>
        <v/>
      </c>
      <c r="O16" s="2457" t="str">
        <f>IF(F17="","",F16&amp;TEXT(F17,"yyyy年m月d日;;"))</f>
        <v/>
      </c>
      <c r="P16" s="1699" t="str">
        <f>IF(OR(O16="",Q16=""),"","、")</f>
        <v/>
      </c>
      <c r="Q16" s="2457" t="str">
        <f>IF(G17="","",G16&amp;TEXT(G17,"yyyy年m月d日;;"))</f>
        <v>地下车库2064年12月31日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67572</v>
      </c>
      <c r="E17" s="1700">
        <v>56614</v>
      </c>
      <c r="F17" s="1700"/>
      <c r="G17" s="1700">
        <v>60267</v>
      </c>
      <c r="H17" s="1700"/>
      <c r="I17" s="1700"/>
      <c r="J17" s="1694"/>
      <c r="K17" s="2456" t="str">
        <f>CONCATENATE(K16,L16,M16,N16,O16,P16,Q16,R16,S16,T16,,U16)</f>
        <v>住宅2084年12月31日、商业2054年12月31日地下车库2064年12月31日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66.48</v>
      </c>
      <c r="E19" s="1685">
        <f>IF(B16="出让",IF(E17="","",ROUNDDOWN(MIN((E17-$D$3)/365,E18),2)),E18)</f>
        <v>36.46</v>
      </c>
      <c r="F19" s="1685" t="str">
        <f>IF(B16="出让",IF(F17="","",ROUNDDOWN(MIN((F17-$D$3)/365,F18),2)),F18)</f>
        <v/>
      </c>
      <c r="G19" s="1685">
        <f>IF(B16="出让",IF(G17="","",ROUNDDOWN(MIN((G17-$D$3)/365,G18),2)),G18)</f>
        <v>46.47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73"/>
      <c r="E20" s="3274"/>
      <c r="F20" s="3274"/>
      <c r="G20" s="3274"/>
      <c r="H20" s="3274"/>
      <c r="I20" s="3275"/>
      <c r="J20" s="1694"/>
      <c r="K20" s="1774"/>
      <c r="L20" s="1723"/>
      <c r="M20" s="1723"/>
      <c r="N20" s="1694"/>
      <c r="O20" s="1695"/>
      <c r="P20" s="1694"/>
      <c r="Q20" s="1694"/>
      <c r="R20" s="1694"/>
      <c r="S20" s="1694"/>
      <c r="T20" s="1694"/>
      <c r="U20" s="1694"/>
    </row>
    <row r="21" spans="1:21">
      <c r="A21" s="1763" t="s">
        <v>1961</v>
      </c>
      <c r="B21" s="1764" t="s">
        <v>1962</v>
      </c>
      <c r="C21" s="1759">
        <f>'数据-汇总表'!E3</f>
        <v>150957.27000000002</v>
      </c>
      <c r="D21" s="1760" t="s">
        <v>1963</v>
      </c>
      <c r="E21" s="3263" t="s">
        <v>2000</v>
      </c>
      <c r="F21" s="3264"/>
      <c r="G21" s="3264"/>
      <c r="H21" s="3264"/>
      <c r="I21" s="3265"/>
      <c r="J21" s="1694"/>
      <c r="K21" s="1774"/>
      <c r="L21" s="1723"/>
      <c r="M21" s="1723"/>
      <c r="N21" s="1694"/>
      <c r="O21" s="1695"/>
      <c r="P21" s="1694"/>
      <c r="Q21" s="1694"/>
      <c r="R21" s="1694"/>
      <c r="S21" s="1694"/>
      <c r="T21" s="1694"/>
      <c r="U21" s="1694"/>
    </row>
    <row r="22" spans="1:21">
      <c r="A22" s="3148" t="s">
        <v>952</v>
      </c>
      <c r="B22" s="1661" t="s">
        <v>1964</v>
      </c>
      <c r="C22" s="1686">
        <f>'数据-汇总表'!D3</f>
        <v>47310.04</v>
      </c>
      <c r="D22" s="1687" t="s">
        <v>1963</v>
      </c>
      <c r="E22" s="3263" t="s">
        <v>2891</v>
      </c>
      <c r="F22" s="3264"/>
      <c r="G22" s="3264"/>
      <c r="H22" s="3264"/>
      <c r="I22" s="3265"/>
      <c r="J22" s="1694"/>
      <c r="K22" s="1774"/>
      <c r="L22" s="1723"/>
      <c r="M22" s="1723"/>
      <c r="N22" s="1694"/>
      <c r="O22" s="1695"/>
      <c r="P22" s="1694"/>
      <c r="Q22" s="1694"/>
      <c r="R22" s="1694"/>
      <c r="S22" s="1694"/>
      <c r="T22" s="1694"/>
      <c r="U22" s="1694"/>
    </row>
    <row r="23" spans="1:21" ht="43.5" thickBot="1">
      <c r="A23" s="1765" t="s">
        <v>1965</v>
      </c>
      <c r="B23" s="1701" t="s">
        <v>1966</v>
      </c>
      <c r="C23" s="1702" t="s">
        <v>2998</v>
      </c>
      <c r="D23" s="1703" t="s">
        <v>1967</v>
      </c>
      <c r="E23" s="1704" t="s">
        <v>2998</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66" t="s">
        <v>1969</v>
      </c>
      <c r="C24" s="3267"/>
      <c r="D24" s="3268" t="s">
        <v>1970</v>
      </c>
      <c r="E24" s="3269"/>
      <c r="F24" s="1708" t="s">
        <v>1971</v>
      </c>
      <c r="G24" s="1694"/>
      <c r="H24" s="1694"/>
      <c r="I24" s="1707"/>
      <c r="J24" s="1694"/>
      <c r="K24" s="3254" t="s">
        <v>1972</v>
      </c>
      <c r="L24" s="2458"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952</v>
      </c>
      <c r="D25" s="1710"/>
      <c r="E25" s="1711" t="s">
        <v>952</v>
      </c>
      <c r="F25" s="1712"/>
      <c r="G25" s="1694"/>
      <c r="H25" s="1694"/>
      <c r="I25" s="1707"/>
      <c r="J25" s="1694"/>
      <c r="K25" s="3254"/>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54"/>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0" t="s">
        <v>2003</v>
      </c>
      <c r="B31" s="1764" t="s">
        <v>2004</v>
      </c>
      <c r="C31" s="3279"/>
      <c r="D31" s="3280"/>
      <c r="E31" s="1694"/>
      <c r="F31" s="1694"/>
      <c r="G31" s="1694"/>
      <c r="H31" s="1694"/>
      <c r="I31" s="1707"/>
      <c r="J31" s="1694"/>
      <c r="K31" s="2459"/>
      <c r="L31" s="1694"/>
      <c r="M31" s="1694"/>
      <c r="N31" s="1694"/>
      <c r="O31" s="1694"/>
      <c r="P31" s="1694"/>
      <c r="Q31" s="1694"/>
      <c r="R31" s="1694"/>
      <c r="S31" s="1694"/>
      <c r="T31" s="1694"/>
      <c r="U31" s="1694"/>
    </row>
    <row r="32" spans="1:21">
      <c r="A32" s="3240"/>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40"/>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1"/>
      <c r="B34" s="1661" t="s">
        <v>2007</v>
      </c>
      <c r="C34" s="3242"/>
      <c r="D34" s="3243"/>
      <c r="E34" s="1694"/>
      <c r="F34" s="1694"/>
      <c r="G34" s="1694"/>
      <c r="H34" s="1694"/>
      <c r="I34" s="1707"/>
      <c r="J34" s="1694"/>
      <c r="K34" s="2459"/>
      <c r="L34" s="1694"/>
      <c r="M34" s="1694"/>
      <c r="N34" s="1694"/>
      <c r="O34" s="1694"/>
      <c r="P34" s="1694"/>
      <c r="Q34" s="1694"/>
      <c r="R34" s="1694"/>
      <c r="S34" s="1694"/>
      <c r="T34" s="1694"/>
      <c r="U34" s="1694"/>
    </row>
    <row r="35" spans="1:21" ht="28.5">
      <c r="A35" s="3244" t="s">
        <v>847</v>
      </c>
      <c r="B35" s="1722" t="s">
        <v>3002</v>
      </c>
      <c r="C35" s="1776" t="str">
        <f>IF(B35="场地平整","——","具体情况：")</f>
        <v>具体情况：</v>
      </c>
      <c r="D35" s="3246"/>
      <c r="E35" s="3247"/>
      <c r="F35" s="3247"/>
      <c r="G35" s="3247"/>
      <c r="H35" s="3247"/>
      <c r="I35" s="3248"/>
      <c r="J35" s="1694"/>
      <c r="K35" s="1775"/>
      <c r="L35" s="1723"/>
      <c r="M35" s="1723"/>
      <c r="N35" s="1694"/>
      <c r="O35" s="1695"/>
      <c r="P35" s="1694"/>
      <c r="Q35" s="1694"/>
      <c r="R35" s="1694"/>
      <c r="S35" s="1694"/>
      <c r="T35" s="1694"/>
      <c r="U35" s="1694"/>
    </row>
    <row r="36" spans="1:21">
      <c r="A36" s="3240"/>
      <c r="B36" s="3249" t="s">
        <v>2056</v>
      </c>
      <c r="C36" s="3250"/>
      <c r="D36" s="1792" t="s">
        <v>3003</v>
      </c>
      <c r="E36" s="3251"/>
      <c r="F36" s="3251"/>
      <c r="G36" s="1687" t="str">
        <f>IF(B35="场地未平整","估价结果处理","")</f>
        <v/>
      </c>
      <c r="H36" s="3252"/>
      <c r="I36" s="3252"/>
      <c r="J36" s="1694"/>
      <c r="K36" s="1775"/>
      <c r="L36" s="1723"/>
      <c r="M36" s="1723"/>
      <c r="N36" s="1694"/>
      <c r="O36" s="1695"/>
      <c r="P36" s="1694"/>
      <c r="Q36" s="1694"/>
      <c r="R36" s="1694"/>
      <c r="S36" s="1694"/>
      <c r="T36" s="1694"/>
      <c r="U36" s="1694"/>
    </row>
    <row r="37" spans="1:21" ht="28.5">
      <c r="A37" s="3240"/>
      <c r="B37" s="3270"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40"/>
      <c r="B38" s="3271"/>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241"/>
      <c r="B39" s="3272"/>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t="s">
        <v>2999</v>
      </c>
      <c r="C40" s="1690" t="s">
        <v>3000</v>
      </c>
      <c r="D40" s="1690" t="s">
        <v>3001</v>
      </c>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53" t="s">
        <v>1987</v>
      </c>
      <c r="T40" s="1731" t="str">
        <f>NUMBERSTRING(7-K40,1)&amp;"通"</f>
        <v>七通</v>
      </c>
      <c r="U40" s="1694"/>
    </row>
    <row r="41" spans="1:21" ht="28.5">
      <c r="A41" s="1663"/>
      <c r="B41" s="3245" t="s">
        <v>1722</v>
      </c>
      <c r="C41" s="3245"/>
      <c r="D41" s="3245"/>
      <c r="E41" s="3245"/>
      <c r="F41" s="1732" t="str">
        <f>C10</f>
        <v>广东省河源市</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v>
      </c>
      <c r="P41" s="1734" t="str">
        <f>B40&amp;"、"&amp;C40&amp;"、"&amp;D40&amp;"、"&amp;E40&amp;"、"&amp;F40</f>
        <v>通路、通电、通上水、、</v>
      </c>
      <c r="Q41" s="1734" t="str">
        <f>B40&amp;"、"&amp;C40&amp;"、"&amp;D40&amp;"、"&amp;E40&amp;"、"&amp;F40&amp;"、"&amp;G40</f>
        <v>通路、通电、通上水、、、</v>
      </c>
      <c r="R41" s="1734" t="str">
        <f>B40&amp;"、"&amp;C40&amp;"、"&amp;D40&amp;"、"&amp;E40&amp;"、"&amp;F40&amp;"、"&amp;G40&amp;"、"&amp;H40</f>
        <v>通路、通电、通上水、、、、</v>
      </c>
      <c r="S41" s="3253"/>
      <c r="T41" s="1733" t="str">
        <f>IF(T40="一通",L41,IF(T40="二通",M41,IF(T40="三通",N41,IF(T40="四通",O41,IF(T40="五通",P41,IF(T40="六通",Q41,R41))))))</f>
        <v>通路、通电、通上水、、、、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2" customFormat="1" ht="21" thickBot="1">
      <c r="A45" s="3073" t="s">
        <v>2892</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L13" sqref="AL13:A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1.37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60675</v>
      </c>
      <c r="B3" s="22">
        <f>IF(C3="否",G5-AT5,G5)</f>
        <v>193602.31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193602.31</v>
      </c>
      <c r="H5" s="27">
        <f t="shared" ref="H5:AT5" si="0">SUM(H13:H641)</f>
        <v>187172.69</v>
      </c>
      <c r="I5" s="27">
        <f t="shared" si="0"/>
        <v>129772.48999999999</v>
      </c>
      <c r="J5" s="27">
        <f t="shared" si="0"/>
        <v>0</v>
      </c>
      <c r="K5" s="27">
        <f t="shared" si="0"/>
        <v>531</v>
      </c>
      <c r="L5" s="27">
        <f t="shared" si="0"/>
        <v>0</v>
      </c>
      <c r="M5" s="27">
        <f t="shared" si="0"/>
        <v>56869.200000000012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6429.62</v>
      </c>
      <c r="AD5" s="27">
        <f t="shared" si="0"/>
        <v>2664</v>
      </c>
      <c r="AE5" s="27">
        <f t="shared" si="0"/>
        <v>0</v>
      </c>
      <c r="AF5" s="27">
        <f t="shared" si="0"/>
        <v>33</v>
      </c>
      <c r="AG5" s="27">
        <f t="shared" si="0"/>
        <v>0</v>
      </c>
      <c r="AH5" s="27">
        <f t="shared" si="0"/>
        <v>267</v>
      </c>
      <c r="AI5" s="27">
        <f t="shared" si="0"/>
        <v>0</v>
      </c>
      <c r="AJ5" s="27">
        <f t="shared" si="0"/>
        <v>0</v>
      </c>
      <c r="AK5" s="27">
        <f t="shared" si="0"/>
        <v>0</v>
      </c>
      <c r="AL5" s="27">
        <f t="shared" si="0"/>
        <v>3465.62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150957.27000000002</v>
      </c>
      <c r="BA5" s="29">
        <f t="shared" si="1"/>
        <v>145297.79</v>
      </c>
      <c r="BB5" s="29">
        <f t="shared" si="1"/>
        <v>100535.19</v>
      </c>
      <c r="BC5" s="29">
        <f t="shared" si="1"/>
        <v>531</v>
      </c>
      <c r="BD5" s="29">
        <f t="shared" si="1"/>
        <v>44231.600000000006</v>
      </c>
      <c r="BE5" s="29">
        <f t="shared" si="1"/>
        <v>0</v>
      </c>
      <c r="BF5" s="29">
        <f t="shared" si="1"/>
        <v>0</v>
      </c>
      <c r="BG5" s="29">
        <f t="shared" si="1"/>
        <v>0</v>
      </c>
      <c r="BH5" s="29">
        <f t="shared" si="1"/>
        <v>0</v>
      </c>
      <c r="BI5" s="29">
        <f t="shared" si="1"/>
        <v>0</v>
      </c>
      <c r="BJ5" s="29">
        <f t="shared" si="1"/>
        <v>0</v>
      </c>
      <c r="BK5" s="29">
        <f t="shared" si="1"/>
        <v>0</v>
      </c>
      <c r="BL5" s="29">
        <f t="shared" si="1"/>
        <v>5659.48</v>
      </c>
      <c r="BM5" s="29">
        <f t="shared" si="1"/>
        <v>2664</v>
      </c>
      <c r="BN5" s="29">
        <f t="shared" si="1"/>
        <v>33</v>
      </c>
      <c r="BO5" s="29">
        <f t="shared" si="1"/>
        <v>267</v>
      </c>
      <c r="BP5" s="29">
        <f t="shared" si="1"/>
        <v>0</v>
      </c>
      <c r="BQ5" s="29">
        <f t="shared" si="1"/>
        <v>2695.4799999999996</v>
      </c>
      <c r="BR5" s="29">
        <f t="shared" si="1"/>
        <v>0</v>
      </c>
      <c r="BS5" s="29">
        <f t="shared" si="1"/>
        <v>0</v>
      </c>
      <c r="BT5" s="30">
        <f t="shared" si="1"/>
        <v>0</v>
      </c>
    </row>
    <row r="6" spans="1:72" s="37" customFormat="1" ht="12.75">
      <c r="A6" s="26" t="s">
        <v>169</v>
      </c>
      <c r="B6" s="31"/>
      <c r="C6" s="31"/>
      <c r="D6" s="32"/>
      <c r="E6" s="27">
        <f>H6+AC6+AT6</f>
        <v>60675.01</v>
      </c>
      <c r="F6" s="27" t="s">
        <v>1</v>
      </c>
      <c r="G6" s="27" t="s">
        <v>2</v>
      </c>
      <c r="H6" s="33">
        <f>SUMIF(I$12:AB$12,"总值",I6:AB6)</f>
        <v>58659.96</v>
      </c>
      <c r="I6" s="27">
        <f t="shared" ref="I6:AB6" si="2">ROUND($A$3*I5/$B$3,2)</f>
        <v>40670.720000000001</v>
      </c>
      <c r="J6" s="27">
        <f t="shared" si="2"/>
        <v>0</v>
      </c>
      <c r="K6" s="27">
        <f t="shared" si="2"/>
        <v>166.42</v>
      </c>
      <c r="L6" s="27">
        <f t="shared" si="2"/>
        <v>0</v>
      </c>
      <c r="M6" s="27">
        <f t="shared" si="2"/>
        <v>17822.82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2015.0500000000002</v>
      </c>
      <c r="AD6" s="27">
        <f t="shared" ref="AD6:AS6" si="3">ROUND($A$3*AD5/$B$3,2)</f>
        <v>834.9</v>
      </c>
      <c r="AE6" s="27">
        <f t="shared" si="3"/>
        <v>0</v>
      </c>
      <c r="AF6" s="27">
        <f t="shared" si="3"/>
        <v>10.34</v>
      </c>
      <c r="AG6" s="27">
        <f t="shared" si="3"/>
        <v>0</v>
      </c>
      <c r="AH6" s="27">
        <f t="shared" si="3"/>
        <v>83.68</v>
      </c>
      <c r="AI6" s="27">
        <f t="shared" si="3"/>
        <v>0</v>
      </c>
      <c r="AJ6" s="27">
        <f t="shared" si="3"/>
        <v>0</v>
      </c>
      <c r="AK6" s="27">
        <f t="shared" si="3"/>
        <v>0</v>
      </c>
      <c r="AL6" s="27">
        <f t="shared" si="3"/>
        <v>1086.1300000000001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47310.04</v>
      </c>
      <c r="AZ6" s="27" t="s">
        <v>3</v>
      </c>
      <c r="BA6" s="27">
        <f>ROUND($AY$6*BA5/$AZ$5,2)</f>
        <v>45536.36</v>
      </c>
      <c r="BB6" s="27">
        <f>ROUND($AY$6*BB5/$AZ$5,2)</f>
        <v>31507.75</v>
      </c>
      <c r="BC6" s="27">
        <f t="shared" ref="BC6:BH6" si="4">ROUND($AY$6*BC5/$AZ$5,2)</f>
        <v>166.42</v>
      </c>
      <c r="BD6" s="27">
        <f t="shared" si="4"/>
        <v>13862.19</v>
      </c>
      <c r="BE6" s="27">
        <f t="shared" si="4"/>
        <v>0</v>
      </c>
      <c r="BF6" s="27">
        <f t="shared" si="4"/>
        <v>0</v>
      </c>
      <c r="BG6" s="27">
        <f t="shared" si="4"/>
        <v>0</v>
      </c>
      <c r="BH6" s="27">
        <f t="shared" si="4"/>
        <v>0</v>
      </c>
      <c r="BI6" s="27">
        <f t="shared" ref="BI6:BT6" si="5">ROUND($AY$6*BI5/$AZ$5,2)</f>
        <v>0</v>
      </c>
      <c r="BJ6" s="27">
        <f t="shared" si="5"/>
        <v>0</v>
      </c>
      <c r="BK6" s="27">
        <f t="shared" si="5"/>
        <v>0</v>
      </c>
      <c r="BL6" s="27">
        <f t="shared" si="5"/>
        <v>1773.68</v>
      </c>
      <c r="BM6" s="27">
        <f t="shared" si="5"/>
        <v>834.9</v>
      </c>
      <c r="BN6" s="27">
        <f t="shared" si="5"/>
        <v>10.34</v>
      </c>
      <c r="BO6" s="27">
        <f t="shared" si="5"/>
        <v>83.68</v>
      </c>
      <c r="BP6" s="27">
        <f t="shared" si="5"/>
        <v>0</v>
      </c>
      <c r="BQ6" s="27">
        <f t="shared" si="5"/>
        <v>844.76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3004</v>
      </c>
      <c r="J9" s="51"/>
      <c r="K9" s="3018" t="s">
        <v>3004</v>
      </c>
      <c r="L9" s="51"/>
      <c r="M9" s="3018" t="s">
        <v>3007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2997</v>
      </c>
      <c r="L10" s="51"/>
      <c r="M10" s="3020" t="s">
        <v>3008</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3005</v>
      </c>
      <c r="J11" s="71"/>
      <c r="K11" s="3019" t="s">
        <v>3006</v>
      </c>
      <c r="L11" s="71"/>
      <c r="M11" s="70" t="s">
        <v>3008</v>
      </c>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独立商业</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3113</v>
      </c>
      <c r="D13" s="3015" t="s">
        <v>1679</v>
      </c>
      <c r="E13" s="27">
        <f t="shared" ref="E13:E20" si="6">IF($C$3="是",ROUND($A$3*G13/$B$3,2),ROUND($A$3*(G13-AT13)/$B$3,2))</f>
        <v>5923.86</v>
      </c>
      <c r="F13" s="81"/>
      <c r="G13" s="82">
        <f t="shared" ref="G13:G20" si="7">H13+AC13+AT13</f>
        <v>18901.900000000001</v>
      </c>
      <c r="H13" s="33">
        <f t="shared" ref="H13:H20" si="8">SUMIF(I$12:AB$12,"总值",I13:AB13)</f>
        <v>18516.830000000002</v>
      </c>
      <c r="I13" s="3017">
        <v>12198.03</v>
      </c>
      <c r="J13" s="3017"/>
      <c r="K13" s="3017"/>
      <c r="L13" s="3017"/>
      <c r="M13" s="3017">
        <f t="shared" ref="M13:M21" si="9">ROUND(56869.2/9,2)</f>
        <v>6318.8</v>
      </c>
      <c r="N13" s="83"/>
      <c r="O13" s="83"/>
      <c r="P13" s="83"/>
      <c r="Q13" s="83"/>
      <c r="R13" s="83"/>
      <c r="S13" s="83"/>
      <c r="T13" s="83"/>
      <c r="U13" s="83"/>
      <c r="V13" s="83"/>
      <c r="W13" s="83"/>
      <c r="X13" s="83"/>
      <c r="Y13" s="83"/>
      <c r="Z13" s="83"/>
      <c r="AA13" s="83"/>
      <c r="AB13" s="83"/>
      <c r="AC13" s="27">
        <f t="shared" ref="AC13:AC20" si="10">SUMIF(AD$12:AS$12,"总值",AD13:AS13)</f>
        <v>385.07</v>
      </c>
      <c r="AD13" s="3021"/>
      <c r="AE13" s="3021"/>
      <c r="AF13" s="3021"/>
      <c r="AG13" s="3021"/>
      <c r="AH13" s="3021"/>
      <c r="AI13" s="3021"/>
      <c r="AJ13" s="3021"/>
      <c r="AK13" s="3021"/>
      <c r="AL13" s="3021">
        <f t="shared" ref="AL13:AL20" si="11">ROUND(3465.62/9,2)</f>
        <v>385.07</v>
      </c>
      <c r="AM13" s="3021"/>
      <c r="AN13" s="3021"/>
      <c r="AO13" s="3021"/>
      <c r="AP13" s="3021"/>
      <c r="AQ13" s="3021"/>
      <c r="AR13" s="3021"/>
      <c r="AS13" s="3021"/>
      <c r="AT13" s="3022"/>
      <c r="AU13" s="3023"/>
      <c r="AV13" s="17">
        <f t="shared" ref="AV13:AX20" si="12">A13</f>
        <v>0</v>
      </c>
      <c r="AW13" s="17">
        <f t="shared" si="12"/>
        <v>0</v>
      </c>
      <c r="AX13" s="17" t="str">
        <f t="shared" si="12"/>
        <v>1号楼</v>
      </c>
      <c r="AY13" s="996">
        <f t="shared" ref="AY13:AY20" si="13">ROUND($AY$6*AZ13/$AZ$5,2)</f>
        <v>5923.86</v>
      </c>
      <c r="AZ13" s="27">
        <f t="shared" ref="AZ13:AZ20" si="14">BA13+BL13</f>
        <v>18901.900000000001</v>
      </c>
      <c r="BA13" s="27">
        <f t="shared" ref="BA13:BA20" si="15">SUM(BB13:BK13)</f>
        <v>18516.830000000002</v>
      </c>
      <c r="BB13" s="27">
        <f t="shared" ref="BB13:BB20" si="16">IF($D13="是",I13-J13,0)</f>
        <v>12198.03</v>
      </c>
      <c r="BC13" s="27">
        <f t="shared" ref="BC13:BC20" si="17">IF($D13="是",K13-L13,0)</f>
        <v>0</v>
      </c>
      <c r="BD13" s="27">
        <f t="shared" ref="BD13:BD20" si="18">IF($D13="是",M13-N13,0)</f>
        <v>6318.8</v>
      </c>
      <c r="BE13" s="27">
        <f t="shared" ref="BE13:BE20" si="19">IF($D13="是",O13-P13,0)</f>
        <v>0</v>
      </c>
      <c r="BF13" s="27">
        <f t="shared" ref="BF13:BF20" si="20">IF($D13="是",Q13-R13,0)</f>
        <v>0</v>
      </c>
      <c r="BG13" s="27">
        <f t="shared" ref="BG13:BG20" si="21">IF($D13="是",S13-T13,0)</f>
        <v>0</v>
      </c>
      <c r="BH13" s="27">
        <f t="shared" ref="BH13:BH20" si="22">IF($D13="是",U13-V13,0)</f>
        <v>0</v>
      </c>
      <c r="BI13" s="27">
        <f t="shared" ref="BI13:BI20" si="23">IF($D13="是",W13-X13,0)</f>
        <v>0</v>
      </c>
      <c r="BJ13" s="27">
        <f t="shared" ref="BJ13:BJ20" si="24">IF($D13="是",Y13-Z13,0)</f>
        <v>0</v>
      </c>
      <c r="BK13" s="27">
        <f t="shared" ref="BK13:BK20" si="25">IF($D13="是",AA13-AB13,0)</f>
        <v>0</v>
      </c>
      <c r="BL13" s="27">
        <f t="shared" ref="BL13:BL20" si="26">SUM(BM13:BT13)</f>
        <v>385.07</v>
      </c>
      <c r="BM13" s="27">
        <f t="shared" ref="BM13:BM20" si="27">IF($D13="是",AD13-AE13,0)</f>
        <v>0</v>
      </c>
      <c r="BN13" s="27">
        <f t="shared" ref="BN13:BN20" si="28">IF($D13="是",AF13-AG13,0)</f>
        <v>0</v>
      </c>
      <c r="BO13" s="27">
        <f t="shared" ref="BO13:BO20" si="29">IF($D13="是",AH13-AI13,0)</f>
        <v>0</v>
      </c>
      <c r="BP13" s="27">
        <f t="shared" ref="BP13:BP20" si="30">IF($D13="是",AJ13-AK13,0)</f>
        <v>0</v>
      </c>
      <c r="BQ13" s="27">
        <f t="shared" ref="BQ13:BQ20" si="31">IF($D13="是",AL13-AM13,0)</f>
        <v>385.07</v>
      </c>
      <c r="BR13" s="27">
        <f t="shared" ref="BR13:BR20" si="32">IF($D13="是",AN13-AO13,0)</f>
        <v>0</v>
      </c>
      <c r="BS13" s="27">
        <f t="shared" ref="BS13:BS20" si="33">IF($D13="是",AP13-AQ13,0)</f>
        <v>0</v>
      </c>
      <c r="BT13" s="36">
        <f t="shared" ref="BT13:BT20" si="34">IF($D13="是",AR13-AS13,0)</f>
        <v>0</v>
      </c>
    </row>
    <row r="14" spans="1:72" s="18" customFormat="1" ht="12.75">
      <c r="A14" s="3014"/>
      <c r="B14" s="3014"/>
      <c r="C14" s="3016" t="s">
        <v>3114</v>
      </c>
      <c r="D14" s="3015" t="s">
        <v>1679</v>
      </c>
      <c r="E14" s="27">
        <f t="shared" si="6"/>
        <v>6420.82</v>
      </c>
      <c r="F14" s="81"/>
      <c r="G14" s="82">
        <f t="shared" si="7"/>
        <v>20487.61</v>
      </c>
      <c r="H14" s="33">
        <f t="shared" si="8"/>
        <v>20102.54</v>
      </c>
      <c r="I14" s="3017">
        <v>13783.74</v>
      </c>
      <c r="J14" s="3017"/>
      <c r="K14" s="3017"/>
      <c r="L14" s="3017"/>
      <c r="M14" s="3017">
        <f t="shared" si="9"/>
        <v>6318.8</v>
      </c>
      <c r="N14" s="83"/>
      <c r="O14" s="83"/>
      <c r="P14" s="83"/>
      <c r="Q14" s="83"/>
      <c r="R14" s="83"/>
      <c r="S14" s="83"/>
      <c r="T14" s="83"/>
      <c r="U14" s="83"/>
      <c r="V14" s="83"/>
      <c r="W14" s="83"/>
      <c r="X14" s="83"/>
      <c r="Y14" s="83"/>
      <c r="Z14" s="83"/>
      <c r="AA14" s="83"/>
      <c r="AB14" s="83"/>
      <c r="AC14" s="27">
        <f t="shared" si="10"/>
        <v>385.07</v>
      </c>
      <c r="AD14" s="3021"/>
      <c r="AE14" s="3021"/>
      <c r="AF14" s="3021"/>
      <c r="AG14" s="3021"/>
      <c r="AH14" s="3021"/>
      <c r="AI14" s="3021"/>
      <c r="AJ14" s="3021"/>
      <c r="AK14" s="3021"/>
      <c r="AL14" s="3021">
        <f t="shared" si="11"/>
        <v>385.07</v>
      </c>
      <c r="AM14" s="3021"/>
      <c r="AN14" s="3021"/>
      <c r="AO14" s="3021"/>
      <c r="AP14" s="3021"/>
      <c r="AQ14" s="3021"/>
      <c r="AR14" s="3021"/>
      <c r="AS14" s="3021"/>
      <c r="AT14" s="3022"/>
      <c r="AU14" s="3023"/>
      <c r="AV14" s="17">
        <f t="shared" si="12"/>
        <v>0</v>
      </c>
      <c r="AW14" s="17">
        <f t="shared" si="12"/>
        <v>0</v>
      </c>
      <c r="AX14" s="17" t="str">
        <f t="shared" si="12"/>
        <v>2号楼</v>
      </c>
      <c r="AY14" s="996">
        <f t="shared" si="13"/>
        <v>6420.82</v>
      </c>
      <c r="AZ14" s="27">
        <f t="shared" si="14"/>
        <v>20487.61</v>
      </c>
      <c r="BA14" s="27">
        <f t="shared" si="15"/>
        <v>20102.54</v>
      </c>
      <c r="BB14" s="27">
        <f t="shared" si="16"/>
        <v>13783.74</v>
      </c>
      <c r="BC14" s="27">
        <f t="shared" si="17"/>
        <v>0</v>
      </c>
      <c r="BD14" s="27">
        <f t="shared" si="18"/>
        <v>6318.8</v>
      </c>
      <c r="BE14" s="27">
        <f t="shared" si="19"/>
        <v>0</v>
      </c>
      <c r="BF14" s="27">
        <f t="shared" si="20"/>
        <v>0</v>
      </c>
      <c r="BG14" s="27">
        <f t="shared" si="21"/>
        <v>0</v>
      </c>
      <c r="BH14" s="27">
        <f t="shared" si="22"/>
        <v>0</v>
      </c>
      <c r="BI14" s="27">
        <f t="shared" si="23"/>
        <v>0</v>
      </c>
      <c r="BJ14" s="27">
        <f t="shared" si="24"/>
        <v>0</v>
      </c>
      <c r="BK14" s="27">
        <f t="shared" si="25"/>
        <v>0</v>
      </c>
      <c r="BL14" s="27">
        <f t="shared" si="26"/>
        <v>385.07</v>
      </c>
      <c r="BM14" s="27">
        <f t="shared" si="27"/>
        <v>0</v>
      </c>
      <c r="BN14" s="27">
        <f t="shared" si="28"/>
        <v>0</v>
      </c>
      <c r="BO14" s="27">
        <f t="shared" si="29"/>
        <v>0</v>
      </c>
      <c r="BP14" s="27">
        <f t="shared" si="30"/>
        <v>0</v>
      </c>
      <c r="BQ14" s="27">
        <f t="shared" si="31"/>
        <v>385.07</v>
      </c>
      <c r="BR14" s="27">
        <f t="shared" si="32"/>
        <v>0</v>
      </c>
      <c r="BS14" s="27">
        <f t="shared" si="33"/>
        <v>0</v>
      </c>
      <c r="BT14" s="36">
        <f t="shared" si="34"/>
        <v>0</v>
      </c>
    </row>
    <row r="15" spans="1:72" s="18" customFormat="1" ht="12.75">
      <c r="A15" s="3014"/>
      <c r="B15" s="3014"/>
      <c r="C15" s="3016" t="s">
        <v>3115</v>
      </c>
      <c r="D15" s="3015" t="s">
        <v>1679</v>
      </c>
      <c r="E15" s="27">
        <f t="shared" si="6"/>
        <v>6420.82</v>
      </c>
      <c r="F15" s="81"/>
      <c r="G15" s="82">
        <f t="shared" si="7"/>
        <v>20487.61</v>
      </c>
      <c r="H15" s="33">
        <f t="shared" si="8"/>
        <v>20102.54</v>
      </c>
      <c r="I15" s="3017">
        <v>13783.74</v>
      </c>
      <c r="J15" s="3017"/>
      <c r="K15" s="3017"/>
      <c r="L15" s="3017"/>
      <c r="M15" s="3017">
        <f t="shared" si="9"/>
        <v>6318.8</v>
      </c>
      <c r="N15" s="83"/>
      <c r="O15" s="83"/>
      <c r="P15" s="83"/>
      <c r="Q15" s="83"/>
      <c r="R15" s="83"/>
      <c r="S15" s="83"/>
      <c r="T15" s="83"/>
      <c r="U15" s="83"/>
      <c r="V15" s="83"/>
      <c r="W15" s="83"/>
      <c r="X15" s="83"/>
      <c r="Y15" s="83"/>
      <c r="Z15" s="83"/>
      <c r="AA15" s="83"/>
      <c r="AB15" s="83"/>
      <c r="AC15" s="27">
        <f t="shared" si="10"/>
        <v>385.07</v>
      </c>
      <c r="AD15" s="3021"/>
      <c r="AE15" s="3021"/>
      <c r="AF15" s="3021"/>
      <c r="AG15" s="3021"/>
      <c r="AH15" s="3021"/>
      <c r="AI15" s="3021"/>
      <c r="AJ15" s="3021"/>
      <c r="AK15" s="3021"/>
      <c r="AL15" s="3021">
        <f t="shared" si="11"/>
        <v>385.07</v>
      </c>
      <c r="AM15" s="3021"/>
      <c r="AN15" s="3021"/>
      <c r="AO15" s="3021"/>
      <c r="AP15" s="3021"/>
      <c r="AQ15" s="3021"/>
      <c r="AR15" s="3021"/>
      <c r="AS15" s="3021"/>
      <c r="AT15" s="3022"/>
      <c r="AU15" s="3023"/>
      <c r="AV15" s="17">
        <f t="shared" si="12"/>
        <v>0</v>
      </c>
      <c r="AW15" s="17">
        <f t="shared" si="12"/>
        <v>0</v>
      </c>
      <c r="AX15" s="17" t="str">
        <f t="shared" si="12"/>
        <v>3号楼</v>
      </c>
      <c r="AY15" s="996">
        <f t="shared" si="13"/>
        <v>6420.82</v>
      </c>
      <c r="AZ15" s="27">
        <f t="shared" si="14"/>
        <v>20487.61</v>
      </c>
      <c r="BA15" s="27">
        <f t="shared" si="15"/>
        <v>20102.54</v>
      </c>
      <c r="BB15" s="27">
        <f t="shared" si="16"/>
        <v>13783.74</v>
      </c>
      <c r="BC15" s="27">
        <f t="shared" si="17"/>
        <v>0</v>
      </c>
      <c r="BD15" s="27">
        <f t="shared" si="18"/>
        <v>6318.8</v>
      </c>
      <c r="BE15" s="27">
        <f t="shared" si="19"/>
        <v>0</v>
      </c>
      <c r="BF15" s="27">
        <f t="shared" si="20"/>
        <v>0</v>
      </c>
      <c r="BG15" s="27">
        <f t="shared" si="21"/>
        <v>0</v>
      </c>
      <c r="BH15" s="27">
        <f t="shared" si="22"/>
        <v>0</v>
      </c>
      <c r="BI15" s="27">
        <f t="shared" si="23"/>
        <v>0</v>
      </c>
      <c r="BJ15" s="27">
        <f t="shared" si="24"/>
        <v>0</v>
      </c>
      <c r="BK15" s="27">
        <f t="shared" si="25"/>
        <v>0</v>
      </c>
      <c r="BL15" s="27">
        <f t="shared" si="26"/>
        <v>385.07</v>
      </c>
      <c r="BM15" s="27">
        <f t="shared" si="27"/>
        <v>0</v>
      </c>
      <c r="BN15" s="27">
        <f t="shared" si="28"/>
        <v>0</v>
      </c>
      <c r="BO15" s="27">
        <f t="shared" si="29"/>
        <v>0</v>
      </c>
      <c r="BP15" s="27">
        <f t="shared" si="30"/>
        <v>0</v>
      </c>
      <c r="BQ15" s="27">
        <f t="shared" si="31"/>
        <v>385.07</v>
      </c>
      <c r="BR15" s="27">
        <f t="shared" si="32"/>
        <v>0</v>
      </c>
      <c r="BS15" s="27">
        <f t="shared" si="33"/>
        <v>0</v>
      </c>
      <c r="BT15" s="36">
        <f t="shared" si="34"/>
        <v>0</v>
      </c>
    </row>
    <row r="16" spans="1:72" s="18" customFormat="1" ht="12.75">
      <c r="A16" s="3014"/>
      <c r="B16" s="3014"/>
      <c r="C16" s="3016" t="s">
        <v>3116</v>
      </c>
      <c r="D16" s="3015" t="s">
        <v>2998</v>
      </c>
      <c r="E16" s="27">
        <f t="shared" si="6"/>
        <v>6005.71</v>
      </c>
      <c r="F16" s="81"/>
      <c r="G16" s="82">
        <f t="shared" si="7"/>
        <v>19163.07</v>
      </c>
      <c r="H16" s="33">
        <f t="shared" si="8"/>
        <v>18778</v>
      </c>
      <c r="I16" s="3017">
        <v>12459.2</v>
      </c>
      <c r="J16" s="3017"/>
      <c r="K16" s="3017"/>
      <c r="L16" s="3017"/>
      <c r="M16" s="3017">
        <f t="shared" si="9"/>
        <v>6318.8</v>
      </c>
      <c r="N16" s="83"/>
      <c r="O16" s="83"/>
      <c r="P16" s="83"/>
      <c r="Q16" s="83"/>
      <c r="R16" s="83"/>
      <c r="S16" s="83"/>
      <c r="T16" s="83"/>
      <c r="U16" s="83"/>
      <c r="V16" s="83"/>
      <c r="W16" s="83"/>
      <c r="X16" s="83"/>
      <c r="Y16" s="83"/>
      <c r="Z16" s="83"/>
      <c r="AA16" s="83"/>
      <c r="AB16" s="83"/>
      <c r="AC16" s="27">
        <f t="shared" si="10"/>
        <v>385.07</v>
      </c>
      <c r="AD16" s="3021"/>
      <c r="AE16" s="3021"/>
      <c r="AF16" s="3021"/>
      <c r="AG16" s="3021"/>
      <c r="AH16" s="3021"/>
      <c r="AI16" s="3021"/>
      <c r="AJ16" s="3021"/>
      <c r="AK16" s="3021"/>
      <c r="AL16" s="3021">
        <f t="shared" si="11"/>
        <v>385.07</v>
      </c>
      <c r="AM16" s="3021"/>
      <c r="AN16" s="3021"/>
      <c r="AO16" s="3021"/>
      <c r="AP16" s="3021"/>
      <c r="AQ16" s="3021"/>
      <c r="AR16" s="3021"/>
      <c r="AS16" s="3021"/>
      <c r="AT16" s="3022"/>
      <c r="AU16" s="3023"/>
      <c r="AV16" s="17">
        <f t="shared" si="12"/>
        <v>0</v>
      </c>
      <c r="AW16" s="17">
        <f t="shared" si="12"/>
        <v>0</v>
      </c>
      <c r="AX16" s="17" t="str">
        <f t="shared" si="12"/>
        <v>4号楼</v>
      </c>
      <c r="AY16" s="996">
        <f t="shared" si="13"/>
        <v>0</v>
      </c>
      <c r="AZ16" s="27">
        <f t="shared" si="14"/>
        <v>0</v>
      </c>
      <c r="BA16" s="27">
        <f t="shared" si="15"/>
        <v>0</v>
      </c>
      <c r="BB16" s="27">
        <f t="shared" si="16"/>
        <v>0</v>
      </c>
      <c r="BC16" s="27">
        <f t="shared" si="17"/>
        <v>0</v>
      </c>
      <c r="BD16" s="27">
        <f t="shared" si="18"/>
        <v>0</v>
      </c>
      <c r="BE16" s="27">
        <f t="shared" si="19"/>
        <v>0</v>
      </c>
      <c r="BF16" s="27">
        <f t="shared" si="20"/>
        <v>0</v>
      </c>
      <c r="BG16" s="27">
        <f t="shared" si="21"/>
        <v>0</v>
      </c>
      <c r="BH16" s="27">
        <f t="shared" si="22"/>
        <v>0</v>
      </c>
      <c r="BI16" s="27">
        <f t="shared" si="23"/>
        <v>0</v>
      </c>
      <c r="BJ16" s="27">
        <f t="shared" si="24"/>
        <v>0</v>
      </c>
      <c r="BK16" s="27">
        <f t="shared" si="25"/>
        <v>0</v>
      </c>
      <c r="BL16" s="27">
        <f t="shared" si="26"/>
        <v>0</v>
      </c>
      <c r="BM16" s="27">
        <f t="shared" si="27"/>
        <v>0</v>
      </c>
      <c r="BN16" s="27">
        <f t="shared" si="28"/>
        <v>0</v>
      </c>
      <c r="BO16" s="27">
        <f t="shared" si="29"/>
        <v>0</v>
      </c>
      <c r="BP16" s="27">
        <f t="shared" si="30"/>
        <v>0</v>
      </c>
      <c r="BQ16" s="27">
        <f t="shared" si="31"/>
        <v>0</v>
      </c>
      <c r="BR16" s="27">
        <f t="shared" si="32"/>
        <v>0</v>
      </c>
      <c r="BS16" s="27">
        <f t="shared" si="33"/>
        <v>0</v>
      </c>
      <c r="BT16" s="36">
        <f t="shared" si="34"/>
        <v>0</v>
      </c>
    </row>
    <row r="17" spans="1:72" s="18" customFormat="1" ht="12.75">
      <c r="A17" s="3014"/>
      <c r="B17" s="3014"/>
      <c r="C17" s="3016" t="s">
        <v>3117</v>
      </c>
      <c r="D17" s="3015" t="s">
        <v>2998</v>
      </c>
      <c r="E17" s="27">
        <f t="shared" si="6"/>
        <v>7359.25</v>
      </c>
      <c r="F17" s="81"/>
      <c r="G17" s="82">
        <f t="shared" si="7"/>
        <v>23481.969999999998</v>
      </c>
      <c r="H17" s="33">
        <f t="shared" si="8"/>
        <v>23096.899999999998</v>
      </c>
      <c r="I17" s="3017">
        <v>16778.099999999999</v>
      </c>
      <c r="J17" s="3017"/>
      <c r="K17" s="3017"/>
      <c r="L17" s="3017"/>
      <c r="M17" s="3017">
        <f t="shared" si="9"/>
        <v>6318.8</v>
      </c>
      <c r="N17" s="83"/>
      <c r="O17" s="83"/>
      <c r="P17" s="83"/>
      <c r="Q17" s="83"/>
      <c r="R17" s="83"/>
      <c r="S17" s="83"/>
      <c r="T17" s="83"/>
      <c r="U17" s="83"/>
      <c r="V17" s="83"/>
      <c r="W17" s="83"/>
      <c r="X17" s="83"/>
      <c r="Y17" s="83"/>
      <c r="Z17" s="83"/>
      <c r="AA17" s="83"/>
      <c r="AB17" s="83"/>
      <c r="AC17" s="27">
        <f t="shared" si="10"/>
        <v>385.07</v>
      </c>
      <c r="AD17" s="3021"/>
      <c r="AE17" s="3021"/>
      <c r="AF17" s="3021"/>
      <c r="AG17" s="3021"/>
      <c r="AH17" s="3021"/>
      <c r="AI17" s="3021"/>
      <c r="AJ17" s="3021"/>
      <c r="AK17" s="3021"/>
      <c r="AL17" s="3021">
        <f t="shared" si="11"/>
        <v>385.07</v>
      </c>
      <c r="AM17" s="3021"/>
      <c r="AN17" s="3021"/>
      <c r="AO17" s="3021"/>
      <c r="AP17" s="3021"/>
      <c r="AQ17" s="3021"/>
      <c r="AR17" s="3021"/>
      <c r="AS17" s="3021"/>
      <c r="AT17" s="3022"/>
      <c r="AU17" s="3023"/>
      <c r="AV17" s="17">
        <f t="shared" si="12"/>
        <v>0</v>
      </c>
      <c r="AW17" s="17">
        <f t="shared" si="12"/>
        <v>0</v>
      </c>
      <c r="AX17" s="17" t="str">
        <f t="shared" si="12"/>
        <v>5号楼</v>
      </c>
      <c r="AY17" s="996">
        <f t="shared" si="13"/>
        <v>0</v>
      </c>
      <c r="AZ17" s="27">
        <f t="shared" si="14"/>
        <v>0</v>
      </c>
      <c r="BA17" s="27">
        <f t="shared" si="15"/>
        <v>0</v>
      </c>
      <c r="BB17" s="27">
        <f t="shared" si="16"/>
        <v>0</v>
      </c>
      <c r="BC17" s="27">
        <f t="shared" si="17"/>
        <v>0</v>
      </c>
      <c r="BD17" s="27">
        <f t="shared" si="18"/>
        <v>0</v>
      </c>
      <c r="BE17" s="27">
        <f t="shared" si="19"/>
        <v>0</v>
      </c>
      <c r="BF17" s="27">
        <f t="shared" si="20"/>
        <v>0</v>
      </c>
      <c r="BG17" s="27">
        <f t="shared" si="21"/>
        <v>0</v>
      </c>
      <c r="BH17" s="27">
        <f t="shared" si="22"/>
        <v>0</v>
      </c>
      <c r="BI17" s="27">
        <f t="shared" si="23"/>
        <v>0</v>
      </c>
      <c r="BJ17" s="27">
        <f t="shared" si="24"/>
        <v>0</v>
      </c>
      <c r="BK17" s="27">
        <f t="shared" si="25"/>
        <v>0</v>
      </c>
      <c r="BL17" s="27">
        <f t="shared" si="26"/>
        <v>0</v>
      </c>
      <c r="BM17" s="27">
        <f t="shared" si="27"/>
        <v>0</v>
      </c>
      <c r="BN17" s="27">
        <f t="shared" si="28"/>
        <v>0</v>
      </c>
      <c r="BO17" s="27">
        <f t="shared" si="29"/>
        <v>0</v>
      </c>
      <c r="BP17" s="27">
        <f t="shared" si="30"/>
        <v>0</v>
      </c>
      <c r="BQ17" s="27">
        <f t="shared" si="31"/>
        <v>0</v>
      </c>
      <c r="BR17" s="27">
        <f t="shared" si="32"/>
        <v>0</v>
      </c>
      <c r="BS17" s="27">
        <f t="shared" si="33"/>
        <v>0</v>
      </c>
      <c r="BT17" s="36">
        <f t="shared" si="34"/>
        <v>0</v>
      </c>
    </row>
    <row r="18" spans="1:72">
      <c r="A18" s="84"/>
      <c r="B18" s="85"/>
      <c r="C18" s="85" t="s">
        <v>3118</v>
      </c>
      <c r="D18" s="3015" t="s">
        <v>1679</v>
      </c>
      <c r="E18" s="87">
        <f t="shared" si="6"/>
        <v>6755.3</v>
      </c>
      <c r="F18" s="88"/>
      <c r="G18" s="89">
        <f t="shared" si="7"/>
        <v>21554.86</v>
      </c>
      <c r="H18" s="90">
        <f t="shared" si="8"/>
        <v>21169.79</v>
      </c>
      <c r="I18" s="3202">
        <v>14850.99</v>
      </c>
      <c r="J18" s="91"/>
      <c r="K18" s="1395"/>
      <c r="L18" s="91"/>
      <c r="M18" s="91">
        <f t="shared" si="9"/>
        <v>6318.8</v>
      </c>
      <c r="N18" s="91"/>
      <c r="O18" s="91"/>
      <c r="P18" s="91"/>
      <c r="Q18" s="91"/>
      <c r="R18" s="91"/>
      <c r="S18" s="91"/>
      <c r="T18" s="91"/>
      <c r="U18" s="91"/>
      <c r="V18" s="91"/>
      <c r="W18" s="91"/>
      <c r="X18" s="91"/>
      <c r="Y18" s="91"/>
      <c r="Z18" s="91"/>
      <c r="AA18" s="91"/>
      <c r="AB18" s="91"/>
      <c r="AC18" s="87">
        <f t="shared" si="10"/>
        <v>385.07</v>
      </c>
      <c r="AD18" s="92"/>
      <c r="AE18" s="92"/>
      <c r="AF18" s="1395"/>
      <c r="AG18" s="92"/>
      <c r="AH18" s="92"/>
      <c r="AI18" s="92"/>
      <c r="AJ18" s="92"/>
      <c r="AK18" s="92"/>
      <c r="AL18" s="1364">
        <f t="shared" si="11"/>
        <v>385.07</v>
      </c>
      <c r="AM18" s="92"/>
      <c r="AN18" s="1395"/>
      <c r="AO18" s="92"/>
      <c r="AP18" s="92"/>
      <c r="AQ18" s="92"/>
      <c r="AR18" s="92"/>
      <c r="AS18" s="92"/>
      <c r="AT18" s="93"/>
      <c r="AU18" s="94"/>
      <c r="AV18" s="992">
        <f t="shared" si="12"/>
        <v>0</v>
      </c>
      <c r="AW18" s="992">
        <f t="shared" si="12"/>
        <v>0</v>
      </c>
      <c r="AX18" s="992" t="str">
        <f t="shared" si="12"/>
        <v>6号楼</v>
      </c>
      <c r="AY18" s="95">
        <f t="shared" si="13"/>
        <v>6755.3</v>
      </c>
      <c r="AZ18" s="87">
        <f t="shared" si="14"/>
        <v>21554.86</v>
      </c>
      <c r="BA18" s="87">
        <f t="shared" si="15"/>
        <v>21169.79</v>
      </c>
      <c r="BB18" s="87">
        <f t="shared" si="16"/>
        <v>14850.99</v>
      </c>
      <c r="BC18" s="87">
        <f t="shared" si="17"/>
        <v>0</v>
      </c>
      <c r="BD18" s="87">
        <f t="shared" si="18"/>
        <v>6318.8</v>
      </c>
      <c r="BE18" s="87">
        <f t="shared" si="19"/>
        <v>0</v>
      </c>
      <c r="BF18" s="87">
        <f t="shared" si="20"/>
        <v>0</v>
      </c>
      <c r="BG18" s="87">
        <f t="shared" si="21"/>
        <v>0</v>
      </c>
      <c r="BH18" s="87">
        <f t="shared" si="22"/>
        <v>0</v>
      </c>
      <c r="BI18" s="87">
        <f t="shared" si="23"/>
        <v>0</v>
      </c>
      <c r="BJ18" s="87">
        <f t="shared" si="24"/>
        <v>0</v>
      </c>
      <c r="BK18" s="87">
        <f t="shared" si="25"/>
        <v>0</v>
      </c>
      <c r="BL18" s="87">
        <f t="shared" si="26"/>
        <v>385.07</v>
      </c>
      <c r="BM18" s="87">
        <f t="shared" si="27"/>
        <v>0</v>
      </c>
      <c r="BN18" s="87">
        <f t="shared" si="28"/>
        <v>0</v>
      </c>
      <c r="BO18" s="87">
        <f t="shared" si="29"/>
        <v>0</v>
      </c>
      <c r="BP18" s="87">
        <f t="shared" si="30"/>
        <v>0</v>
      </c>
      <c r="BQ18" s="87">
        <f t="shared" si="31"/>
        <v>385.07</v>
      </c>
      <c r="BR18" s="87">
        <f t="shared" si="32"/>
        <v>0</v>
      </c>
      <c r="BS18" s="87">
        <f t="shared" si="33"/>
        <v>0</v>
      </c>
      <c r="BT18" s="96">
        <f t="shared" si="34"/>
        <v>0</v>
      </c>
    </row>
    <row r="19" spans="1:72">
      <c r="A19" s="84"/>
      <c r="B19" s="1399"/>
      <c r="C19" s="1395" t="s">
        <v>3119</v>
      </c>
      <c r="D19" s="3015" t="s">
        <v>1679</v>
      </c>
      <c r="E19" s="87">
        <f t="shared" si="6"/>
        <v>6532.21</v>
      </c>
      <c r="F19" s="88"/>
      <c r="G19" s="89">
        <f t="shared" si="7"/>
        <v>20843.04</v>
      </c>
      <c r="H19" s="90">
        <f t="shared" si="8"/>
        <v>20457.97</v>
      </c>
      <c r="I19" s="3202">
        <v>14139.17</v>
      </c>
      <c r="J19" s="91"/>
      <c r="K19" s="1395"/>
      <c r="L19" s="91"/>
      <c r="M19" s="91">
        <f t="shared" si="9"/>
        <v>6318.8</v>
      </c>
      <c r="N19" s="91"/>
      <c r="O19" s="91"/>
      <c r="P19" s="91"/>
      <c r="Q19" s="91"/>
      <c r="R19" s="91"/>
      <c r="S19" s="91"/>
      <c r="T19" s="91"/>
      <c r="U19" s="91"/>
      <c r="V19" s="91"/>
      <c r="W19" s="91"/>
      <c r="X19" s="91"/>
      <c r="Y19" s="91"/>
      <c r="Z19" s="91"/>
      <c r="AA19" s="91"/>
      <c r="AB19" s="91"/>
      <c r="AC19" s="87">
        <f t="shared" si="10"/>
        <v>385.07</v>
      </c>
      <c r="AD19" s="92"/>
      <c r="AE19" s="92"/>
      <c r="AF19" s="1395"/>
      <c r="AG19" s="92"/>
      <c r="AH19" s="92"/>
      <c r="AI19" s="92"/>
      <c r="AJ19" s="92"/>
      <c r="AK19" s="92"/>
      <c r="AL19" s="92">
        <f t="shared" si="11"/>
        <v>385.07</v>
      </c>
      <c r="AM19" s="92"/>
      <c r="AN19" s="1395"/>
      <c r="AO19" s="92"/>
      <c r="AP19" s="92"/>
      <c r="AQ19" s="92"/>
      <c r="AR19" s="92"/>
      <c r="AS19" s="92"/>
      <c r="AT19" s="93"/>
      <c r="AU19" s="94"/>
      <c r="AV19" s="992">
        <f t="shared" si="12"/>
        <v>0</v>
      </c>
      <c r="AW19" s="992">
        <f t="shared" si="12"/>
        <v>0</v>
      </c>
      <c r="AX19" s="992" t="str">
        <f t="shared" si="12"/>
        <v>7号楼</v>
      </c>
      <c r="AY19" s="95">
        <f t="shared" si="13"/>
        <v>6532.21</v>
      </c>
      <c r="AZ19" s="87">
        <f t="shared" si="14"/>
        <v>20843.04</v>
      </c>
      <c r="BA19" s="87">
        <f t="shared" si="15"/>
        <v>20457.97</v>
      </c>
      <c r="BB19" s="87">
        <f t="shared" si="16"/>
        <v>14139.17</v>
      </c>
      <c r="BC19" s="87">
        <f t="shared" si="17"/>
        <v>0</v>
      </c>
      <c r="BD19" s="87">
        <f t="shared" si="18"/>
        <v>6318.8</v>
      </c>
      <c r="BE19" s="87">
        <f t="shared" si="19"/>
        <v>0</v>
      </c>
      <c r="BF19" s="87">
        <f t="shared" si="20"/>
        <v>0</v>
      </c>
      <c r="BG19" s="87">
        <f t="shared" si="21"/>
        <v>0</v>
      </c>
      <c r="BH19" s="87">
        <f t="shared" si="22"/>
        <v>0</v>
      </c>
      <c r="BI19" s="87">
        <f t="shared" si="23"/>
        <v>0</v>
      </c>
      <c r="BJ19" s="87">
        <f t="shared" si="24"/>
        <v>0</v>
      </c>
      <c r="BK19" s="87">
        <f t="shared" si="25"/>
        <v>0</v>
      </c>
      <c r="BL19" s="87">
        <f t="shared" si="26"/>
        <v>385.07</v>
      </c>
      <c r="BM19" s="87">
        <f t="shared" si="27"/>
        <v>0</v>
      </c>
      <c r="BN19" s="87">
        <f t="shared" si="28"/>
        <v>0</v>
      </c>
      <c r="BO19" s="87">
        <f t="shared" si="29"/>
        <v>0</v>
      </c>
      <c r="BP19" s="87">
        <f t="shared" si="30"/>
        <v>0</v>
      </c>
      <c r="BQ19" s="87">
        <f t="shared" si="31"/>
        <v>385.07</v>
      </c>
      <c r="BR19" s="87">
        <f t="shared" si="32"/>
        <v>0</v>
      </c>
      <c r="BS19" s="87">
        <f t="shared" si="33"/>
        <v>0</v>
      </c>
      <c r="BT19" s="96">
        <f t="shared" si="34"/>
        <v>0</v>
      </c>
    </row>
    <row r="20" spans="1:72">
      <c r="A20" s="84"/>
      <c r="B20" s="1399"/>
      <c r="C20" s="1395" t="s">
        <v>3120</v>
      </c>
      <c r="D20" s="3015" t="s">
        <v>1679</v>
      </c>
      <c r="E20" s="87">
        <f t="shared" si="6"/>
        <v>6855.25</v>
      </c>
      <c r="F20" s="88"/>
      <c r="G20" s="89">
        <f t="shared" si="7"/>
        <v>21873.79</v>
      </c>
      <c r="H20" s="90">
        <f t="shared" si="8"/>
        <v>21488.720000000001</v>
      </c>
      <c r="I20" s="3202">
        <v>15169.92</v>
      </c>
      <c r="J20" s="91"/>
      <c r="K20" s="1395"/>
      <c r="L20" s="91"/>
      <c r="M20" s="91">
        <f t="shared" si="9"/>
        <v>6318.8</v>
      </c>
      <c r="N20" s="91"/>
      <c r="O20" s="91"/>
      <c r="P20" s="91"/>
      <c r="Q20" s="91"/>
      <c r="R20" s="91"/>
      <c r="S20" s="91"/>
      <c r="T20" s="91"/>
      <c r="U20" s="91"/>
      <c r="V20" s="91"/>
      <c r="W20" s="91"/>
      <c r="X20" s="91"/>
      <c r="Y20" s="91"/>
      <c r="Z20" s="91"/>
      <c r="AA20" s="91"/>
      <c r="AB20" s="91"/>
      <c r="AC20" s="87">
        <f t="shared" si="10"/>
        <v>385.07</v>
      </c>
      <c r="AD20" s="92"/>
      <c r="AE20" s="92"/>
      <c r="AF20" s="1395"/>
      <c r="AG20" s="92"/>
      <c r="AH20" s="92"/>
      <c r="AI20" s="92"/>
      <c r="AJ20" s="92"/>
      <c r="AK20" s="92"/>
      <c r="AL20" s="92">
        <f t="shared" si="11"/>
        <v>385.07</v>
      </c>
      <c r="AM20" s="92"/>
      <c r="AN20" s="1395"/>
      <c r="AO20" s="92"/>
      <c r="AP20" s="92"/>
      <c r="AQ20" s="92"/>
      <c r="AR20" s="92"/>
      <c r="AS20" s="92"/>
      <c r="AT20" s="93"/>
      <c r="AU20" s="94"/>
      <c r="AV20" s="992">
        <f t="shared" si="12"/>
        <v>0</v>
      </c>
      <c r="AW20" s="992">
        <f t="shared" si="12"/>
        <v>0</v>
      </c>
      <c r="AX20" s="992" t="str">
        <f t="shared" si="12"/>
        <v>8号楼</v>
      </c>
      <c r="AY20" s="95">
        <f t="shared" si="13"/>
        <v>6855.25</v>
      </c>
      <c r="AZ20" s="87">
        <f t="shared" si="14"/>
        <v>21873.79</v>
      </c>
      <c r="BA20" s="87">
        <f t="shared" si="15"/>
        <v>21488.720000000001</v>
      </c>
      <c r="BB20" s="87">
        <f t="shared" si="16"/>
        <v>15169.92</v>
      </c>
      <c r="BC20" s="87">
        <f t="shared" si="17"/>
        <v>0</v>
      </c>
      <c r="BD20" s="87">
        <f t="shared" si="18"/>
        <v>6318.8</v>
      </c>
      <c r="BE20" s="87">
        <f t="shared" si="19"/>
        <v>0</v>
      </c>
      <c r="BF20" s="87">
        <f t="shared" si="20"/>
        <v>0</v>
      </c>
      <c r="BG20" s="87">
        <f t="shared" si="21"/>
        <v>0</v>
      </c>
      <c r="BH20" s="87">
        <f t="shared" si="22"/>
        <v>0</v>
      </c>
      <c r="BI20" s="87">
        <f t="shared" si="23"/>
        <v>0</v>
      </c>
      <c r="BJ20" s="87">
        <f t="shared" si="24"/>
        <v>0</v>
      </c>
      <c r="BK20" s="87">
        <f t="shared" si="25"/>
        <v>0</v>
      </c>
      <c r="BL20" s="87">
        <f t="shared" si="26"/>
        <v>385.07</v>
      </c>
      <c r="BM20" s="87">
        <f t="shared" si="27"/>
        <v>0</v>
      </c>
      <c r="BN20" s="87">
        <f t="shared" si="28"/>
        <v>0</v>
      </c>
      <c r="BO20" s="87">
        <f t="shared" si="29"/>
        <v>0</v>
      </c>
      <c r="BP20" s="87">
        <f t="shared" si="30"/>
        <v>0</v>
      </c>
      <c r="BQ20" s="87">
        <f t="shared" si="31"/>
        <v>385.07</v>
      </c>
      <c r="BR20" s="87">
        <f t="shared" si="32"/>
        <v>0</v>
      </c>
      <c r="BS20" s="87">
        <f t="shared" si="33"/>
        <v>0</v>
      </c>
      <c r="BT20" s="96">
        <f t="shared" si="34"/>
        <v>0</v>
      </c>
    </row>
    <row r="21" spans="1:72">
      <c r="A21" s="84"/>
      <c r="B21" s="1394"/>
      <c r="C21" s="1395" t="s">
        <v>3121</v>
      </c>
      <c r="D21" s="3015" t="s">
        <v>1679</v>
      </c>
      <c r="E21" s="87">
        <f t="shared" ref="E21:E112" si="35">IF($C$3="是",ROUND($A$3*G21/$B$3,2),ROUND($A$3*(G21-AT21)/$B$3,2))</f>
        <v>7306.44</v>
      </c>
      <c r="F21" s="88"/>
      <c r="G21" s="89">
        <f t="shared" ref="G21:G109" si="36">H21+AC21+AT21</f>
        <v>23313.46</v>
      </c>
      <c r="H21" s="90">
        <f t="shared" ref="H21:H109" si="37">SUMIF(I$12:AB$12,"总值",I21:AB21)</f>
        <v>22928.399999999998</v>
      </c>
      <c r="I21" s="3203">
        <v>16609.599999999999</v>
      </c>
      <c r="J21" s="91"/>
      <c r="K21" s="1397"/>
      <c r="L21" s="91"/>
      <c r="M21" s="91">
        <f t="shared" si="9"/>
        <v>6318.8</v>
      </c>
      <c r="N21" s="91"/>
      <c r="O21" s="91"/>
      <c r="P21" s="91"/>
      <c r="Q21" s="91"/>
      <c r="R21" s="91"/>
      <c r="S21" s="91"/>
      <c r="T21" s="91"/>
      <c r="U21" s="91"/>
      <c r="V21" s="91"/>
      <c r="W21" s="91"/>
      <c r="X21" s="91"/>
      <c r="Y21" s="91"/>
      <c r="Z21" s="91"/>
      <c r="AA21" s="91"/>
      <c r="AB21" s="91"/>
      <c r="AC21" s="87">
        <f t="shared" ref="AC21:AC109" si="38">SUMIF(AD$12:AS$12,"总值",AD21:AS21)</f>
        <v>385.05999999999949</v>
      </c>
      <c r="AD21" s="92"/>
      <c r="AE21" s="92"/>
      <c r="AF21" s="1398"/>
      <c r="AG21" s="92"/>
      <c r="AH21" s="92"/>
      <c r="AI21" s="92"/>
      <c r="AJ21" s="92"/>
      <c r="AK21" s="92"/>
      <c r="AL21" s="92">
        <f>3465.62-SUM(AL13:AL20)</f>
        <v>385.05999999999949</v>
      </c>
      <c r="AM21" s="92"/>
      <c r="AN21" s="1364"/>
      <c r="AO21" s="92"/>
      <c r="AP21" s="92"/>
      <c r="AQ21" s="92"/>
      <c r="AR21" s="92"/>
      <c r="AS21" s="92"/>
      <c r="AT21" s="93"/>
      <c r="AU21" s="94"/>
      <c r="AV21" s="1980">
        <f t="shared" ref="AV21:AV112" si="39">A21</f>
        <v>0</v>
      </c>
      <c r="AW21" s="1980">
        <f t="shared" ref="AW21:AW112" si="40">B21</f>
        <v>0</v>
      </c>
      <c r="AX21" s="1980" t="str">
        <f t="shared" ref="AX21:AX112" si="41">C21</f>
        <v>9号楼</v>
      </c>
      <c r="AY21" s="95">
        <f t="shared" ref="AY21:AY109" si="42">ROUND($AY$6*AZ21/$AZ$5,2)</f>
        <v>7306.44</v>
      </c>
      <c r="AZ21" s="87">
        <f t="shared" ref="AZ21:AZ109" si="43">BA21+BL21</f>
        <v>23313.46</v>
      </c>
      <c r="BA21" s="87">
        <f t="shared" ref="BA21:BA109" si="44">SUM(BB21:BK21)</f>
        <v>22928.399999999998</v>
      </c>
      <c r="BB21" s="87">
        <f t="shared" ref="BB21:BB109" si="45">IF($D21="是",I21-J21,0)</f>
        <v>16609.599999999999</v>
      </c>
      <c r="BC21" s="87">
        <f t="shared" ref="BC21:BC109" si="46">IF($D21="是",K21-L21,0)</f>
        <v>0</v>
      </c>
      <c r="BD21" s="87">
        <f t="shared" ref="BD21:BD109" si="47">IF($D21="是",M21-N21,0)</f>
        <v>6318.8</v>
      </c>
      <c r="BE21" s="87">
        <f t="shared" ref="BE21:BE109" si="48">IF($D21="是",O21-P21,0)</f>
        <v>0</v>
      </c>
      <c r="BF21" s="87">
        <f t="shared" ref="BF21:BF109" si="49">IF($D21="是",Q21-R21,0)</f>
        <v>0</v>
      </c>
      <c r="BG21" s="87">
        <f t="shared" ref="BG21:BG109" si="50">IF($D21="是",S21-T21,0)</f>
        <v>0</v>
      </c>
      <c r="BH21" s="87">
        <f t="shared" ref="BH21:BH109" si="51">IF($D21="是",U21-V21,0)</f>
        <v>0</v>
      </c>
      <c r="BI21" s="87">
        <f t="shared" ref="BI21:BI109" si="52">IF($D21="是",W21-X21,0)</f>
        <v>0</v>
      </c>
      <c r="BJ21" s="87">
        <f t="shared" ref="BJ21:BJ109" si="53">IF($D21="是",Y21-Z21,0)</f>
        <v>0</v>
      </c>
      <c r="BK21" s="87">
        <f t="shared" ref="BK21:BK109" si="54">IF($D21="是",AA21-AB21,0)</f>
        <v>0</v>
      </c>
      <c r="BL21" s="87">
        <f t="shared" ref="BL21:BL109" si="55">SUM(BM21:BT21)</f>
        <v>385.05999999999949</v>
      </c>
      <c r="BM21" s="87">
        <f t="shared" ref="BM21:BM109" si="56">IF($D21="是",AD21-AE21,0)</f>
        <v>0</v>
      </c>
      <c r="BN21" s="87">
        <f t="shared" ref="BN21:BN109" si="57">IF($D21="是",AF21-AG21,0)</f>
        <v>0</v>
      </c>
      <c r="BO21" s="87">
        <f t="shared" ref="BO21:BO109" si="58">IF($D21="是",AH21-AI21,0)</f>
        <v>0</v>
      </c>
      <c r="BP21" s="87">
        <f t="shared" ref="BP21:BP109" si="59">IF($D21="是",AJ21-AK21,0)</f>
        <v>0</v>
      </c>
      <c r="BQ21" s="87">
        <f t="shared" ref="BQ21:BQ109" si="60">IF($D21="是",AL21-AM21,0)</f>
        <v>385.05999999999949</v>
      </c>
      <c r="BR21" s="87">
        <f t="shared" ref="BR21:BR109" si="61">IF($D21="是",AN21-AO21,0)</f>
        <v>0</v>
      </c>
      <c r="BS21" s="87">
        <f t="shared" ref="BS21:BS109" si="62">IF($D21="是",AP21-AQ21,0)</f>
        <v>0</v>
      </c>
      <c r="BT21" s="96">
        <f t="shared" ref="BT21:BT109" si="63">IF($D21="是",AR21-AS21,0)</f>
        <v>0</v>
      </c>
    </row>
    <row r="22" spans="1:72">
      <c r="A22" s="84"/>
      <c r="B22" s="1394"/>
      <c r="C22" s="1395" t="s">
        <v>3122</v>
      </c>
      <c r="D22" s="3015" t="s">
        <v>1679</v>
      </c>
      <c r="E22" s="87">
        <f t="shared" si="35"/>
        <v>166.42</v>
      </c>
      <c r="F22" s="88"/>
      <c r="G22" s="89">
        <f t="shared" si="36"/>
        <v>531</v>
      </c>
      <c r="H22" s="90">
        <f t="shared" si="37"/>
        <v>531</v>
      </c>
      <c r="I22" s="1397"/>
      <c r="J22" s="91"/>
      <c r="K22" s="1397">
        <v>531</v>
      </c>
      <c r="L22" s="91"/>
      <c r="M22" s="1364"/>
      <c r="N22" s="91"/>
      <c r="O22" s="91"/>
      <c r="P22" s="91"/>
      <c r="Q22" s="91"/>
      <c r="R22" s="91"/>
      <c r="S22" s="91"/>
      <c r="T22" s="91"/>
      <c r="U22" s="91"/>
      <c r="V22" s="91"/>
      <c r="W22" s="91"/>
      <c r="X22" s="91"/>
      <c r="Y22" s="91"/>
      <c r="Z22" s="91"/>
      <c r="AA22" s="91"/>
      <c r="AB22" s="91"/>
      <c r="AC22" s="87">
        <f t="shared" si="38"/>
        <v>0</v>
      </c>
      <c r="AD22" s="1364"/>
      <c r="AE22" s="92"/>
      <c r="AF22" s="1398"/>
      <c r="AG22" s="92"/>
      <c r="AH22" s="92"/>
      <c r="AI22" s="92"/>
      <c r="AJ22" s="92"/>
      <c r="AK22" s="92"/>
      <c r="AL22" s="1364"/>
      <c r="AM22" s="92"/>
      <c r="AN22" s="1364"/>
      <c r="AO22" s="92"/>
      <c r="AP22" s="92"/>
      <c r="AQ22" s="92"/>
      <c r="AR22" s="92"/>
      <c r="AS22" s="92"/>
      <c r="AT22" s="93"/>
      <c r="AU22" s="94"/>
      <c r="AV22" s="1980">
        <f t="shared" si="39"/>
        <v>0</v>
      </c>
      <c r="AW22" s="1980">
        <f t="shared" si="40"/>
        <v>0</v>
      </c>
      <c r="AX22" s="1980" t="str">
        <f t="shared" si="41"/>
        <v>商业</v>
      </c>
      <c r="AY22" s="95">
        <f t="shared" si="42"/>
        <v>166.42</v>
      </c>
      <c r="AZ22" s="87">
        <f t="shared" si="43"/>
        <v>531</v>
      </c>
      <c r="BA22" s="87">
        <f t="shared" si="44"/>
        <v>531</v>
      </c>
      <c r="BB22" s="87">
        <f t="shared" si="45"/>
        <v>0</v>
      </c>
      <c r="BC22" s="87">
        <f t="shared" si="46"/>
        <v>531</v>
      </c>
      <c r="BD22" s="87">
        <f t="shared" si="47"/>
        <v>0</v>
      </c>
      <c r="BE22" s="87">
        <f t="shared" si="48"/>
        <v>0</v>
      </c>
      <c r="BF22" s="87">
        <f t="shared" si="49"/>
        <v>0</v>
      </c>
      <c r="BG22" s="87">
        <f t="shared" si="50"/>
        <v>0</v>
      </c>
      <c r="BH22" s="87">
        <f t="shared" si="51"/>
        <v>0</v>
      </c>
      <c r="BI22" s="87">
        <f t="shared" si="52"/>
        <v>0</v>
      </c>
      <c r="BJ22" s="87">
        <f t="shared" si="53"/>
        <v>0</v>
      </c>
      <c r="BK22" s="87">
        <f t="shared" si="54"/>
        <v>0</v>
      </c>
      <c r="BL22" s="87">
        <f t="shared" si="55"/>
        <v>0</v>
      </c>
      <c r="BM22" s="87">
        <f t="shared" si="56"/>
        <v>0</v>
      </c>
      <c r="BN22" s="87">
        <f t="shared" si="57"/>
        <v>0</v>
      </c>
      <c r="BO22" s="87">
        <f t="shared" si="58"/>
        <v>0</v>
      </c>
      <c r="BP22" s="87">
        <f t="shared" si="59"/>
        <v>0</v>
      </c>
      <c r="BQ22" s="87">
        <f t="shared" si="60"/>
        <v>0</v>
      </c>
      <c r="BR22" s="87">
        <f t="shared" si="61"/>
        <v>0</v>
      </c>
      <c r="BS22" s="87">
        <f t="shared" si="62"/>
        <v>0</v>
      </c>
      <c r="BT22" s="96">
        <f t="shared" si="63"/>
        <v>0</v>
      </c>
    </row>
    <row r="23" spans="1:72">
      <c r="A23" s="84"/>
      <c r="B23" s="1394"/>
      <c r="C23" s="1395" t="s">
        <v>3123</v>
      </c>
      <c r="D23" s="3015" t="s">
        <v>1679</v>
      </c>
      <c r="E23" s="87">
        <f t="shared" si="35"/>
        <v>0</v>
      </c>
      <c r="F23" s="88"/>
      <c r="G23" s="89">
        <f t="shared" si="36"/>
        <v>0</v>
      </c>
      <c r="H23" s="90">
        <f t="shared" si="37"/>
        <v>0</v>
      </c>
      <c r="I23" s="1397"/>
      <c r="J23" s="91"/>
      <c r="K23" s="1397"/>
      <c r="L23" s="91"/>
      <c r="M23" s="1364"/>
      <c r="N23" s="91"/>
      <c r="O23" s="91"/>
      <c r="P23" s="91"/>
      <c r="Q23" s="91"/>
      <c r="R23" s="91"/>
      <c r="S23" s="91"/>
      <c r="T23" s="91"/>
      <c r="U23" s="91"/>
      <c r="V23" s="91"/>
      <c r="W23" s="91"/>
      <c r="X23" s="91"/>
      <c r="Y23" s="91"/>
      <c r="Z23" s="91"/>
      <c r="AA23" s="91"/>
      <c r="AB23" s="91"/>
      <c r="AC23" s="87">
        <f t="shared" si="38"/>
        <v>0</v>
      </c>
      <c r="AD23" s="92"/>
      <c r="AE23" s="92"/>
      <c r="AF23" s="1398"/>
      <c r="AG23" s="92"/>
      <c r="AH23" s="92"/>
      <c r="AI23" s="92"/>
      <c r="AJ23" s="92"/>
      <c r="AK23" s="92"/>
      <c r="AL23" s="1364"/>
      <c r="AM23" s="92"/>
      <c r="AN23" s="1364"/>
      <c r="AO23" s="92"/>
      <c r="AP23" s="92"/>
      <c r="AQ23" s="92"/>
      <c r="AR23" s="92"/>
      <c r="AS23" s="92"/>
      <c r="AT23" s="93"/>
      <c r="AU23" s="94"/>
      <c r="AV23" s="1980">
        <f t="shared" si="39"/>
        <v>0</v>
      </c>
      <c r="AW23" s="1980">
        <f t="shared" si="40"/>
        <v>0</v>
      </c>
      <c r="AX23" s="1980" t="str">
        <f t="shared" si="41"/>
        <v>地下车库</v>
      </c>
      <c r="AY23" s="95">
        <f t="shared" si="42"/>
        <v>0</v>
      </c>
      <c r="AZ23" s="87">
        <f t="shared" si="43"/>
        <v>0</v>
      </c>
      <c r="BA23" s="87">
        <f t="shared" si="44"/>
        <v>0</v>
      </c>
      <c r="BB23" s="87">
        <f t="shared" si="45"/>
        <v>0</v>
      </c>
      <c r="BC23" s="87">
        <f t="shared" si="46"/>
        <v>0</v>
      </c>
      <c r="BD23" s="87">
        <f t="shared" si="47"/>
        <v>0</v>
      </c>
      <c r="BE23" s="87">
        <f t="shared" si="48"/>
        <v>0</v>
      </c>
      <c r="BF23" s="87">
        <f t="shared" si="49"/>
        <v>0</v>
      </c>
      <c r="BG23" s="87">
        <f t="shared" si="50"/>
        <v>0</v>
      </c>
      <c r="BH23" s="87">
        <f t="shared" si="51"/>
        <v>0</v>
      </c>
      <c r="BI23" s="87">
        <f t="shared" si="52"/>
        <v>0</v>
      </c>
      <c r="BJ23" s="87">
        <f t="shared" si="53"/>
        <v>0</v>
      </c>
      <c r="BK23" s="87">
        <f t="shared" si="54"/>
        <v>0</v>
      </c>
      <c r="BL23" s="87">
        <f t="shared" si="55"/>
        <v>0</v>
      </c>
      <c r="BM23" s="87">
        <f t="shared" si="56"/>
        <v>0</v>
      </c>
      <c r="BN23" s="87">
        <f t="shared" si="57"/>
        <v>0</v>
      </c>
      <c r="BO23" s="87">
        <f t="shared" si="58"/>
        <v>0</v>
      </c>
      <c r="BP23" s="87">
        <f t="shared" si="59"/>
        <v>0</v>
      </c>
      <c r="BQ23" s="87">
        <f t="shared" si="60"/>
        <v>0</v>
      </c>
      <c r="BR23" s="87">
        <f t="shared" si="61"/>
        <v>0</v>
      </c>
      <c r="BS23" s="87">
        <f t="shared" si="62"/>
        <v>0</v>
      </c>
      <c r="BT23" s="96">
        <f t="shared" si="63"/>
        <v>0</v>
      </c>
    </row>
    <row r="24" spans="1:72">
      <c r="A24" s="84"/>
      <c r="B24" s="1394"/>
      <c r="C24" s="1395" t="s">
        <v>3124</v>
      </c>
      <c r="D24" s="3015" t="s">
        <v>1679</v>
      </c>
      <c r="E24" s="87">
        <f t="shared" si="35"/>
        <v>928.92</v>
      </c>
      <c r="F24" s="88"/>
      <c r="G24" s="89">
        <f t="shared" si="36"/>
        <v>2964</v>
      </c>
      <c r="H24" s="90">
        <f t="shared" si="37"/>
        <v>0</v>
      </c>
      <c r="I24" s="1397"/>
      <c r="J24" s="91"/>
      <c r="K24" s="1397"/>
      <c r="L24" s="91"/>
      <c r="M24" s="91"/>
      <c r="N24" s="91"/>
      <c r="O24" s="1364"/>
      <c r="P24" s="91"/>
      <c r="Q24" s="91"/>
      <c r="R24" s="91"/>
      <c r="S24" s="91"/>
      <c r="T24" s="91"/>
      <c r="U24" s="91"/>
      <c r="V24" s="91"/>
      <c r="W24" s="91"/>
      <c r="X24" s="91"/>
      <c r="Y24" s="91"/>
      <c r="Z24" s="91"/>
      <c r="AA24" s="91"/>
      <c r="AB24" s="91"/>
      <c r="AC24" s="87">
        <f t="shared" si="38"/>
        <v>2964</v>
      </c>
      <c r="AD24" s="92">
        <f>600+50+60+64+1890</f>
        <v>2664</v>
      </c>
      <c r="AE24" s="92"/>
      <c r="AF24" s="1398">
        <v>33</v>
      </c>
      <c r="AG24" s="92"/>
      <c r="AH24" s="92">
        <v>267</v>
      </c>
      <c r="AI24" s="92"/>
      <c r="AJ24" s="92"/>
      <c r="AK24" s="92"/>
      <c r="AL24" s="92"/>
      <c r="AM24" s="92"/>
      <c r="AN24" s="1364"/>
      <c r="AO24" s="92"/>
      <c r="AP24" s="92"/>
      <c r="AQ24" s="92"/>
      <c r="AR24" s="92"/>
      <c r="AS24" s="92"/>
      <c r="AT24" s="93"/>
      <c r="AU24" s="94"/>
      <c r="AV24" s="1980">
        <f t="shared" si="39"/>
        <v>0</v>
      </c>
      <c r="AW24" s="1980">
        <f t="shared" si="40"/>
        <v>0</v>
      </c>
      <c r="AX24" s="1980" t="str">
        <f t="shared" si="41"/>
        <v>设备</v>
      </c>
      <c r="AY24" s="95">
        <f t="shared" si="42"/>
        <v>928.92</v>
      </c>
      <c r="AZ24" s="87">
        <f t="shared" si="43"/>
        <v>2964</v>
      </c>
      <c r="BA24" s="87">
        <f t="shared" si="44"/>
        <v>0</v>
      </c>
      <c r="BB24" s="87">
        <f t="shared" si="45"/>
        <v>0</v>
      </c>
      <c r="BC24" s="87">
        <f t="shared" si="46"/>
        <v>0</v>
      </c>
      <c r="BD24" s="87">
        <f t="shared" si="47"/>
        <v>0</v>
      </c>
      <c r="BE24" s="87">
        <f t="shared" si="48"/>
        <v>0</v>
      </c>
      <c r="BF24" s="87">
        <f t="shared" si="49"/>
        <v>0</v>
      </c>
      <c r="BG24" s="87">
        <f t="shared" si="50"/>
        <v>0</v>
      </c>
      <c r="BH24" s="87">
        <f t="shared" si="51"/>
        <v>0</v>
      </c>
      <c r="BI24" s="87">
        <f t="shared" si="52"/>
        <v>0</v>
      </c>
      <c r="BJ24" s="87">
        <f t="shared" si="53"/>
        <v>0</v>
      </c>
      <c r="BK24" s="87">
        <f t="shared" si="54"/>
        <v>0</v>
      </c>
      <c r="BL24" s="87">
        <f t="shared" si="55"/>
        <v>2964</v>
      </c>
      <c r="BM24" s="87">
        <f t="shared" si="56"/>
        <v>2664</v>
      </c>
      <c r="BN24" s="87">
        <f t="shared" si="57"/>
        <v>33</v>
      </c>
      <c r="BO24" s="87">
        <f t="shared" si="58"/>
        <v>267</v>
      </c>
      <c r="BP24" s="87">
        <f t="shared" si="59"/>
        <v>0</v>
      </c>
      <c r="BQ24" s="87">
        <f t="shared" si="60"/>
        <v>0</v>
      </c>
      <c r="BR24" s="87">
        <f t="shared" si="61"/>
        <v>0</v>
      </c>
      <c r="BS24" s="87">
        <f t="shared" si="62"/>
        <v>0</v>
      </c>
      <c r="BT24" s="96">
        <f t="shared" si="63"/>
        <v>0</v>
      </c>
    </row>
    <row r="25" spans="1:72">
      <c r="A25" s="84"/>
      <c r="B25" s="1394"/>
      <c r="C25" s="1395"/>
      <c r="D25" s="80"/>
      <c r="E25" s="87">
        <f t="shared" si="35"/>
        <v>0</v>
      </c>
      <c r="F25" s="88"/>
      <c r="G25" s="89">
        <f t="shared" si="36"/>
        <v>0</v>
      </c>
      <c r="H25" s="90">
        <f t="shared" si="37"/>
        <v>0</v>
      </c>
      <c r="I25" s="1397"/>
      <c r="J25" s="91"/>
      <c r="K25" s="1397"/>
      <c r="L25" s="91"/>
      <c r="M25" s="91"/>
      <c r="N25" s="91"/>
      <c r="O25" s="91"/>
      <c r="P25" s="91"/>
      <c r="Q25" s="91"/>
      <c r="R25" s="91"/>
      <c r="S25" s="91"/>
      <c r="T25" s="91"/>
      <c r="U25" s="91"/>
      <c r="V25" s="91"/>
      <c r="W25" s="91"/>
      <c r="X25" s="91"/>
      <c r="Y25" s="91"/>
      <c r="Z25" s="91"/>
      <c r="AA25" s="91"/>
      <c r="AB25" s="91"/>
      <c r="AC25" s="87">
        <f t="shared" si="38"/>
        <v>0</v>
      </c>
      <c r="AD25" s="92"/>
      <c r="AE25" s="92"/>
      <c r="AF25" s="1398"/>
      <c r="AG25" s="92"/>
      <c r="AH25" s="92"/>
      <c r="AI25" s="92"/>
      <c r="AJ25" s="92"/>
      <c r="AK25" s="92"/>
      <c r="AL25" s="92"/>
      <c r="AM25" s="92"/>
      <c r="AN25" s="92"/>
      <c r="AO25" s="92"/>
      <c r="AP25" s="92"/>
      <c r="AQ25" s="92"/>
      <c r="AR25" s="92"/>
      <c r="AS25" s="92"/>
      <c r="AT25" s="93"/>
      <c r="AU25" s="94"/>
      <c r="AV25" s="1980">
        <f t="shared" si="39"/>
        <v>0</v>
      </c>
      <c r="AW25" s="1980">
        <f t="shared" si="40"/>
        <v>0</v>
      </c>
      <c r="AX25" s="1980">
        <f t="shared" si="41"/>
        <v>0</v>
      </c>
      <c r="AY25" s="95">
        <f t="shared" si="42"/>
        <v>0</v>
      </c>
      <c r="AZ25" s="87">
        <f t="shared" si="43"/>
        <v>0</v>
      </c>
      <c r="BA25" s="87">
        <f t="shared" si="44"/>
        <v>0</v>
      </c>
      <c r="BB25" s="87">
        <f t="shared" si="45"/>
        <v>0</v>
      </c>
      <c r="BC25" s="87">
        <f t="shared" si="46"/>
        <v>0</v>
      </c>
      <c r="BD25" s="87">
        <f t="shared" si="47"/>
        <v>0</v>
      </c>
      <c r="BE25" s="87">
        <f t="shared" si="48"/>
        <v>0</v>
      </c>
      <c r="BF25" s="87">
        <f t="shared" si="49"/>
        <v>0</v>
      </c>
      <c r="BG25" s="87">
        <f t="shared" si="50"/>
        <v>0</v>
      </c>
      <c r="BH25" s="87">
        <f t="shared" si="51"/>
        <v>0</v>
      </c>
      <c r="BI25" s="87">
        <f t="shared" si="52"/>
        <v>0</v>
      </c>
      <c r="BJ25" s="87">
        <f t="shared" si="53"/>
        <v>0</v>
      </c>
      <c r="BK25" s="87">
        <f t="shared" si="54"/>
        <v>0</v>
      </c>
      <c r="BL25" s="87">
        <f t="shared" si="55"/>
        <v>0</v>
      </c>
      <c r="BM25" s="87">
        <f t="shared" si="56"/>
        <v>0</v>
      </c>
      <c r="BN25" s="87">
        <f t="shared" si="57"/>
        <v>0</v>
      </c>
      <c r="BO25" s="87">
        <f t="shared" si="58"/>
        <v>0</v>
      </c>
      <c r="BP25" s="87">
        <f t="shared" si="59"/>
        <v>0</v>
      </c>
      <c r="BQ25" s="87">
        <f t="shared" si="60"/>
        <v>0</v>
      </c>
      <c r="BR25" s="87">
        <f t="shared" si="61"/>
        <v>0</v>
      </c>
      <c r="BS25" s="87">
        <f t="shared" si="62"/>
        <v>0</v>
      </c>
      <c r="BT25" s="96">
        <f t="shared" si="63"/>
        <v>0</v>
      </c>
    </row>
    <row r="26" spans="1:72">
      <c r="A26" s="84"/>
      <c r="B26" s="1394"/>
      <c r="C26" s="1395"/>
      <c r="D26" s="80"/>
      <c r="E26" s="87">
        <f t="shared" si="35"/>
        <v>0</v>
      </c>
      <c r="F26" s="88"/>
      <c r="G26" s="89">
        <f t="shared" si="36"/>
        <v>0</v>
      </c>
      <c r="H26" s="90">
        <f t="shared" si="37"/>
        <v>0</v>
      </c>
      <c r="I26" s="1397"/>
      <c r="J26" s="91"/>
      <c r="K26" s="1397"/>
      <c r="L26" s="91"/>
      <c r="M26" s="91"/>
      <c r="N26" s="91"/>
      <c r="O26" s="91"/>
      <c r="P26" s="91"/>
      <c r="Q26" s="91"/>
      <c r="R26" s="91"/>
      <c r="S26" s="91"/>
      <c r="T26" s="91"/>
      <c r="U26" s="91"/>
      <c r="V26" s="91"/>
      <c r="W26" s="91"/>
      <c r="X26" s="91"/>
      <c r="Y26" s="91"/>
      <c r="Z26" s="91"/>
      <c r="AA26" s="91"/>
      <c r="AB26" s="91"/>
      <c r="AC26" s="87">
        <f t="shared" si="38"/>
        <v>0</v>
      </c>
      <c r="AD26" s="92"/>
      <c r="AE26" s="92"/>
      <c r="AF26" s="1398"/>
      <c r="AG26" s="92"/>
      <c r="AH26" s="92"/>
      <c r="AI26" s="92"/>
      <c r="AJ26" s="92"/>
      <c r="AK26" s="92"/>
      <c r="AL26" s="92"/>
      <c r="AM26" s="92"/>
      <c r="AN26" s="92"/>
      <c r="AO26" s="92"/>
      <c r="AP26" s="92"/>
      <c r="AQ26" s="92"/>
      <c r="AR26" s="92"/>
      <c r="AS26" s="92"/>
      <c r="AT26" s="93"/>
      <c r="AU26" s="94"/>
      <c r="AV26" s="1980">
        <f t="shared" si="39"/>
        <v>0</v>
      </c>
      <c r="AW26" s="1980">
        <f t="shared" si="40"/>
        <v>0</v>
      </c>
      <c r="AX26" s="1980">
        <f t="shared" si="41"/>
        <v>0</v>
      </c>
      <c r="AY26" s="95">
        <f t="shared" si="42"/>
        <v>0</v>
      </c>
      <c r="AZ26" s="87">
        <f t="shared" si="43"/>
        <v>0</v>
      </c>
      <c r="BA26" s="87">
        <f t="shared" si="44"/>
        <v>0</v>
      </c>
      <c r="BB26" s="87">
        <f t="shared" si="45"/>
        <v>0</v>
      </c>
      <c r="BC26" s="87">
        <f t="shared" si="46"/>
        <v>0</v>
      </c>
      <c r="BD26" s="87">
        <f t="shared" si="47"/>
        <v>0</v>
      </c>
      <c r="BE26" s="87">
        <f t="shared" si="48"/>
        <v>0</v>
      </c>
      <c r="BF26" s="87">
        <f t="shared" si="49"/>
        <v>0</v>
      </c>
      <c r="BG26" s="87">
        <f t="shared" si="50"/>
        <v>0</v>
      </c>
      <c r="BH26" s="87">
        <f t="shared" si="51"/>
        <v>0</v>
      </c>
      <c r="BI26" s="87">
        <f t="shared" si="52"/>
        <v>0</v>
      </c>
      <c r="BJ26" s="87">
        <f t="shared" si="53"/>
        <v>0</v>
      </c>
      <c r="BK26" s="87">
        <f t="shared" si="54"/>
        <v>0</v>
      </c>
      <c r="BL26" s="87">
        <f t="shared" si="55"/>
        <v>0</v>
      </c>
      <c r="BM26" s="87">
        <f t="shared" si="56"/>
        <v>0</v>
      </c>
      <c r="BN26" s="87">
        <f t="shared" si="57"/>
        <v>0</v>
      </c>
      <c r="BO26" s="87">
        <f t="shared" si="58"/>
        <v>0</v>
      </c>
      <c r="BP26" s="87">
        <f t="shared" si="59"/>
        <v>0</v>
      </c>
      <c r="BQ26" s="87">
        <f t="shared" si="60"/>
        <v>0</v>
      </c>
      <c r="BR26" s="87">
        <f t="shared" si="61"/>
        <v>0</v>
      </c>
      <c r="BS26" s="87">
        <f t="shared" si="62"/>
        <v>0</v>
      </c>
      <c r="BT26" s="96">
        <f t="shared" si="63"/>
        <v>0</v>
      </c>
    </row>
    <row r="27" spans="1:72">
      <c r="A27" s="84"/>
      <c r="B27" s="1394"/>
      <c r="C27" s="1395"/>
      <c r="D27" s="80"/>
      <c r="E27" s="87">
        <f t="shared" si="35"/>
        <v>0</v>
      </c>
      <c r="F27" s="88"/>
      <c r="G27" s="89">
        <f t="shared" si="36"/>
        <v>0</v>
      </c>
      <c r="H27" s="90">
        <f t="shared" si="37"/>
        <v>0</v>
      </c>
      <c r="I27" s="1397"/>
      <c r="J27" s="91"/>
      <c r="K27" s="1397"/>
      <c r="L27" s="91"/>
      <c r="M27" s="91"/>
      <c r="N27" s="91"/>
      <c r="O27" s="91"/>
      <c r="P27" s="91"/>
      <c r="Q27" s="91"/>
      <c r="R27" s="91"/>
      <c r="S27" s="91"/>
      <c r="T27" s="91"/>
      <c r="U27" s="91"/>
      <c r="V27" s="91"/>
      <c r="W27" s="91"/>
      <c r="X27" s="91"/>
      <c r="Y27" s="91"/>
      <c r="Z27" s="91"/>
      <c r="AA27" s="91"/>
      <c r="AB27" s="91"/>
      <c r="AC27" s="87">
        <f t="shared" si="38"/>
        <v>0</v>
      </c>
      <c r="AD27" s="92"/>
      <c r="AE27" s="92"/>
      <c r="AF27" s="1398"/>
      <c r="AG27" s="92"/>
      <c r="AH27" s="92"/>
      <c r="AI27" s="92"/>
      <c r="AJ27" s="92"/>
      <c r="AK27" s="92"/>
      <c r="AL27" s="92"/>
      <c r="AM27" s="92"/>
      <c r="AN27" s="92"/>
      <c r="AO27" s="92"/>
      <c r="AP27" s="92"/>
      <c r="AQ27" s="92"/>
      <c r="AR27" s="92"/>
      <c r="AS27" s="92"/>
      <c r="AT27" s="93"/>
      <c r="AU27" s="94"/>
      <c r="AV27" s="1980">
        <f t="shared" si="39"/>
        <v>0</v>
      </c>
      <c r="AW27" s="1980">
        <f t="shared" si="40"/>
        <v>0</v>
      </c>
      <c r="AX27" s="1980">
        <f t="shared" si="41"/>
        <v>0</v>
      </c>
      <c r="AY27" s="95">
        <f t="shared" si="42"/>
        <v>0</v>
      </c>
      <c r="AZ27" s="87">
        <f t="shared" si="43"/>
        <v>0</v>
      </c>
      <c r="BA27" s="87">
        <f t="shared" si="44"/>
        <v>0</v>
      </c>
      <c r="BB27" s="87">
        <f t="shared" si="45"/>
        <v>0</v>
      </c>
      <c r="BC27" s="87">
        <f t="shared" si="46"/>
        <v>0</v>
      </c>
      <c r="BD27" s="87">
        <f t="shared" si="47"/>
        <v>0</v>
      </c>
      <c r="BE27" s="87">
        <f t="shared" si="48"/>
        <v>0</v>
      </c>
      <c r="BF27" s="87">
        <f t="shared" si="49"/>
        <v>0</v>
      </c>
      <c r="BG27" s="87">
        <f t="shared" si="50"/>
        <v>0</v>
      </c>
      <c r="BH27" s="87">
        <f t="shared" si="51"/>
        <v>0</v>
      </c>
      <c r="BI27" s="87">
        <f t="shared" si="52"/>
        <v>0</v>
      </c>
      <c r="BJ27" s="87">
        <f t="shared" si="53"/>
        <v>0</v>
      </c>
      <c r="BK27" s="87">
        <f t="shared" si="54"/>
        <v>0</v>
      </c>
      <c r="BL27" s="87">
        <f t="shared" si="55"/>
        <v>0</v>
      </c>
      <c r="BM27" s="87">
        <f t="shared" si="56"/>
        <v>0</v>
      </c>
      <c r="BN27" s="87">
        <f t="shared" si="57"/>
        <v>0</v>
      </c>
      <c r="BO27" s="87">
        <f t="shared" si="58"/>
        <v>0</v>
      </c>
      <c r="BP27" s="87">
        <f t="shared" si="59"/>
        <v>0</v>
      </c>
      <c r="BQ27" s="87">
        <f t="shared" si="60"/>
        <v>0</v>
      </c>
      <c r="BR27" s="87">
        <f t="shared" si="61"/>
        <v>0</v>
      </c>
      <c r="BS27" s="87">
        <f t="shared" si="62"/>
        <v>0</v>
      </c>
      <c r="BT27" s="96">
        <f t="shared" si="63"/>
        <v>0</v>
      </c>
    </row>
    <row r="28" spans="1:72">
      <c r="A28" s="84"/>
      <c r="B28" s="1394"/>
      <c r="C28" s="1395"/>
      <c r="D28" s="80"/>
      <c r="E28" s="87">
        <f t="shared" si="35"/>
        <v>0</v>
      </c>
      <c r="F28" s="88"/>
      <c r="G28" s="89">
        <f t="shared" si="36"/>
        <v>0</v>
      </c>
      <c r="H28" s="90">
        <f t="shared" si="37"/>
        <v>0</v>
      </c>
      <c r="I28" s="1397"/>
      <c r="J28" s="91"/>
      <c r="K28" s="1397"/>
      <c r="L28" s="91"/>
      <c r="M28" s="91"/>
      <c r="N28" s="91"/>
      <c r="O28" s="91"/>
      <c r="P28" s="91"/>
      <c r="Q28" s="91"/>
      <c r="R28" s="91"/>
      <c r="S28" s="91"/>
      <c r="T28" s="91"/>
      <c r="U28" s="91"/>
      <c r="V28" s="91"/>
      <c r="W28" s="91"/>
      <c r="X28" s="91"/>
      <c r="Y28" s="91"/>
      <c r="Z28" s="91"/>
      <c r="AA28" s="91"/>
      <c r="AB28" s="91"/>
      <c r="AC28" s="87">
        <f t="shared" si="38"/>
        <v>0</v>
      </c>
      <c r="AD28" s="92"/>
      <c r="AE28" s="92"/>
      <c r="AF28" s="1397"/>
      <c r="AG28" s="92"/>
      <c r="AH28" s="92"/>
      <c r="AI28" s="92"/>
      <c r="AJ28" s="92"/>
      <c r="AK28" s="92"/>
      <c r="AL28" s="92"/>
      <c r="AM28" s="92"/>
      <c r="AN28" s="92"/>
      <c r="AO28" s="92"/>
      <c r="AP28" s="92"/>
      <c r="AQ28" s="92"/>
      <c r="AR28" s="92"/>
      <c r="AS28" s="92"/>
      <c r="AT28" s="93"/>
      <c r="AU28" s="94"/>
      <c r="AV28" s="1980">
        <f t="shared" si="39"/>
        <v>0</v>
      </c>
      <c r="AW28" s="1980">
        <f t="shared" si="40"/>
        <v>0</v>
      </c>
      <c r="AX28" s="1980">
        <f t="shared" si="41"/>
        <v>0</v>
      </c>
      <c r="AY28" s="95">
        <f t="shared" si="42"/>
        <v>0</v>
      </c>
      <c r="AZ28" s="87">
        <f t="shared" si="43"/>
        <v>0</v>
      </c>
      <c r="BA28" s="87">
        <f t="shared" si="44"/>
        <v>0</v>
      </c>
      <c r="BB28" s="87">
        <f t="shared" si="45"/>
        <v>0</v>
      </c>
      <c r="BC28" s="87">
        <f t="shared" si="46"/>
        <v>0</v>
      </c>
      <c r="BD28" s="87">
        <f t="shared" si="47"/>
        <v>0</v>
      </c>
      <c r="BE28" s="87">
        <f t="shared" si="48"/>
        <v>0</v>
      </c>
      <c r="BF28" s="87">
        <f t="shared" si="49"/>
        <v>0</v>
      </c>
      <c r="BG28" s="87">
        <f t="shared" si="50"/>
        <v>0</v>
      </c>
      <c r="BH28" s="87">
        <f t="shared" si="51"/>
        <v>0</v>
      </c>
      <c r="BI28" s="87">
        <f t="shared" si="52"/>
        <v>0</v>
      </c>
      <c r="BJ28" s="87">
        <f t="shared" si="53"/>
        <v>0</v>
      </c>
      <c r="BK28" s="87">
        <f t="shared" si="54"/>
        <v>0</v>
      </c>
      <c r="BL28" s="87">
        <f t="shared" si="55"/>
        <v>0</v>
      </c>
      <c r="BM28" s="87">
        <f t="shared" si="56"/>
        <v>0</v>
      </c>
      <c r="BN28" s="87">
        <f t="shared" si="57"/>
        <v>0</v>
      </c>
      <c r="BO28" s="87">
        <f t="shared" si="58"/>
        <v>0</v>
      </c>
      <c r="BP28" s="87">
        <f t="shared" si="59"/>
        <v>0</v>
      </c>
      <c r="BQ28" s="87">
        <f t="shared" si="60"/>
        <v>0</v>
      </c>
      <c r="BR28" s="87">
        <f t="shared" si="61"/>
        <v>0</v>
      </c>
      <c r="BS28" s="87">
        <f t="shared" si="62"/>
        <v>0</v>
      </c>
      <c r="BT28" s="96">
        <f t="shared" si="63"/>
        <v>0</v>
      </c>
    </row>
    <row r="29" spans="1:72">
      <c r="A29" s="84"/>
      <c r="B29" s="1396"/>
      <c r="C29" s="1397"/>
      <c r="D29" s="80"/>
      <c r="E29" s="87">
        <f t="shared" si="35"/>
        <v>0</v>
      </c>
      <c r="F29" s="88"/>
      <c r="G29" s="89">
        <f t="shared" si="36"/>
        <v>0</v>
      </c>
      <c r="H29" s="90">
        <f t="shared" si="37"/>
        <v>0</v>
      </c>
      <c r="I29" s="1397"/>
      <c r="J29" s="91"/>
      <c r="K29" s="1397"/>
      <c r="L29" s="91"/>
      <c r="M29" s="91"/>
      <c r="N29" s="91"/>
      <c r="O29" s="91"/>
      <c r="P29" s="91"/>
      <c r="Q29" s="91"/>
      <c r="R29" s="91"/>
      <c r="S29" s="91"/>
      <c r="T29" s="91"/>
      <c r="U29" s="91"/>
      <c r="V29" s="91"/>
      <c r="W29" s="91"/>
      <c r="X29" s="91"/>
      <c r="Y29" s="91"/>
      <c r="Z29" s="91"/>
      <c r="AA29" s="91"/>
      <c r="AB29" s="91"/>
      <c r="AC29" s="87">
        <f t="shared" si="38"/>
        <v>0</v>
      </c>
      <c r="AD29" s="92"/>
      <c r="AE29" s="92"/>
      <c r="AF29" s="1397"/>
      <c r="AG29" s="92"/>
      <c r="AH29" s="92"/>
      <c r="AI29" s="92"/>
      <c r="AJ29" s="92"/>
      <c r="AK29" s="92"/>
      <c r="AL29" s="92"/>
      <c r="AM29" s="92"/>
      <c r="AN29" s="92"/>
      <c r="AO29" s="92"/>
      <c r="AP29" s="92"/>
      <c r="AQ29" s="92"/>
      <c r="AR29" s="92"/>
      <c r="AS29" s="92"/>
      <c r="AT29" s="93"/>
      <c r="AU29" s="94"/>
      <c r="AV29" s="1980">
        <f t="shared" si="39"/>
        <v>0</v>
      </c>
      <c r="AW29" s="1980">
        <f t="shared" si="40"/>
        <v>0</v>
      </c>
      <c r="AX29" s="1980">
        <f t="shared" si="41"/>
        <v>0</v>
      </c>
      <c r="AY29" s="95">
        <f t="shared" si="42"/>
        <v>0</v>
      </c>
      <c r="AZ29" s="87">
        <f t="shared" si="43"/>
        <v>0</v>
      </c>
      <c r="BA29" s="87">
        <f t="shared" si="44"/>
        <v>0</v>
      </c>
      <c r="BB29" s="87">
        <f t="shared" si="45"/>
        <v>0</v>
      </c>
      <c r="BC29" s="87">
        <f t="shared" si="46"/>
        <v>0</v>
      </c>
      <c r="BD29" s="87">
        <f t="shared" si="47"/>
        <v>0</v>
      </c>
      <c r="BE29" s="87">
        <f t="shared" si="48"/>
        <v>0</v>
      </c>
      <c r="BF29" s="87">
        <f t="shared" si="49"/>
        <v>0</v>
      </c>
      <c r="BG29" s="87">
        <f t="shared" si="50"/>
        <v>0</v>
      </c>
      <c r="BH29" s="87">
        <f t="shared" si="51"/>
        <v>0</v>
      </c>
      <c r="BI29" s="87">
        <f t="shared" si="52"/>
        <v>0</v>
      </c>
      <c r="BJ29" s="87">
        <f t="shared" si="53"/>
        <v>0</v>
      </c>
      <c r="BK29" s="87">
        <f t="shared" si="54"/>
        <v>0</v>
      </c>
      <c r="BL29" s="87">
        <f t="shared" si="55"/>
        <v>0</v>
      </c>
      <c r="BM29" s="87">
        <f t="shared" si="56"/>
        <v>0</v>
      </c>
      <c r="BN29" s="87">
        <f t="shared" si="57"/>
        <v>0</v>
      </c>
      <c r="BO29" s="87">
        <f t="shared" si="58"/>
        <v>0</v>
      </c>
      <c r="BP29" s="87">
        <f t="shared" si="59"/>
        <v>0</v>
      </c>
      <c r="BQ29" s="87">
        <f t="shared" si="60"/>
        <v>0</v>
      </c>
      <c r="BR29" s="87">
        <f t="shared" si="61"/>
        <v>0</v>
      </c>
      <c r="BS29" s="87">
        <f t="shared" si="62"/>
        <v>0</v>
      </c>
      <c r="BT29" s="96">
        <f t="shared" si="63"/>
        <v>0</v>
      </c>
    </row>
    <row r="30" spans="1:72">
      <c r="A30" s="84"/>
      <c r="B30" s="1394"/>
      <c r="C30" s="1395"/>
      <c r="D30" s="80"/>
      <c r="E30" s="87">
        <f t="shared" si="35"/>
        <v>0</v>
      </c>
      <c r="F30" s="88"/>
      <c r="G30" s="89">
        <f t="shared" si="36"/>
        <v>0</v>
      </c>
      <c r="H30" s="90">
        <f t="shared" si="37"/>
        <v>0</v>
      </c>
      <c r="I30" s="1397"/>
      <c r="J30" s="91"/>
      <c r="K30" s="1397"/>
      <c r="L30" s="91"/>
      <c r="M30" s="91"/>
      <c r="N30" s="91"/>
      <c r="O30" s="91"/>
      <c r="P30" s="91"/>
      <c r="Q30" s="91"/>
      <c r="R30" s="91"/>
      <c r="S30" s="91"/>
      <c r="T30" s="91"/>
      <c r="U30" s="91"/>
      <c r="V30" s="91"/>
      <c r="W30" s="91"/>
      <c r="X30" s="91"/>
      <c r="Y30" s="91"/>
      <c r="Z30" s="91"/>
      <c r="AA30" s="91"/>
      <c r="AB30" s="91"/>
      <c r="AC30" s="87">
        <f t="shared" si="38"/>
        <v>0</v>
      </c>
      <c r="AD30" s="92"/>
      <c r="AE30" s="92"/>
      <c r="AF30" s="1397"/>
      <c r="AG30" s="92"/>
      <c r="AH30" s="92"/>
      <c r="AI30" s="92"/>
      <c r="AJ30" s="92"/>
      <c r="AK30" s="92"/>
      <c r="AL30" s="92"/>
      <c r="AM30" s="92"/>
      <c r="AN30" s="92"/>
      <c r="AO30" s="92"/>
      <c r="AP30" s="92"/>
      <c r="AQ30" s="92"/>
      <c r="AR30" s="92"/>
      <c r="AS30" s="92"/>
      <c r="AT30" s="93"/>
      <c r="AU30" s="94"/>
      <c r="AV30" s="1980">
        <f t="shared" si="39"/>
        <v>0</v>
      </c>
      <c r="AW30" s="1980">
        <f t="shared" si="40"/>
        <v>0</v>
      </c>
      <c r="AX30" s="1980">
        <f t="shared" si="41"/>
        <v>0</v>
      </c>
      <c r="AY30" s="95">
        <f t="shared" si="42"/>
        <v>0</v>
      </c>
      <c r="AZ30" s="87">
        <f t="shared" si="43"/>
        <v>0</v>
      </c>
      <c r="BA30" s="87">
        <f t="shared" si="44"/>
        <v>0</v>
      </c>
      <c r="BB30" s="87">
        <f t="shared" si="45"/>
        <v>0</v>
      </c>
      <c r="BC30" s="87">
        <f t="shared" si="46"/>
        <v>0</v>
      </c>
      <c r="BD30" s="87">
        <f t="shared" si="47"/>
        <v>0</v>
      </c>
      <c r="BE30" s="87">
        <f t="shared" si="48"/>
        <v>0</v>
      </c>
      <c r="BF30" s="87">
        <f t="shared" si="49"/>
        <v>0</v>
      </c>
      <c r="BG30" s="87">
        <f t="shared" si="50"/>
        <v>0</v>
      </c>
      <c r="BH30" s="87">
        <f t="shared" si="51"/>
        <v>0</v>
      </c>
      <c r="BI30" s="87">
        <f t="shared" si="52"/>
        <v>0</v>
      </c>
      <c r="BJ30" s="87">
        <f t="shared" si="53"/>
        <v>0</v>
      </c>
      <c r="BK30" s="87">
        <f t="shared" si="54"/>
        <v>0</v>
      </c>
      <c r="BL30" s="87">
        <f t="shared" si="55"/>
        <v>0</v>
      </c>
      <c r="BM30" s="87">
        <f t="shared" si="56"/>
        <v>0</v>
      </c>
      <c r="BN30" s="87">
        <f t="shared" si="57"/>
        <v>0</v>
      </c>
      <c r="BO30" s="87">
        <f t="shared" si="58"/>
        <v>0</v>
      </c>
      <c r="BP30" s="87">
        <f t="shared" si="59"/>
        <v>0</v>
      </c>
      <c r="BQ30" s="87">
        <f t="shared" si="60"/>
        <v>0</v>
      </c>
      <c r="BR30" s="87">
        <f t="shared" si="61"/>
        <v>0</v>
      </c>
      <c r="BS30" s="87">
        <f t="shared" si="62"/>
        <v>0</v>
      </c>
      <c r="BT30" s="96">
        <f t="shared" si="63"/>
        <v>0</v>
      </c>
    </row>
    <row r="31" spans="1:72">
      <c r="A31" s="84"/>
      <c r="B31" s="1394"/>
      <c r="C31" s="1395"/>
      <c r="D31" s="80"/>
      <c r="E31" s="87">
        <f t="shared" si="35"/>
        <v>0</v>
      </c>
      <c r="F31" s="88"/>
      <c r="G31" s="89">
        <f t="shared" si="36"/>
        <v>0</v>
      </c>
      <c r="H31" s="90">
        <f t="shared" si="37"/>
        <v>0</v>
      </c>
      <c r="I31" s="1397"/>
      <c r="J31" s="91"/>
      <c r="K31" s="1397"/>
      <c r="L31" s="91"/>
      <c r="M31" s="91"/>
      <c r="N31" s="91"/>
      <c r="O31" s="91"/>
      <c r="P31" s="91"/>
      <c r="Q31" s="91"/>
      <c r="R31" s="91"/>
      <c r="S31" s="91"/>
      <c r="T31" s="91"/>
      <c r="U31" s="91"/>
      <c r="V31" s="91"/>
      <c r="W31" s="91"/>
      <c r="X31" s="91"/>
      <c r="Y31" s="91"/>
      <c r="Z31" s="91"/>
      <c r="AA31" s="91"/>
      <c r="AB31" s="91"/>
      <c r="AC31" s="87">
        <f t="shared" si="38"/>
        <v>0</v>
      </c>
      <c r="AD31" s="92"/>
      <c r="AE31" s="92"/>
      <c r="AF31" s="1397"/>
      <c r="AG31" s="92"/>
      <c r="AH31" s="92"/>
      <c r="AI31" s="92"/>
      <c r="AJ31" s="92"/>
      <c r="AK31" s="92"/>
      <c r="AL31" s="92"/>
      <c r="AM31" s="92"/>
      <c r="AN31" s="92"/>
      <c r="AO31" s="92"/>
      <c r="AP31" s="92"/>
      <c r="AQ31" s="92"/>
      <c r="AR31" s="92"/>
      <c r="AS31" s="92"/>
      <c r="AT31" s="93"/>
      <c r="AU31" s="94"/>
      <c r="AV31" s="1980">
        <f t="shared" si="39"/>
        <v>0</v>
      </c>
      <c r="AW31" s="1980">
        <f t="shared" si="40"/>
        <v>0</v>
      </c>
      <c r="AX31" s="1980">
        <f t="shared" si="41"/>
        <v>0</v>
      </c>
      <c r="AY31" s="95">
        <f t="shared" si="42"/>
        <v>0</v>
      </c>
      <c r="AZ31" s="87">
        <f t="shared" si="43"/>
        <v>0</v>
      </c>
      <c r="BA31" s="87">
        <f t="shared" si="44"/>
        <v>0</v>
      </c>
      <c r="BB31" s="87">
        <f t="shared" si="45"/>
        <v>0</v>
      </c>
      <c r="BC31" s="87">
        <f t="shared" si="46"/>
        <v>0</v>
      </c>
      <c r="BD31" s="87">
        <f t="shared" si="47"/>
        <v>0</v>
      </c>
      <c r="BE31" s="87">
        <f t="shared" si="48"/>
        <v>0</v>
      </c>
      <c r="BF31" s="87">
        <f t="shared" si="49"/>
        <v>0</v>
      </c>
      <c r="BG31" s="87">
        <f t="shared" si="50"/>
        <v>0</v>
      </c>
      <c r="BH31" s="87">
        <f t="shared" si="51"/>
        <v>0</v>
      </c>
      <c r="BI31" s="87">
        <f t="shared" si="52"/>
        <v>0</v>
      </c>
      <c r="BJ31" s="87">
        <f t="shared" si="53"/>
        <v>0</v>
      </c>
      <c r="BK31" s="87">
        <f t="shared" si="54"/>
        <v>0</v>
      </c>
      <c r="BL31" s="87">
        <f t="shared" si="55"/>
        <v>0</v>
      </c>
      <c r="BM31" s="87">
        <f t="shared" si="56"/>
        <v>0</v>
      </c>
      <c r="BN31" s="87">
        <f t="shared" si="57"/>
        <v>0</v>
      </c>
      <c r="BO31" s="87">
        <f t="shared" si="58"/>
        <v>0</v>
      </c>
      <c r="BP31" s="87">
        <f t="shared" si="59"/>
        <v>0</v>
      </c>
      <c r="BQ31" s="87">
        <f t="shared" si="60"/>
        <v>0</v>
      </c>
      <c r="BR31" s="87">
        <f t="shared" si="61"/>
        <v>0</v>
      </c>
      <c r="BS31" s="87">
        <f t="shared" si="62"/>
        <v>0</v>
      </c>
      <c r="BT31" s="96">
        <f t="shared" si="63"/>
        <v>0</v>
      </c>
    </row>
    <row r="32" spans="1:72">
      <c r="A32" s="84"/>
      <c r="B32" s="1394"/>
      <c r="C32" s="1395"/>
      <c r="D32" s="80"/>
      <c r="E32" s="87">
        <f t="shared" si="35"/>
        <v>0</v>
      </c>
      <c r="F32" s="88"/>
      <c r="G32" s="89">
        <f t="shared" si="36"/>
        <v>0</v>
      </c>
      <c r="H32" s="90">
        <f t="shared" si="37"/>
        <v>0</v>
      </c>
      <c r="I32" s="1397"/>
      <c r="J32" s="91"/>
      <c r="K32" s="1397"/>
      <c r="L32" s="91"/>
      <c r="M32" s="91"/>
      <c r="N32" s="91"/>
      <c r="O32" s="91"/>
      <c r="P32" s="91"/>
      <c r="Q32" s="91"/>
      <c r="R32" s="91"/>
      <c r="S32" s="91"/>
      <c r="T32" s="91"/>
      <c r="U32" s="91"/>
      <c r="V32" s="91"/>
      <c r="W32" s="91"/>
      <c r="X32" s="91"/>
      <c r="Y32" s="91"/>
      <c r="Z32" s="91"/>
      <c r="AA32" s="91"/>
      <c r="AB32" s="91"/>
      <c r="AC32" s="87">
        <f t="shared" si="38"/>
        <v>0</v>
      </c>
      <c r="AD32" s="92"/>
      <c r="AE32" s="92"/>
      <c r="AF32" s="1397"/>
      <c r="AG32" s="92"/>
      <c r="AH32" s="92"/>
      <c r="AI32" s="92"/>
      <c r="AJ32" s="92"/>
      <c r="AK32" s="92"/>
      <c r="AL32" s="92"/>
      <c r="AM32" s="92"/>
      <c r="AN32" s="92"/>
      <c r="AO32" s="92"/>
      <c r="AP32" s="92"/>
      <c r="AQ32" s="92"/>
      <c r="AR32" s="92"/>
      <c r="AS32" s="92"/>
      <c r="AT32" s="93"/>
      <c r="AU32" s="94"/>
      <c r="AV32" s="1980">
        <f t="shared" si="39"/>
        <v>0</v>
      </c>
      <c r="AW32" s="1980">
        <f t="shared" si="40"/>
        <v>0</v>
      </c>
      <c r="AX32" s="1980">
        <f t="shared" si="41"/>
        <v>0</v>
      </c>
      <c r="AY32" s="95">
        <f t="shared" si="42"/>
        <v>0</v>
      </c>
      <c r="AZ32" s="87">
        <f t="shared" si="43"/>
        <v>0</v>
      </c>
      <c r="BA32" s="87">
        <f t="shared" si="44"/>
        <v>0</v>
      </c>
      <c r="BB32" s="87">
        <f t="shared" si="45"/>
        <v>0</v>
      </c>
      <c r="BC32" s="87">
        <f t="shared" si="46"/>
        <v>0</v>
      </c>
      <c r="BD32" s="87">
        <f t="shared" si="47"/>
        <v>0</v>
      </c>
      <c r="BE32" s="87">
        <f t="shared" si="48"/>
        <v>0</v>
      </c>
      <c r="BF32" s="87">
        <f t="shared" si="49"/>
        <v>0</v>
      </c>
      <c r="BG32" s="87">
        <f t="shared" si="50"/>
        <v>0</v>
      </c>
      <c r="BH32" s="87">
        <f t="shared" si="51"/>
        <v>0</v>
      </c>
      <c r="BI32" s="87">
        <f t="shared" si="52"/>
        <v>0</v>
      </c>
      <c r="BJ32" s="87">
        <f t="shared" si="53"/>
        <v>0</v>
      </c>
      <c r="BK32" s="87">
        <f t="shared" si="54"/>
        <v>0</v>
      </c>
      <c r="BL32" s="87">
        <f t="shared" si="55"/>
        <v>0</v>
      </c>
      <c r="BM32" s="87">
        <f t="shared" si="56"/>
        <v>0</v>
      </c>
      <c r="BN32" s="87">
        <f t="shared" si="57"/>
        <v>0</v>
      </c>
      <c r="BO32" s="87">
        <f t="shared" si="58"/>
        <v>0</v>
      </c>
      <c r="BP32" s="87">
        <f t="shared" si="59"/>
        <v>0</v>
      </c>
      <c r="BQ32" s="87">
        <f t="shared" si="60"/>
        <v>0</v>
      </c>
      <c r="BR32" s="87">
        <f t="shared" si="61"/>
        <v>0</v>
      </c>
      <c r="BS32" s="87">
        <f t="shared" si="62"/>
        <v>0</v>
      </c>
      <c r="BT32" s="96">
        <f t="shared" si="63"/>
        <v>0</v>
      </c>
    </row>
    <row r="33" spans="1:72">
      <c r="A33" s="84"/>
      <c r="B33" s="1394"/>
      <c r="C33" s="1395"/>
      <c r="D33" s="80"/>
      <c r="E33" s="87">
        <f t="shared" si="35"/>
        <v>0</v>
      </c>
      <c r="F33" s="88"/>
      <c r="G33" s="89">
        <f t="shared" si="36"/>
        <v>0</v>
      </c>
      <c r="H33" s="90">
        <f t="shared" si="37"/>
        <v>0</v>
      </c>
      <c r="I33" s="1397"/>
      <c r="J33" s="91"/>
      <c r="K33" s="1397"/>
      <c r="L33" s="91"/>
      <c r="M33" s="91"/>
      <c r="N33" s="91"/>
      <c r="O33" s="91"/>
      <c r="P33" s="91"/>
      <c r="Q33" s="91"/>
      <c r="R33" s="91"/>
      <c r="S33" s="91"/>
      <c r="T33" s="91"/>
      <c r="U33" s="91"/>
      <c r="V33" s="91"/>
      <c r="W33" s="91"/>
      <c r="X33" s="91"/>
      <c r="Y33" s="91"/>
      <c r="Z33" s="91"/>
      <c r="AA33" s="91"/>
      <c r="AB33" s="91"/>
      <c r="AC33" s="87">
        <f t="shared" si="38"/>
        <v>0</v>
      </c>
      <c r="AD33" s="92"/>
      <c r="AE33" s="92"/>
      <c r="AF33" s="1397"/>
      <c r="AG33" s="92"/>
      <c r="AH33" s="92"/>
      <c r="AI33" s="92"/>
      <c r="AJ33" s="92"/>
      <c r="AK33" s="92"/>
      <c r="AL33" s="92"/>
      <c r="AM33" s="92"/>
      <c r="AN33" s="92"/>
      <c r="AO33" s="92"/>
      <c r="AP33" s="92"/>
      <c r="AQ33" s="92"/>
      <c r="AR33" s="92"/>
      <c r="AS33" s="92"/>
      <c r="AT33" s="93"/>
      <c r="AU33" s="94"/>
      <c r="AV33" s="1980">
        <f t="shared" si="39"/>
        <v>0</v>
      </c>
      <c r="AW33" s="1980">
        <f t="shared" si="40"/>
        <v>0</v>
      </c>
      <c r="AX33" s="1980">
        <f t="shared" si="41"/>
        <v>0</v>
      </c>
      <c r="AY33" s="95">
        <f t="shared" si="42"/>
        <v>0</v>
      </c>
      <c r="AZ33" s="87">
        <f t="shared" si="43"/>
        <v>0</v>
      </c>
      <c r="BA33" s="87">
        <f t="shared" si="44"/>
        <v>0</v>
      </c>
      <c r="BB33" s="87">
        <f t="shared" si="45"/>
        <v>0</v>
      </c>
      <c r="BC33" s="87">
        <f t="shared" si="46"/>
        <v>0</v>
      </c>
      <c r="BD33" s="87">
        <f t="shared" si="47"/>
        <v>0</v>
      </c>
      <c r="BE33" s="87">
        <f t="shared" si="48"/>
        <v>0</v>
      </c>
      <c r="BF33" s="87">
        <f t="shared" si="49"/>
        <v>0</v>
      </c>
      <c r="BG33" s="87">
        <f t="shared" si="50"/>
        <v>0</v>
      </c>
      <c r="BH33" s="87">
        <f t="shared" si="51"/>
        <v>0</v>
      </c>
      <c r="BI33" s="87">
        <f t="shared" si="52"/>
        <v>0</v>
      </c>
      <c r="BJ33" s="87">
        <f t="shared" si="53"/>
        <v>0</v>
      </c>
      <c r="BK33" s="87">
        <f t="shared" si="54"/>
        <v>0</v>
      </c>
      <c r="BL33" s="87">
        <f t="shared" si="55"/>
        <v>0</v>
      </c>
      <c r="BM33" s="87">
        <f t="shared" si="56"/>
        <v>0</v>
      </c>
      <c r="BN33" s="87">
        <f t="shared" si="57"/>
        <v>0</v>
      </c>
      <c r="BO33" s="87">
        <f t="shared" si="58"/>
        <v>0</v>
      </c>
      <c r="BP33" s="87">
        <f t="shared" si="59"/>
        <v>0</v>
      </c>
      <c r="BQ33" s="87">
        <f t="shared" si="60"/>
        <v>0</v>
      </c>
      <c r="BR33" s="87">
        <f t="shared" si="61"/>
        <v>0</v>
      </c>
      <c r="BS33" s="87">
        <f t="shared" si="62"/>
        <v>0</v>
      </c>
      <c r="BT33" s="96">
        <f t="shared" si="63"/>
        <v>0</v>
      </c>
    </row>
    <row r="34" spans="1:72">
      <c r="A34" s="84"/>
      <c r="B34" s="1394"/>
      <c r="C34" s="1395"/>
      <c r="D34" s="80"/>
      <c r="E34" s="87">
        <f t="shared" si="35"/>
        <v>0</v>
      </c>
      <c r="F34" s="88"/>
      <c r="G34" s="89">
        <f t="shared" si="36"/>
        <v>0</v>
      </c>
      <c r="H34" s="90">
        <f t="shared" si="37"/>
        <v>0</v>
      </c>
      <c r="I34" s="1397"/>
      <c r="J34" s="91"/>
      <c r="K34" s="1397"/>
      <c r="L34" s="91"/>
      <c r="M34" s="91"/>
      <c r="N34" s="91"/>
      <c r="O34" s="91"/>
      <c r="P34" s="91"/>
      <c r="Q34" s="91"/>
      <c r="R34" s="91"/>
      <c r="S34" s="91"/>
      <c r="T34" s="91"/>
      <c r="U34" s="91"/>
      <c r="V34" s="91"/>
      <c r="W34" s="91"/>
      <c r="X34" s="91"/>
      <c r="Y34" s="91"/>
      <c r="Z34" s="91"/>
      <c r="AA34" s="91"/>
      <c r="AB34" s="91"/>
      <c r="AC34" s="87">
        <f t="shared" si="38"/>
        <v>0</v>
      </c>
      <c r="AD34" s="92"/>
      <c r="AE34" s="92"/>
      <c r="AF34" s="1397"/>
      <c r="AG34" s="92"/>
      <c r="AH34" s="92"/>
      <c r="AI34" s="92"/>
      <c r="AJ34" s="92"/>
      <c r="AK34" s="92"/>
      <c r="AL34" s="92"/>
      <c r="AM34" s="92"/>
      <c r="AN34" s="92"/>
      <c r="AO34" s="92"/>
      <c r="AP34" s="92"/>
      <c r="AQ34" s="92"/>
      <c r="AR34" s="92"/>
      <c r="AS34" s="92"/>
      <c r="AT34" s="93"/>
      <c r="AU34" s="94"/>
      <c r="AV34" s="1980">
        <f t="shared" si="39"/>
        <v>0</v>
      </c>
      <c r="AW34" s="1980">
        <f t="shared" si="40"/>
        <v>0</v>
      </c>
      <c r="AX34" s="1980">
        <f t="shared" si="41"/>
        <v>0</v>
      </c>
      <c r="AY34" s="95">
        <f t="shared" si="42"/>
        <v>0</v>
      </c>
      <c r="AZ34" s="87">
        <f t="shared" si="43"/>
        <v>0</v>
      </c>
      <c r="BA34" s="87">
        <f t="shared" si="44"/>
        <v>0</v>
      </c>
      <c r="BB34" s="87">
        <f t="shared" si="45"/>
        <v>0</v>
      </c>
      <c r="BC34" s="87">
        <f t="shared" si="46"/>
        <v>0</v>
      </c>
      <c r="BD34" s="87">
        <f t="shared" si="47"/>
        <v>0</v>
      </c>
      <c r="BE34" s="87">
        <f t="shared" si="48"/>
        <v>0</v>
      </c>
      <c r="BF34" s="87">
        <f t="shared" si="49"/>
        <v>0</v>
      </c>
      <c r="BG34" s="87">
        <f t="shared" si="50"/>
        <v>0</v>
      </c>
      <c r="BH34" s="87">
        <f t="shared" si="51"/>
        <v>0</v>
      </c>
      <c r="BI34" s="87">
        <f t="shared" si="52"/>
        <v>0</v>
      </c>
      <c r="BJ34" s="87">
        <f t="shared" si="53"/>
        <v>0</v>
      </c>
      <c r="BK34" s="87">
        <f t="shared" si="54"/>
        <v>0</v>
      </c>
      <c r="BL34" s="87">
        <f t="shared" si="55"/>
        <v>0</v>
      </c>
      <c r="BM34" s="87">
        <f t="shared" si="56"/>
        <v>0</v>
      </c>
      <c r="BN34" s="87">
        <f t="shared" si="57"/>
        <v>0</v>
      </c>
      <c r="BO34" s="87">
        <f t="shared" si="58"/>
        <v>0</v>
      </c>
      <c r="BP34" s="87">
        <f t="shared" si="59"/>
        <v>0</v>
      </c>
      <c r="BQ34" s="87">
        <f t="shared" si="60"/>
        <v>0</v>
      </c>
      <c r="BR34" s="87">
        <f t="shared" si="61"/>
        <v>0</v>
      </c>
      <c r="BS34" s="87">
        <f t="shared" si="62"/>
        <v>0</v>
      </c>
      <c r="BT34" s="96">
        <f t="shared" si="63"/>
        <v>0</v>
      </c>
    </row>
    <row r="35" spans="1:72">
      <c r="A35" s="84"/>
      <c r="B35" s="1394"/>
      <c r="C35" s="1395"/>
      <c r="D35" s="80"/>
      <c r="E35" s="87">
        <f t="shared" si="35"/>
        <v>0</v>
      </c>
      <c r="F35" s="88"/>
      <c r="G35" s="89">
        <f t="shared" si="36"/>
        <v>0</v>
      </c>
      <c r="H35" s="90">
        <f t="shared" si="37"/>
        <v>0</v>
      </c>
      <c r="I35" s="1397"/>
      <c r="J35" s="91"/>
      <c r="K35" s="1397"/>
      <c r="L35" s="91"/>
      <c r="M35" s="91"/>
      <c r="N35" s="91"/>
      <c r="O35" s="91"/>
      <c r="P35" s="91"/>
      <c r="Q35" s="91"/>
      <c r="R35" s="91"/>
      <c r="S35" s="91"/>
      <c r="T35" s="91"/>
      <c r="U35" s="91"/>
      <c r="V35" s="91"/>
      <c r="W35" s="91"/>
      <c r="X35" s="91"/>
      <c r="Y35" s="91"/>
      <c r="Z35" s="91"/>
      <c r="AA35" s="91"/>
      <c r="AB35" s="91"/>
      <c r="AC35" s="87">
        <f t="shared" si="38"/>
        <v>0</v>
      </c>
      <c r="AD35" s="92"/>
      <c r="AE35" s="92"/>
      <c r="AF35" s="1397"/>
      <c r="AG35" s="92"/>
      <c r="AH35" s="92"/>
      <c r="AI35" s="92"/>
      <c r="AJ35" s="92"/>
      <c r="AK35" s="92"/>
      <c r="AL35" s="92"/>
      <c r="AM35" s="92"/>
      <c r="AN35" s="92"/>
      <c r="AO35" s="92"/>
      <c r="AP35" s="92"/>
      <c r="AQ35" s="92"/>
      <c r="AR35" s="92"/>
      <c r="AS35" s="92"/>
      <c r="AT35" s="93"/>
      <c r="AU35" s="94"/>
      <c r="AV35" s="1980">
        <f t="shared" si="39"/>
        <v>0</v>
      </c>
      <c r="AW35" s="1980">
        <f t="shared" si="40"/>
        <v>0</v>
      </c>
      <c r="AX35" s="1980">
        <f t="shared" si="41"/>
        <v>0</v>
      </c>
      <c r="AY35" s="95">
        <f t="shared" si="42"/>
        <v>0</v>
      </c>
      <c r="AZ35" s="87">
        <f t="shared" si="43"/>
        <v>0</v>
      </c>
      <c r="BA35" s="87">
        <f t="shared" si="44"/>
        <v>0</v>
      </c>
      <c r="BB35" s="87">
        <f t="shared" si="45"/>
        <v>0</v>
      </c>
      <c r="BC35" s="87">
        <f t="shared" si="46"/>
        <v>0</v>
      </c>
      <c r="BD35" s="87">
        <f t="shared" si="47"/>
        <v>0</v>
      </c>
      <c r="BE35" s="87">
        <f t="shared" si="48"/>
        <v>0</v>
      </c>
      <c r="BF35" s="87">
        <f t="shared" si="49"/>
        <v>0</v>
      </c>
      <c r="BG35" s="87">
        <f t="shared" si="50"/>
        <v>0</v>
      </c>
      <c r="BH35" s="87">
        <f t="shared" si="51"/>
        <v>0</v>
      </c>
      <c r="BI35" s="87">
        <f t="shared" si="52"/>
        <v>0</v>
      </c>
      <c r="BJ35" s="87">
        <f t="shared" si="53"/>
        <v>0</v>
      </c>
      <c r="BK35" s="87">
        <f t="shared" si="54"/>
        <v>0</v>
      </c>
      <c r="BL35" s="87">
        <f t="shared" si="55"/>
        <v>0</v>
      </c>
      <c r="BM35" s="87">
        <f t="shared" si="56"/>
        <v>0</v>
      </c>
      <c r="BN35" s="87">
        <f t="shared" si="57"/>
        <v>0</v>
      </c>
      <c r="BO35" s="87">
        <f t="shared" si="58"/>
        <v>0</v>
      </c>
      <c r="BP35" s="87">
        <f t="shared" si="59"/>
        <v>0</v>
      </c>
      <c r="BQ35" s="87">
        <f t="shared" si="60"/>
        <v>0</v>
      </c>
      <c r="BR35" s="87">
        <f t="shared" si="61"/>
        <v>0</v>
      </c>
      <c r="BS35" s="87">
        <f t="shared" si="62"/>
        <v>0</v>
      </c>
      <c r="BT35" s="96">
        <f t="shared" si="63"/>
        <v>0</v>
      </c>
    </row>
    <row r="36" spans="1:72">
      <c r="A36" s="84"/>
      <c r="B36" s="1394"/>
      <c r="C36" s="1395"/>
      <c r="D36" s="80"/>
      <c r="E36" s="87">
        <f t="shared" si="35"/>
        <v>0</v>
      </c>
      <c r="F36" s="88"/>
      <c r="G36" s="89">
        <f t="shared" si="36"/>
        <v>0</v>
      </c>
      <c r="H36" s="90">
        <f t="shared" si="37"/>
        <v>0</v>
      </c>
      <c r="I36" s="1397"/>
      <c r="J36" s="91"/>
      <c r="K36" s="1397"/>
      <c r="L36" s="91"/>
      <c r="M36" s="91"/>
      <c r="N36" s="91"/>
      <c r="O36" s="91"/>
      <c r="P36" s="91"/>
      <c r="Q36" s="91"/>
      <c r="R36" s="91"/>
      <c r="S36" s="91"/>
      <c r="T36" s="91"/>
      <c r="U36" s="91"/>
      <c r="V36" s="91"/>
      <c r="W36" s="91"/>
      <c r="X36" s="91"/>
      <c r="Y36" s="91"/>
      <c r="Z36" s="91"/>
      <c r="AA36" s="91"/>
      <c r="AB36" s="91"/>
      <c r="AC36" s="87">
        <f t="shared" si="38"/>
        <v>0</v>
      </c>
      <c r="AD36" s="92"/>
      <c r="AE36" s="92"/>
      <c r="AF36" s="1397"/>
      <c r="AG36" s="92"/>
      <c r="AH36" s="92"/>
      <c r="AI36" s="92"/>
      <c r="AJ36" s="92"/>
      <c r="AK36" s="92"/>
      <c r="AL36" s="92"/>
      <c r="AM36" s="92"/>
      <c r="AN36" s="92"/>
      <c r="AO36" s="92"/>
      <c r="AP36" s="92"/>
      <c r="AQ36" s="92"/>
      <c r="AR36" s="92"/>
      <c r="AS36" s="92"/>
      <c r="AT36" s="93"/>
      <c r="AU36" s="94"/>
      <c r="AV36" s="1980">
        <f t="shared" si="39"/>
        <v>0</v>
      </c>
      <c r="AW36" s="1980">
        <f t="shared" si="40"/>
        <v>0</v>
      </c>
      <c r="AX36" s="1980">
        <f t="shared" si="41"/>
        <v>0</v>
      </c>
      <c r="AY36" s="95">
        <f t="shared" si="42"/>
        <v>0</v>
      </c>
      <c r="AZ36" s="87">
        <f t="shared" si="43"/>
        <v>0</v>
      </c>
      <c r="BA36" s="87">
        <f t="shared" si="44"/>
        <v>0</v>
      </c>
      <c r="BB36" s="87">
        <f t="shared" si="45"/>
        <v>0</v>
      </c>
      <c r="BC36" s="87">
        <f t="shared" si="46"/>
        <v>0</v>
      </c>
      <c r="BD36" s="87">
        <f t="shared" si="47"/>
        <v>0</v>
      </c>
      <c r="BE36" s="87">
        <f t="shared" si="48"/>
        <v>0</v>
      </c>
      <c r="BF36" s="87">
        <f t="shared" si="49"/>
        <v>0</v>
      </c>
      <c r="BG36" s="87">
        <f t="shared" si="50"/>
        <v>0</v>
      </c>
      <c r="BH36" s="87">
        <f t="shared" si="51"/>
        <v>0</v>
      </c>
      <c r="BI36" s="87">
        <f t="shared" si="52"/>
        <v>0</v>
      </c>
      <c r="BJ36" s="87">
        <f t="shared" si="53"/>
        <v>0</v>
      </c>
      <c r="BK36" s="87">
        <f t="shared" si="54"/>
        <v>0</v>
      </c>
      <c r="BL36" s="87">
        <f t="shared" si="55"/>
        <v>0</v>
      </c>
      <c r="BM36" s="87">
        <f t="shared" si="56"/>
        <v>0</v>
      </c>
      <c r="BN36" s="87">
        <f t="shared" si="57"/>
        <v>0</v>
      </c>
      <c r="BO36" s="87">
        <f t="shared" si="58"/>
        <v>0</v>
      </c>
      <c r="BP36" s="87">
        <f t="shared" si="59"/>
        <v>0</v>
      </c>
      <c r="BQ36" s="87">
        <f t="shared" si="60"/>
        <v>0</v>
      </c>
      <c r="BR36" s="87">
        <f t="shared" si="61"/>
        <v>0</v>
      </c>
      <c r="BS36" s="87">
        <f t="shared" si="62"/>
        <v>0</v>
      </c>
      <c r="BT36" s="96">
        <f t="shared" si="63"/>
        <v>0</v>
      </c>
    </row>
    <row r="37" spans="1:72">
      <c r="A37" s="84"/>
      <c r="B37" s="1394"/>
      <c r="C37" s="1395"/>
      <c r="D37" s="80"/>
      <c r="E37" s="87">
        <f t="shared" si="35"/>
        <v>0</v>
      </c>
      <c r="F37" s="88"/>
      <c r="G37" s="89">
        <f t="shared" si="36"/>
        <v>0</v>
      </c>
      <c r="H37" s="90">
        <f t="shared" si="37"/>
        <v>0</v>
      </c>
      <c r="I37" s="1397"/>
      <c r="J37" s="91"/>
      <c r="K37" s="1397"/>
      <c r="L37" s="91"/>
      <c r="M37" s="91"/>
      <c r="N37" s="91"/>
      <c r="O37" s="91"/>
      <c r="P37" s="91"/>
      <c r="Q37" s="91"/>
      <c r="R37" s="91"/>
      <c r="S37" s="91"/>
      <c r="T37" s="91"/>
      <c r="U37" s="91"/>
      <c r="V37" s="91"/>
      <c r="W37" s="91"/>
      <c r="X37" s="91"/>
      <c r="Y37" s="91"/>
      <c r="Z37" s="91"/>
      <c r="AA37" s="91"/>
      <c r="AB37" s="91"/>
      <c r="AC37" s="87">
        <f t="shared" si="38"/>
        <v>0</v>
      </c>
      <c r="AD37" s="92"/>
      <c r="AE37" s="92"/>
      <c r="AF37" s="1397"/>
      <c r="AG37" s="92"/>
      <c r="AH37" s="92"/>
      <c r="AI37" s="92"/>
      <c r="AJ37" s="92"/>
      <c r="AK37" s="92"/>
      <c r="AL37" s="92"/>
      <c r="AM37" s="92"/>
      <c r="AN37" s="92"/>
      <c r="AO37" s="92"/>
      <c r="AP37" s="92"/>
      <c r="AQ37" s="92"/>
      <c r="AR37" s="92"/>
      <c r="AS37" s="92"/>
      <c r="AT37" s="93"/>
      <c r="AU37" s="94"/>
      <c r="AV37" s="1980">
        <f t="shared" si="39"/>
        <v>0</v>
      </c>
      <c r="AW37" s="1980">
        <f t="shared" si="40"/>
        <v>0</v>
      </c>
      <c r="AX37" s="1980">
        <f t="shared" si="41"/>
        <v>0</v>
      </c>
      <c r="AY37" s="95">
        <f t="shared" si="42"/>
        <v>0</v>
      </c>
      <c r="AZ37" s="87">
        <f t="shared" si="43"/>
        <v>0</v>
      </c>
      <c r="BA37" s="87">
        <f t="shared" si="44"/>
        <v>0</v>
      </c>
      <c r="BB37" s="87">
        <f t="shared" si="45"/>
        <v>0</v>
      </c>
      <c r="BC37" s="87">
        <f t="shared" si="46"/>
        <v>0</v>
      </c>
      <c r="BD37" s="87">
        <f t="shared" si="47"/>
        <v>0</v>
      </c>
      <c r="BE37" s="87">
        <f t="shared" si="48"/>
        <v>0</v>
      </c>
      <c r="BF37" s="87">
        <f t="shared" si="49"/>
        <v>0</v>
      </c>
      <c r="BG37" s="87">
        <f t="shared" si="50"/>
        <v>0</v>
      </c>
      <c r="BH37" s="87">
        <f t="shared" si="51"/>
        <v>0</v>
      </c>
      <c r="BI37" s="87">
        <f t="shared" si="52"/>
        <v>0</v>
      </c>
      <c r="BJ37" s="87">
        <f t="shared" si="53"/>
        <v>0</v>
      </c>
      <c r="BK37" s="87">
        <f t="shared" si="54"/>
        <v>0</v>
      </c>
      <c r="BL37" s="87">
        <f t="shared" si="55"/>
        <v>0</v>
      </c>
      <c r="BM37" s="87">
        <f t="shared" si="56"/>
        <v>0</v>
      </c>
      <c r="BN37" s="87">
        <f t="shared" si="57"/>
        <v>0</v>
      </c>
      <c r="BO37" s="87">
        <f t="shared" si="58"/>
        <v>0</v>
      </c>
      <c r="BP37" s="87">
        <f t="shared" si="59"/>
        <v>0</v>
      </c>
      <c r="BQ37" s="87">
        <f t="shared" si="60"/>
        <v>0</v>
      </c>
      <c r="BR37" s="87">
        <f t="shared" si="61"/>
        <v>0</v>
      </c>
      <c r="BS37" s="87">
        <f t="shared" si="62"/>
        <v>0</v>
      </c>
      <c r="BT37" s="96">
        <f t="shared" si="63"/>
        <v>0</v>
      </c>
    </row>
    <row r="38" spans="1:72">
      <c r="A38" s="84"/>
      <c r="B38" s="1394"/>
      <c r="C38" s="1395"/>
      <c r="D38" s="80"/>
      <c r="E38" s="87">
        <f t="shared" si="35"/>
        <v>0</v>
      </c>
      <c r="F38" s="88"/>
      <c r="G38" s="89">
        <f t="shared" si="36"/>
        <v>0</v>
      </c>
      <c r="H38" s="90">
        <f t="shared" si="37"/>
        <v>0</v>
      </c>
      <c r="I38" s="1397"/>
      <c r="J38" s="91"/>
      <c r="K38" s="1397"/>
      <c r="L38" s="91"/>
      <c r="M38" s="91"/>
      <c r="N38" s="91"/>
      <c r="O38" s="91"/>
      <c r="P38" s="91"/>
      <c r="Q38" s="91"/>
      <c r="R38" s="91"/>
      <c r="S38" s="91"/>
      <c r="T38" s="91"/>
      <c r="U38" s="91"/>
      <c r="V38" s="91"/>
      <c r="W38" s="91"/>
      <c r="X38" s="91"/>
      <c r="Y38" s="91"/>
      <c r="Z38" s="91"/>
      <c r="AA38" s="91"/>
      <c r="AB38" s="91"/>
      <c r="AC38" s="87">
        <f t="shared" si="38"/>
        <v>0</v>
      </c>
      <c r="AD38" s="92"/>
      <c r="AE38" s="92"/>
      <c r="AF38" s="1397"/>
      <c r="AG38" s="92"/>
      <c r="AH38" s="92"/>
      <c r="AI38" s="92"/>
      <c r="AJ38" s="92"/>
      <c r="AK38" s="92"/>
      <c r="AL38" s="92"/>
      <c r="AM38" s="92"/>
      <c r="AN38" s="92"/>
      <c r="AO38" s="92"/>
      <c r="AP38" s="92"/>
      <c r="AQ38" s="92"/>
      <c r="AR38" s="92"/>
      <c r="AS38" s="92"/>
      <c r="AT38" s="93"/>
      <c r="AU38" s="94"/>
      <c r="AV38" s="1980">
        <f t="shared" si="39"/>
        <v>0</v>
      </c>
      <c r="AW38" s="1980">
        <f t="shared" si="40"/>
        <v>0</v>
      </c>
      <c r="AX38" s="1980">
        <f t="shared" si="41"/>
        <v>0</v>
      </c>
      <c r="AY38" s="95">
        <f t="shared" si="42"/>
        <v>0</v>
      </c>
      <c r="AZ38" s="87">
        <f t="shared" si="43"/>
        <v>0</v>
      </c>
      <c r="BA38" s="87">
        <f t="shared" si="44"/>
        <v>0</v>
      </c>
      <c r="BB38" s="87">
        <f t="shared" si="45"/>
        <v>0</v>
      </c>
      <c r="BC38" s="87">
        <f t="shared" si="46"/>
        <v>0</v>
      </c>
      <c r="BD38" s="87">
        <f t="shared" si="47"/>
        <v>0</v>
      </c>
      <c r="BE38" s="87">
        <f t="shared" si="48"/>
        <v>0</v>
      </c>
      <c r="BF38" s="87">
        <f t="shared" si="49"/>
        <v>0</v>
      </c>
      <c r="BG38" s="87">
        <f t="shared" si="50"/>
        <v>0</v>
      </c>
      <c r="BH38" s="87">
        <f t="shared" si="51"/>
        <v>0</v>
      </c>
      <c r="BI38" s="87">
        <f t="shared" si="52"/>
        <v>0</v>
      </c>
      <c r="BJ38" s="87">
        <f t="shared" si="53"/>
        <v>0</v>
      </c>
      <c r="BK38" s="87">
        <f t="shared" si="54"/>
        <v>0</v>
      </c>
      <c r="BL38" s="87">
        <f t="shared" si="55"/>
        <v>0</v>
      </c>
      <c r="BM38" s="87">
        <f t="shared" si="56"/>
        <v>0</v>
      </c>
      <c r="BN38" s="87">
        <f t="shared" si="57"/>
        <v>0</v>
      </c>
      <c r="BO38" s="87">
        <f t="shared" si="58"/>
        <v>0</v>
      </c>
      <c r="BP38" s="87">
        <f t="shared" si="59"/>
        <v>0</v>
      </c>
      <c r="BQ38" s="87">
        <f t="shared" si="60"/>
        <v>0</v>
      </c>
      <c r="BR38" s="87">
        <f t="shared" si="61"/>
        <v>0</v>
      </c>
      <c r="BS38" s="87">
        <f t="shared" si="62"/>
        <v>0</v>
      </c>
      <c r="BT38" s="96">
        <f t="shared" si="63"/>
        <v>0</v>
      </c>
    </row>
    <row r="39" spans="1:72">
      <c r="A39" s="84"/>
      <c r="B39" s="1394"/>
      <c r="C39" s="1395"/>
      <c r="D39" s="80"/>
      <c r="E39" s="87">
        <f t="shared" si="35"/>
        <v>0</v>
      </c>
      <c r="F39" s="88"/>
      <c r="G39" s="89">
        <f t="shared" si="36"/>
        <v>0</v>
      </c>
      <c r="H39" s="90">
        <f t="shared" si="37"/>
        <v>0</v>
      </c>
      <c r="I39" s="1397"/>
      <c r="J39" s="91"/>
      <c r="K39" s="1397"/>
      <c r="L39" s="91"/>
      <c r="M39" s="91"/>
      <c r="N39" s="91"/>
      <c r="O39" s="91"/>
      <c r="P39" s="91"/>
      <c r="Q39" s="91"/>
      <c r="R39" s="91"/>
      <c r="S39" s="91"/>
      <c r="T39" s="91"/>
      <c r="U39" s="91"/>
      <c r="V39" s="91"/>
      <c r="W39" s="91"/>
      <c r="X39" s="91"/>
      <c r="Y39" s="91"/>
      <c r="Z39" s="91"/>
      <c r="AA39" s="91"/>
      <c r="AB39" s="91"/>
      <c r="AC39" s="87">
        <f t="shared" si="38"/>
        <v>0</v>
      </c>
      <c r="AD39" s="92"/>
      <c r="AE39" s="92"/>
      <c r="AF39" s="1397"/>
      <c r="AG39" s="92"/>
      <c r="AH39" s="92"/>
      <c r="AI39" s="92"/>
      <c r="AJ39" s="92"/>
      <c r="AK39" s="92"/>
      <c r="AL39" s="92"/>
      <c r="AM39" s="92"/>
      <c r="AN39" s="92"/>
      <c r="AO39" s="92"/>
      <c r="AP39" s="92"/>
      <c r="AQ39" s="92"/>
      <c r="AR39" s="92"/>
      <c r="AS39" s="92"/>
      <c r="AT39" s="93"/>
      <c r="AU39" s="94"/>
      <c r="AV39" s="1980">
        <f t="shared" si="39"/>
        <v>0</v>
      </c>
      <c r="AW39" s="1980">
        <f t="shared" si="40"/>
        <v>0</v>
      </c>
      <c r="AX39" s="1980">
        <f t="shared" si="41"/>
        <v>0</v>
      </c>
      <c r="AY39" s="95">
        <f t="shared" si="42"/>
        <v>0</v>
      </c>
      <c r="AZ39" s="87">
        <f t="shared" si="43"/>
        <v>0</v>
      </c>
      <c r="BA39" s="87">
        <f t="shared" si="44"/>
        <v>0</v>
      </c>
      <c r="BB39" s="87">
        <f t="shared" si="45"/>
        <v>0</v>
      </c>
      <c r="BC39" s="87">
        <f t="shared" si="46"/>
        <v>0</v>
      </c>
      <c r="BD39" s="87">
        <f t="shared" si="47"/>
        <v>0</v>
      </c>
      <c r="BE39" s="87">
        <f t="shared" si="48"/>
        <v>0</v>
      </c>
      <c r="BF39" s="87">
        <f t="shared" si="49"/>
        <v>0</v>
      </c>
      <c r="BG39" s="87">
        <f t="shared" si="50"/>
        <v>0</v>
      </c>
      <c r="BH39" s="87">
        <f t="shared" si="51"/>
        <v>0</v>
      </c>
      <c r="BI39" s="87">
        <f t="shared" si="52"/>
        <v>0</v>
      </c>
      <c r="BJ39" s="87">
        <f t="shared" si="53"/>
        <v>0</v>
      </c>
      <c r="BK39" s="87">
        <f t="shared" si="54"/>
        <v>0</v>
      </c>
      <c r="BL39" s="87">
        <f t="shared" si="55"/>
        <v>0</v>
      </c>
      <c r="BM39" s="87">
        <f t="shared" si="56"/>
        <v>0</v>
      </c>
      <c r="BN39" s="87">
        <f t="shared" si="57"/>
        <v>0</v>
      </c>
      <c r="BO39" s="87">
        <f t="shared" si="58"/>
        <v>0</v>
      </c>
      <c r="BP39" s="87">
        <f t="shared" si="59"/>
        <v>0</v>
      </c>
      <c r="BQ39" s="87">
        <f t="shared" si="60"/>
        <v>0</v>
      </c>
      <c r="BR39" s="87">
        <f t="shared" si="61"/>
        <v>0</v>
      </c>
      <c r="BS39" s="87">
        <f t="shared" si="62"/>
        <v>0</v>
      </c>
      <c r="BT39" s="96">
        <f t="shared" si="63"/>
        <v>0</v>
      </c>
    </row>
    <row r="40" spans="1:72">
      <c r="A40" s="84"/>
      <c r="B40" s="1394"/>
      <c r="C40" s="1395"/>
      <c r="D40" s="80"/>
      <c r="E40" s="87">
        <f t="shared" si="35"/>
        <v>0</v>
      </c>
      <c r="F40" s="88"/>
      <c r="G40" s="89">
        <f t="shared" si="36"/>
        <v>0</v>
      </c>
      <c r="H40" s="90">
        <f t="shared" si="37"/>
        <v>0</v>
      </c>
      <c r="I40" s="1397"/>
      <c r="J40" s="91"/>
      <c r="K40" s="1397"/>
      <c r="L40" s="91"/>
      <c r="M40" s="91"/>
      <c r="N40" s="91"/>
      <c r="O40" s="91"/>
      <c r="P40" s="91"/>
      <c r="Q40" s="91"/>
      <c r="R40" s="91"/>
      <c r="S40" s="91"/>
      <c r="T40" s="91"/>
      <c r="U40" s="91"/>
      <c r="V40" s="91"/>
      <c r="W40" s="91"/>
      <c r="X40" s="91"/>
      <c r="Y40" s="91"/>
      <c r="Z40" s="91"/>
      <c r="AA40" s="91"/>
      <c r="AB40" s="91"/>
      <c r="AC40" s="87">
        <f t="shared" si="38"/>
        <v>0</v>
      </c>
      <c r="AD40" s="92"/>
      <c r="AE40" s="92"/>
      <c r="AF40" s="1397"/>
      <c r="AG40" s="92"/>
      <c r="AH40" s="92"/>
      <c r="AI40" s="92"/>
      <c r="AJ40" s="92"/>
      <c r="AK40" s="92"/>
      <c r="AL40" s="92"/>
      <c r="AM40" s="92"/>
      <c r="AN40" s="92"/>
      <c r="AO40" s="92"/>
      <c r="AP40" s="92"/>
      <c r="AQ40" s="92"/>
      <c r="AR40" s="92"/>
      <c r="AS40" s="92"/>
      <c r="AT40" s="93"/>
      <c r="AU40" s="94"/>
      <c r="AV40" s="1980">
        <f t="shared" si="39"/>
        <v>0</v>
      </c>
      <c r="AW40" s="1980">
        <f t="shared" si="40"/>
        <v>0</v>
      </c>
      <c r="AX40" s="1980">
        <f t="shared" si="41"/>
        <v>0</v>
      </c>
      <c r="AY40" s="95">
        <f t="shared" si="42"/>
        <v>0</v>
      </c>
      <c r="AZ40" s="87">
        <f t="shared" si="43"/>
        <v>0</v>
      </c>
      <c r="BA40" s="87">
        <f t="shared" si="44"/>
        <v>0</v>
      </c>
      <c r="BB40" s="87">
        <f t="shared" si="45"/>
        <v>0</v>
      </c>
      <c r="BC40" s="87">
        <f t="shared" si="46"/>
        <v>0</v>
      </c>
      <c r="BD40" s="87">
        <f t="shared" si="47"/>
        <v>0</v>
      </c>
      <c r="BE40" s="87">
        <f t="shared" si="48"/>
        <v>0</v>
      </c>
      <c r="BF40" s="87">
        <f t="shared" si="49"/>
        <v>0</v>
      </c>
      <c r="BG40" s="87">
        <f t="shared" si="50"/>
        <v>0</v>
      </c>
      <c r="BH40" s="87">
        <f t="shared" si="51"/>
        <v>0</v>
      </c>
      <c r="BI40" s="87">
        <f t="shared" si="52"/>
        <v>0</v>
      </c>
      <c r="BJ40" s="87">
        <f t="shared" si="53"/>
        <v>0</v>
      </c>
      <c r="BK40" s="87">
        <f t="shared" si="54"/>
        <v>0</v>
      </c>
      <c r="BL40" s="87">
        <f t="shared" si="55"/>
        <v>0</v>
      </c>
      <c r="BM40" s="87">
        <f t="shared" si="56"/>
        <v>0</v>
      </c>
      <c r="BN40" s="87">
        <f t="shared" si="57"/>
        <v>0</v>
      </c>
      <c r="BO40" s="87">
        <f t="shared" si="58"/>
        <v>0</v>
      </c>
      <c r="BP40" s="87">
        <f t="shared" si="59"/>
        <v>0</v>
      </c>
      <c r="BQ40" s="87">
        <f t="shared" si="60"/>
        <v>0</v>
      </c>
      <c r="BR40" s="87">
        <f t="shared" si="61"/>
        <v>0</v>
      </c>
      <c r="BS40" s="87">
        <f t="shared" si="62"/>
        <v>0</v>
      </c>
      <c r="BT40" s="96">
        <f t="shared" si="63"/>
        <v>0</v>
      </c>
    </row>
    <row r="41" spans="1:72">
      <c r="A41" s="84"/>
      <c r="B41" s="1394"/>
      <c r="C41" s="1395"/>
      <c r="D41" s="80"/>
      <c r="E41" s="87">
        <f t="shared" si="35"/>
        <v>0</v>
      </c>
      <c r="F41" s="88"/>
      <c r="G41" s="89">
        <f t="shared" si="36"/>
        <v>0</v>
      </c>
      <c r="H41" s="90">
        <f t="shared" si="37"/>
        <v>0</v>
      </c>
      <c r="I41" s="1397"/>
      <c r="J41" s="91"/>
      <c r="K41" s="1397"/>
      <c r="L41" s="91"/>
      <c r="M41" s="91"/>
      <c r="N41" s="91"/>
      <c r="O41" s="91"/>
      <c r="P41" s="91"/>
      <c r="Q41" s="91"/>
      <c r="R41" s="91"/>
      <c r="S41" s="91"/>
      <c r="T41" s="91"/>
      <c r="U41" s="91"/>
      <c r="V41" s="91"/>
      <c r="W41" s="91"/>
      <c r="X41" s="91"/>
      <c r="Y41" s="91"/>
      <c r="Z41" s="91"/>
      <c r="AA41" s="91"/>
      <c r="AB41" s="91"/>
      <c r="AC41" s="87">
        <f t="shared" si="38"/>
        <v>0</v>
      </c>
      <c r="AD41" s="92"/>
      <c r="AE41" s="92"/>
      <c r="AF41" s="1397"/>
      <c r="AG41" s="92"/>
      <c r="AH41" s="92"/>
      <c r="AI41" s="92"/>
      <c r="AJ41" s="92"/>
      <c r="AK41" s="92"/>
      <c r="AL41" s="92"/>
      <c r="AM41" s="92"/>
      <c r="AN41" s="92"/>
      <c r="AO41" s="92"/>
      <c r="AP41" s="92"/>
      <c r="AQ41" s="92"/>
      <c r="AR41" s="92"/>
      <c r="AS41" s="92"/>
      <c r="AT41" s="93"/>
      <c r="AU41" s="94"/>
      <c r="AV41" s="1980">
        <f t="shared" si="39"/>
        <v>0</v>
      </c>
      <c r="AW41" s="1980">
        <f t="shared" si="40"/>
        <v>0</v>
      </c>
      <c r="AX41" s="1980">
        <f t="shared" si="41"/>
        <v>0</v>
      </c>
      <c r="AY41" s="95">
        <f t="shared" si="42"/>
        <v>0</v>
      </c>
      <c r="AZ41" s="87">
        <f t="shared" si="43"/>
        <v>0</v>
      </c>
      <c r="BA41" s="87">
        <f t="shared" si="44"/>
        <v>0</v>
      </c>
      <c r="BB41" s="87">
        <f t="shared" si="45"/>
        <v>0</v>
      </c>
      <c r="BC41" s="87">
        <f t="shared" si="46"/>
        <v>0</v>
      </c>
      <c r="BD41" s="87">
        <f t="shared" si="47"/>
        <v>0</v>
      </c>
      <c r="BE41" s="87">
        <f t="shared" si="48"/>
        <v>0</v>
      </c>
      <c r="BF41" s="87">
        <f t="shared" si="49"/>
        <v>0</v>
      </c>
      <c r="BG41" s="87">
        <f t="shared" si="50"/>
        <v>0</v>
      </c>
      <c r="BH41" s="87">
        <f t="shared" si="51"/>
        <v>0</v>
      </c>
      <c r="BI41" s="87">
        <f t="shared" si="52"/>
        <v>0</v>
      </c>
      <c r="BJ41" s="87">
        <f t="shared" si="53"/>
        <v>0</v>
      </c>
      <c r="BK41" s="87">
        <f t="shared" si="54"/>
        <v>0</v>
      </c>
      <c r="BL41" s="87">
        <f t="shared" si="55"/>
        <v>0</v>
      </c>
      <c r="BM41" s="87">
        <f t="shared" si="56"/>
        <v>0</v>
      </c>
      <c r="BN41" s="87">
        <f t="shared" si="57"/>
        <v>0</v>
      </c>
      <c r="BO41" s="87">
        <f t="shared" si="58"/>
        <v>0</v>
      </c>
      <c r="BP41" s="87">
        <f t="shared" si="59"/>
        <v>0</v>
      </c>
      <c r="BQ41" s="87">
        <f t="shared" si="60"/>
        <v>0</v>
      </c>
      <c r="BR41" s="87">
        <f t="shared" si="61"/>
        <v>0</v>
      </c>
      <c r="BS41" s="87">
        <f t="shared" si="62"/>
        <v>0</v>
      </c>
      <c r="BT41" s="96">
        <f t="shared" si="63"/>
        <v>0</v>
      </c>
    </row>
    <row r="42" spans="1:72">
      <c r="A42" s="84"/>
      <c r="B42" s="1394"/>
      <c r="C42" s="1395"/>
      <c r="D42" s="80"/>
      <c r="E42" s="87">
        <f t="shared" si="35"/>
        <v>0</v>
      </c>
      <c r="F42" s="88"/>
      <c r="G42" s="89">
        <f t="shared" si="36"/>
        <v>0</v>
      </c>
      <c r="H42" s="90">
        <f t="shared" si="37"/>
        <v>0</v>
      </c>
      <c r="I42" s="1397"/>
      <c r="J42" s="91"/>
      <c r="K42" s="1397"/>
      <c r="L42" s="91"/>
      <c r="M42" s="91"/>
      <c r="N42" s="91"/>
      <c r="O42" s="91"/>
      <c r="P42" s="91"/>
      <c r="Q42" s="91"/>
      <c r="R42" s="91"/>
      <c r="S42" s="91"/>
      <c r="T42" s="91"/>
      <c r="U42" s="91"/>
      <c r="V42" s="91"/>
      <c r="W42" s="91"/>
      <c r="X42" s="91"/>
      <c r="Y42" s="91"/>
      <c r="Z42" s="91"/>
      <c r="AA42" s="91"/>
      <c r="AB42" s="91"/>
      <c r="AC42" s="87">
        <f t="shared" si="38"/>
        <v>0</v>
      </c>
      <c r="AD42" s="92"/>
      <c r="AE42" s="92"/>
      <c r="AF42" s="1397"/>
      <c r="AG42" s="92"/>
      <c r="AH42" s="92"/>
      <c r="AI42" s="92"/>
      <c r="AJ42" s="92"/>
      <c r="AK42" s="92"/>
      <c r="AL42" s="92"/>
      <c r="AM42" s="92"/>
      <c r="AN42" s="92"/>
      <c r="AO42" s="92"/>
      <c r="AP42" s="92"/>
      <c r="AQ42" s="92"/>
      <c r="AR42" s="92"/>
      <c r="AS42" s="92"/>
      <c r="AT42" s="93"/>
      <c r="AU42" s="94"/>
      <c r="AV42" s="1980">
        <f t="shared" si="39"/>
        <v>0</v>
      </c>
      <c r="AW42" s="1980">
        <f t="shared" si="40"/>
        <v>0</v>
      </c>
      <c r="AX42" s="1980">
        <f t="shared" si="41"/>
        <v>0</v>
      </c>
      <c r="AY42" s="95">
        <f t="shared" si="42"/>
        <v>0</v>
      </c>
      <c r="AZ42" s="87">
        <f t="shared" si="43"/>
        <v>0</v>
      </c>
      <c r="BA42" s="87">
        <f t="shared" si="44"/>
        <v>0</v>
      </c>
      <c r="BB42" s="87">
        <f t="shared" si="45"/>
        <v>0</v>
      </c>
      <c r="BC42" s="87">
        <f t="shared" si="46"/>
        <v>0</v>
      </c>
      <c r="BD42" s="87">
        <f t="shared" si="47"/>
        <v>0</v>
      </c>
      <c r="BE42" s="87">
        <f t="shared" si="48"/>
        <v>0</v>
      </c>
      <c r="BF42" s="87">
        <f t="shared" si="49"/>
        <v>0</v>
      </c>
      <c r="BG42" s="87">
        <f t="shared" si="50"/>
        <v>0</v>
      </c>
      <c r="BH42" s="87">
        <f t="shared" si="51"/>
        <v>0</v>
      </c>
      <c r="BI42" s="87">
        <f t="shared" si="52"/>
        <v>0</v>
      </c>
      <c r="BJ42" s="87">
        <f t="shared" si="53"/>
        <v>0</v>
      </c>
      <c r="BK42" s="87">
        <f t="shared" si="54"/>
        <v>0</v>
      </c>
      <c r="BL42" s="87">
        <f t="shared" si="55"/>
        <v>0</v>
      </c>
      <c r="BM42" s="87">
        <f t="shared" si="56"/>
        <v>0</v>
      </c>
      <c r="BN42" s="87">
        <f t="shared" si="57"/>
        <v>0</v>
      </c>
      <c r="BO42" s="87">
        <f t="shared" si="58"/>
        <v>0</v>
      </c>
      <c r="BP42" s="87">
        <f t="shared" si="59"/>
        <v>0</v>
      </c>
      <c r="BQ42" s="87">
        <f t="shared" si="60"/>
        <v>0</v>
      </c>
      <c r="BR42" s="87">
        <f t="shared" si="61"/>
        <v>0</v>
      </c>
      <c r="BS42" s="87">
        <f t="shared" si="62"/>
        <v>0</v>
      </c>
      <c r="BT42" s="96">
        <f t="shared" si="63"/>
        <v>0</v>
      </c>
    </row>
    <row r="43" spans="1:72">
      <c r="A43" s="84"/>
      <c r="B43" s="1394"/>
      <c r="C43" s="1395"/>
      <c r="D43" s="80"/>
      <c r="E43" s="87">
        <f t="shared" si="35"/>
        <v>0</v>
      </c>
      <c r="F43" s="88"/>
      <c r="G43" s="89">
        <f t="shared" si="36"/>
        <v>0</v>
      </c>
      <c r="H43" s="90">
        <f t="shared" si="37"/>
        <v>0</v>
      </c>
      <c r="I43" s="1397"/>
      <c r="J43" s="91"/>
      <c r="K43" s="1397"/>
      <c r="L43" s="91"/>
      <c r="M43" s="91"/>
      <c r="N43" s="91"/>
      <c r="O43" s="91"/>
      <c r="P43" s="91"/>
      <c r="Q43" s="91"/>
      <c r="R43" s="91"/>
      <c r="S43" s="91"/>
      <c r="T43" s="91"/>
      <c r="U43" s="91"/>
      <c r="V43" s="91"/>
      <c r="W43" s="91"/>
      <c r="X43" s="91"/>
      <c r="Y43" s="91"/>
      <c r="Z43" s="91"/>
      <c r="AA43" s="91"/>
      <c r="AB43" s="91"/>
      <c r="AC43" s="87">
        <f t="shared" si="38"/>
        <v>0</v>
      </c>
      <c r="AD43" s="92"/>
      <c r="AE43" s="92"/>
      <c r="AF43" s="1397"/>
      <c r="AG43" s="92"/>
      <c r="AH43" s="92"/>
      <c r="AI43" s="92"/>
      <c r="AJ43" s="92"/>
      <c r="AK43" s="92"/>
      <c r="AL43" s="92"/>
      <c r="AM43" s="92"/>
      <c r="AN43" s="92"/>
      <c r="AO43" s="92"/>
      <c r="AP43" s="92"/>
      <c r="AQ43" s="92"/>
      <c r="AR43" s="92"/>
      <c r="AS43" s="92"/>
      <c r="AT43" s="93"/>
      <c r="AU43" s="94"/>
      <c r="AV43" s="1980">
        <f t="shared" si="39"/>
        <v>0</v>
      </c>
      <c r="AW43" s="1980">
        <f t="shared" si="40"/>
        <v>0</v>
      </c>
      <c r="AX43" s="1980">
        <f t="shared" si="41"/>
        <v>0</v>
      </c>
      <c r="AY43" s="95">
        <f t="shared" si="42"/>
        <v>0</v>
      </c>
      <c r="AZ43" s="87">
        <f t="shared" si="43"/>
        <v>0</v>
      </c>
      <c r="BA43" s="87">
        <f t="shared" si="44"/>
        <v>0</v>
      </c>
      <c r="BB43" s="87">
        <f t="shared" si="45"/>
        <v>0</v>
      </c>
      <c r="BC43" s="87">
        <f t="shared" si="46"/>
        <v>0</v>
      </c>
      <c r="BD43" s="87">
        <f t="shared" si="47"/>
        <v>0</v>
      </c>
      <c r="BE43" s="87">
        <f t="shared" si="48"/>
        <v>0</v>
      </c>
      <c r="BF43" s="87">
        <f t="shared" si="49"/>
        <v>0</v>
      </c>
      <c r="BG43" s="87">
        <f t="shared" si="50"/>
        <v>0</v>
      </c>
      <c r="BH43" s="87">
        <f t="shared" si="51"/>
        <v>0</v>
      </c>
      <c r="BI43" s="87">
        <f t="shared" si="52"/>
        <v>0</v>
      </c>
      <c r="BJ43" s="87">
        <f t="shared" si="53"/>
        <v>0</v>
      </c>
      <c r="BK43" s="87">
        <f t="shared" si="54"/>
        <v>0</v>
      </c>
      <c r="BL43" s="87">
        <f t="shared" si="55"/>
        <v>0</v>
      </c>
      <c r="BM43" s="87">
        <f t="shared" si="56"/>
        <v>0</v>
      </c>
      <c r="BN43" s="87">
        <f t="shared" si="57"/>
        <v>0</v>
      </c>
      <c r="BO43" s="87">
        <f t="shared" si="58"/>
        <v>0</v>
      </c>
      <c r="BP43" s="87">
        <f t="shared" si="59"/>
        <v>0</v>
      </c>
      <c r="BQ43" s="87">
        <f t="shared" si="60"/>
        <v>0</v>
      </c>
      <c r="BR43" s="87">
        <f t="shared" si="61"/>
        <v>0</v>
      </c>
      <c r="BS43" s="87">
        <f t="shared" si="62"/>
        <v>0</v>
      </c>
      <c r="BT43" s="96">
        <f t="shared" si="63"/>
        <v>0</v>
      </c>
    </row>
    <row r="44" spans="1:72">
      <c r="A44" s="84"/>
      <c r="B44" s="1394"/>
      <c r="C44" s="1395"/>
      <c r="D44" s="80"/>
      <c r="E44" s="87">
        <f t="shared" si="35"/>
        <v>0</v>
      </c>
      <c r="F44" s="88"/>
      <c r="G44" s="89">
        <f t="shared" si="36"/>
        <v>0</v>
      </c>
      <c r="H44" s="90">
        <f t="shared" si="37"/>
        <v>0</v>
      </c>
      <c r="I44" s="1397"/>
      <c r="J44" s="91"/>
      <c r="K44" s="1397"/>
      <c r="L44" s="91"/>
      <c r="M44" s="91"/>
      <c r="N44" s="91"/>
      <c r="O44" s="91"/>
      <c r="P44" s="91"/>
      <c r="Q44" s="91"/>
      <c r="R44" s="91"/>
      <c r="S44" s="91"/>
      <c r="T44" s="91"/>
      <c r="U44" s="91"/>
      <c r="V44" s="91"/>
      <c r="W44" s="91"/>
      <c r="X44" s="91"/>
      <c r="Y44" s="91"/>
      <c r="Z44" s="91"/>
      <c r="AA44" s="91"/>
      <c r="AB44" s="91"/>
      <c r="AC44" s="87">
        <f t="shared" si="38"/>
        <v>0</v>
      </c>
      <c r="AD44" s="92"/>
      <c r="AE44" s="92"/>
      <c r="AF44" s="1397"/>
      <c r="AG44" s="92"/>
      <c r="AH44" s="92"/>
      <c r="AI44" s="92"/>
      <c r="AJ44" s="92"/>
      <c r="AK44" s="92"/>
      <c r="AL44" s="92"/>
      <c r="AM44" s="92"/>
      <c r="AN44" s="92"/>
      <c r="AO44" s="92"/>
      <c r="AP44" s="92"/>
      <c r="AQ44" s="92"/>
      <c r="AR44" s="92"/>
      <c r="AS44" s="92"/>
      <c r="AT44" s="93"/>
      <c r="AU44" s="94"/>
      <c r="AV44" s="1980">
        <f t="shared" si="39"/>
        <v>0</v>
      </c>
      <c r="AW44" s="1980">
        <f t="shared" si="40"/>
        <v>0</v>
      </c>
      <c r="AX44" s="1980">
        <f t="shared" si="41"/>
        <v>0</v>
      </c>
      <c r="AY44" s="95">
        <f t="shared" si="42"/>
        <v>0</v>
      </c>
      <c r="AZ44" s="87">
        <f t="shared" si="43"/>
        <v>0</v>
      </c>
      <c r="BA44" s="87">
        <f t="shared" si="44"/>
        <v>0</v>
      </c>
      <c r="BB44" s="87">
        <f t="shared" si="45"/>
        <v>0</v>
      </c>
      <c r="BC44" s="87">
        <f t="shared" si="46"/>
        <v>0</v>
      </c>
      <c r="BD44" s="87">
        <f t="shared" si="47"/>
        <v>0</v>
      </c>
      <c r="BE44" s="87">
        <f t="shared" si="48"/>
        <v>0</v>
      </c>
      <c r="BF44" s="87">
        <f t="shared" si="49"/>
        <v>0</v>
      </c>
      <c r="BG44" s="87">
        <f t="shared" si="50"/>
        <v>0</v>
      </c>
      <c r="BH44" s="87">
        <f t="shared" si="51"/>
        <v>0</v>
      </c>
      <c r="BI44" s="87">
        <f t="shared" si="52"/>
        <v>0</v>
      </c>
      <c r="BJ44" s="87">
        <f t="shared" si="53"/>
        <v>0</v>
      </c>
      <c r="BK44" s="87">
        <f t="shared" si="54"/>
        <v>0</v>
      </c>
      <c r="BL44" s="87">
        <f t="shared" si="55"/>
        <v>0</v>
      </c>
      <c r="BM44" s="87">
        <f t="shared" si="56"/>
        <v>0</v>
      </c>
      <c r="BN44" s="87">
        <f t="shared" si="57"/>
        <v>0</v>
      </c>
      <c r="BO44" s="87">
        <f t="shared" si="58"/>
        <v>0</v>
      </c>
      <c r="BP44" s="87">
        <f t="shared" si="59"/>
        <v>0</v>
      </c>
      <c r="BQ44" s="87">
        <f t="shared" si="60"/>
        <v>0</v>
      </c>
      <c r="BR44" s="87">
        <f t="shared" si="61"/>
        <v>0</v>
      </c>
      <c r="BS44" s="87">
        <f t="shared" si="62"/>
        <v>0</v>
      </c>
      <c r="BT44" s="96">
        <f t="shared" si="63"/>
        <v>0</v>
      </c>
    </row>
    <row r="45" spans="1:72">
      <c r="A45" s="84"/>
      <c r="B45" s="1394"/>
      <c r="C45" s="1395"/>
      <c r="D45" s="80"/>
      <c r="E45" s="87">
        <f t="shared" si="35"/>
        <v>0</v>
      </c>
      <c r="F45" s="88"/>
      <c r="G45" s="89">
        <f t="shared" si="36"/>
        <v>0</v>
      </c>
      <c r="H45" s="90">
        <f t="shared" si="37"/>
        <v>0</v>
      </c>
      <c r="I45" s="1397"/>
      <c r="J45" s="91"/>
      <c r="K45" s="1397"/>
      <c r="L45" s="91"/>
      <c r="M45" s="91"/>
      <c r="N45" s="91"/>
      <c r="O45" s="91"/>
      <c r="P45" s="91"/>
      <c r="Q45" s="91"/>
      <c r="R45" s="91"/>
      <c r="S45" s="91"/>
      <c r="T45" s="91"/>
      <c r="U45" s="91"/>
      <c r="V45" s="91"/>
      <c r="W45" s="91"/>
      <c r="X45" s="91"/>
      <c r="Y45" s="91"/>
      <c r="Z45" s="91"/>
      <c r="AA45" s="91"/>
      <c r="AB45" s="91"/>
      <c r="AC45" s="87">
        <f t="shared" si="38"/>
        <v>0</v>
      </c>
      <c r="AD45" s="92"/>
      <c r="AE45" s="92"/>
      <c r="AF45" s="1397"/>
      <c r="AG45" s="92"/>
      <c r="AH45" s="92"/>
      <c r="AI45" s="92"/>
      <c r="AJ45" s="92"/>
      <c r="AK45" s="92"/>
      <c r="AL45" s="92"/>
      <c r="AM45" s="92"/>
      <c r="AN45" s="92"/>
      <c r="AO45" s="92"/>
      <c r="AP45" s="92"/>
      <c r="AQ45" s="92"/>
      <c r="AR45" s="92"/>
      <c r="AS45" s="92"/>
      <c r="AT45" s="93"/>
      <c r="AU45" s="94"/>
      <c r="AV45" s="1980">
        <f t="shared" si="39"/>
        <v>0</v>
      </c>
      <c r="AW45" s="1980">
        <f t="shared" si="40"/>
        <v>0</v>
      </c>
      <c r="AX45" s="1980">
        <f t="shared" si="41"/>
        <v>0</v>
      </c>
      <c r="AY45" s="95">
        <f t="shared" si="42"/>
        <v>0</v>
      </c>
      <c r="AZ45" s="87">
        <f t="shared" si="43"/>
        <v>0</v>
      </c>
      <c r="BA45" s="87">
        <f t="shared" si="44"/>
        <v>0</v>
      </c>
      <c r="BB45" s="87">
        <f t="shared" si="45"/>
        <v>0</v>
      </c>
      <c r="BC45" s="87">
        <f t="shared" si="46"/>
        <v>0</v>
      </c>
      <c r="BD45" s="87">
        <f t="shared" si="47"/>
        <v>0</v>
      </c>
      <c r="BE45" s="87">
        <f t="shared" si="48"/>
        <v>0</v>
      </c>
      <c r="BF45" s="87">
        <f t="shared" si="49"/>
        <v>0</v>
      </c>
      <c r="BG45" s="87">
        <f t="shared" si="50"/>
        <v>0</v>
      </c>
      <c r="BH45" s="87">
        <f t="shared" si="51"/>
        <v>0</v>
      </c>
      <c r="BI45" s="87">
        <f t="shared" si="52"/>
        <v>0</v>
      </c>
      <c r="BJ45" s="87">
        <f t="shared" si="53"/>
        <v>0</v>
      </c>
      <c r="BK45" s="87">
        <f t="shared" si="54"/>
        <v>0</v>
      </c>
      <c r="BL45" s="87">
        <f t="shared" si="55"/>
        <v>0</v>
      </c>
      <c r="BM45" s="87">
        <f t="shared" si="56"/>
        <v>0</v>
      </c>
      <c r="BN45" s="87">
        <f t="shared" si="57"/>
        <v>0</v>
      </c>
      <c r="BO45" s="87">
        <f t="shared" si="58"/>
        <v>0</v>
      </c>
      <c r="BP45" s="87">
        <f t="shared" si="59"/>
        <v>0</v>
      </c>
      <c r="BQ45" s="87">
        <f t="shared" si="60"/>
        <v>0</v>
      </c>
      <c r="BR45" s="87">
        <f t="shared" si="61"/>
        <v>0</v>
      </c>
      <c r="BS45" s="87">
        <f t="shared" si="62"/>
        <v>0</v>
      </c>
      <c r="BT45" s="96">
        <f t="shared" si="63"/>
        <v>0</v>
      </c>
    </row>
    <row r="46" spans="1:72">
      <c r="A46" s="84"/>
      <c r="B46" s="1394"/>
      <c r="C46" s="1395"/>
      <c r="D46" s="80"/>
      <c r="E46" s="87">
        <f t="shared" si="35"/>
        <v>0</v>
      </c>
      <c r="F46" s="88"/>
      <c r="G46" s="89">
        <f t="shared" si="36"/>
        <v>0</v>
      </c>
      <c r="H46" s="90">
        <f t="shared" si="37"/>
        <v>0</v>
      </c>
      <c r="I46" s="1397"/>
      <c r="J46" s="91"/>
      <c r="K46" s="1397"/>
      <c r="L46" s="91"/>
      <c r="M46" s="91"/>
      <c r="N46" s="91"/>
      <c r="O46" s="91"/>
      <c r="P46" s="91"/>
      <c r="Q46" s="91"/>
      <c r="R46" s="91"/>
      <c r="S46" s="91"/>
      <c r="T46" s="91"/>
      <c r="U46" s="91"/>
      <c r="V46" s="91"/>
      <c r="W46" s="91"/>
      <c r="X46" s="91"/>
      <c r="Y46" s="91"/>
      <c r="Z46" s="91"/>
      <c r="AA46" s="91"/>
      <c r="AB46" s="91"/>
      <c r="AC46" s="87">
        <f t="shared" si="38"/>
        <v>0</v>
      </c>
      <c r="AD46" s="92"/>
      <c r="AE46" s="92"/>
      <c r="AF46" s="1397"/>
      <c r="AG46" s="92"/>
      <c r="AH46" s="92"/>
      <c r="AI46" s="92"/>
      <c r="AJ46" s="92"/>
      <c r="AK46" s="92"/>
      <c r="AL46" s="92"/>
      <c r="AM46" s="92"/>
      <c r="AN46" s="92"/>
      <c r="AO46" s="92"/>
      <c r="AP46" s="92"/>
      <c r="AQ46" s="92"/>
      <c r="AR46" s="92"/>
      <c r="AS46" s="92"/>
      <c r="AT46" s="93"/>
      <c r="AU46" s="94"/>
      <c r="AV46" s="1980">
        <f t="shared" si="39"/>
        <v>0</v>
      </c>
      <c r="AW46" s="1980">
        <f t="shared" si="40"/>
        <v>0</v>
      </c>
      <c r="AX46" s="1980">
        <f t="shared" si="41"/>
        <v>0</v>
      </c>
      <c r="AY46" s="95">
        <f t="shared" si="42"/>
        <v>0</v>
      </c>
      <c r="AZ46" s="87">
        <f t="shared" si="43"/>
        <v>0</v>
      </c>
      <c r="BA46" s="87">
        <f t="shared" si="44"/>
        <v>0</v>
      </c>
      <c r="BB46" s="87">
        <f t="shared" si="45"/>
        <v>0</v>
      </c>
      <c r="BC46" s="87">
        <f t="shared" si="46"/>
        <v>0</v>
      </c>
      <c r="BD46" s="87">
        <f t="shared" si="47"/>
        <v>0</v>
      </c>
      <c r="BE46" s="87">
        <f t="shared" si="48"/>
        <v>0</v>
      </c>
      <c r="BF46" s="87">
        <f t="shared" si="49"/>
        <v>0</v>
      </c>
      <c r="BG46" s="87">
        <f t="shared" si="50"/>
        <v>0</v>
      </c>
      <c r="BH46" s="87">
        <f t="shared" si="51"/>
        <v>0</v>
      </c>
      <c r="BI46" s="87">
        <f t="shared" si="52"/>
        <v>0</v>
      </c>
      <c r="BJ46" s="87">
        <f t="shared" si="53"/>
        <v>0</v>
      </c>
      <c r="BK46" s="87">
        <f t="shared" si="54"/>
        <v>0</v>
      </c>
      <c r="BL46" s="87">
        <f t="shared" si="55"/>
        <v>0</v>
      </c>
      <c r="BM46" s="87">
        <f t="shared" si="56"/>
        <v>0</v>
      </c>
      <c r="BN46" s="87">
        <f t="shared" si="57"/>
        <v>0</v>
      </c>
      <c r="BO46" s="87">
        <f t="shared" si="58"/>
        <v>0</v>
      </c>
      <c r="BP46" s="87">
        <f t="shared" si="59"/>
        <v>0</v>
      </c>
      <c r="BQ46" s="87">
        <f t="shared" si="60"/>
        <v>0</v>
      </c>
      <c r="BR46" s="87">
        <f t="shared" si="61"/>
        <v>0</v>
      </c>
      <c r="BS46" s="87">
        <f t="shared" si="62"/>
        <v>0</v>
      </c>
      <c r="BT46" s="96">
        <f t="shared" si="63"/>
        <v>0</v>
      </c>
    </row>
    <row r="47" spans="1:72">
      <c r="A47" s="84"/>
      <c r="B47" s="1394"/>
      <c r="C47" s="1395"/>
      <c r="D47" s="80"/>
      <c r="E47" s="87">
        <f t="shared" si="35"/>
        <v>0</v>
      </c>
      <c r="F47" s="88"/>
      <c r="G47" s="89">
        <f t="shared" si="36"/>
        <v>0</v>
      </c>
      <c r="H47" s="90">
        <f t="shared" si="37"/>
        <v>0</v>
      </c>
      <c r="I47" s="1397"/>
      <c r="J47" s="91"/>
      <c r="K47" s="1397"/>
      <c r="L47" s="91"/>
      <c r="M47" s="91"/>
      <c r="N47" s="91"/>
      <c r="O47" s="91"/>
      <c r="P47" s="91"/>
      <c r="Q47" s="91"/>
      <c r="R47" s="91"/>
      <c r="S47" s="91"/>
      <c r="T47" s="91"/>
      <c r="U47" s="91"/>
      <c r="V47" s="91"/>
      <c r="W47" s="91"/>
      <c r="X47" s="91"/>
      <c r="Y47" s="91"/>
      <c r="Z47" s="91"/>
      <c r="AA47" s="91"/>
      <c r="AB47" s="91"/>
      <c r="AC47" s="87">
        <f t="shared" si="38"/>
        <v>0</v>
      </c>
      <c r="AD47" s="92"/>
      <c r="AE47" s="92"/>
      <c r="AF47" s="1395"/>
      <c r="AG47" s="92"/>
      <c r="AH47" s="92"/>
      <c r="AI47" s="92"/>
      <c r="AJ47" s="92"/>
      <c r="AK47" s="92"/>
      <c r="AL47" s="92"/>
      <c r="AM47" s="92"/>
      <c r="AN47" s="92"/>
      <c r="AO47" s="92"/>
      <c r="AP47" s="92"/>
      <c r="AQ47" s="92"/>
      <c r="AR47" s="92"/>
      <c r="AS47" s="92"/>
      <c r="AT47" s="93"/>
      <c r="AU47" s="94"/>
      <c r="AV47" s="1980">
        <f t="shared" si="39"/>
        <v>0</v>
      </c>
      <c r="AW47" s="1980">
        <f t="shared" si="40"/>
        <v>0</v>
      </c>
      <c r="AX47" s="1980">
        <f t="shared" si="41"/>
        <v>0</v>
      </c>
      <c r="AY47" s="95">
        <f t="shared" si="42"/>
        <v>0</v>
      </c>
      <c r="AZ47" s="87">
        <f t="shared" si="43"/>
        <v>0</v>
      </c>
      <c r="BA47" s="87">
        <f t="shared" si="44"/>
        <v>0</v>
      </c>
      <c r="BB47" s="87">
        <f t="shared" si="45"/>
        <v>0</v>
      </c>
      <c r="BC47" s="87">
        <f t="shared" si="46"/>
        <v>0</v>
      </c>
      <c r="BD47" s="87">
        <f t="shared" si="47"/>
        <v>0</v>
      </c>
      <c r="BE47" s="87">
        <f t="shared" si="48"/>
        <v>0</v>
      </c>
      <c r="BF47" s="87">
        <f t="shared" si="49"/>
        <v>0</v>
      </c>
      <c r="BG47" s="87">
        <f t="shared" si="50"/>
        <v>0</v>
      </c>
      <c r="BH47" s="87">
        <f t="shared" si="51"/>
        <v>0</v>
      </c>
      <c r="BI47" s="87">
        <f t="shared" si="52"/>
        <v>0</v>
      </c>
      <c r="BJ47" s="87">
        <f t="shared" si="53"/>
        <v>0</v>
      </c>
      <c r="BK47" s="87">
        <f t="shared" si="54"/>
        <v>0</v>
      </c>
      <c r="BL47" s="87">
        <f t="shared" si="55"/>
        <v>0</v>
      </c>
      <c r="BM47" s="87">
        <f t="shared" si="56"/>
        <v>0</v>
      </c>
      <c r="BN47" s="87">
        <f t="shared" si="57"/>
        <v>0</v>
      </c>
      <c r="BO47" s="87">
        <f t="shared" si="58"/>
        <v>0</v>
      </c>
      <c r="BP47" s="87">
        <f t="shared" si="59"/>
        <v>0</v>
      </c>
      <c r="BQ47" s="87">
        <f t="shared" si="60"/>
        <v>0</v>
      </c>
      <c r="BR47" s="87">
        <f t="shared" si="61"/>
        <v>0</v>
      </c>
      <c r="BS47" s="87">
        <f t="shared" si="62"/>
        <v>0</v>
      </c>
      <c r="BT47" s="96">
        <f t="shared" si="63"/>
        <v>0</v>
      </c>
    </row>
    <row r="48" spans="1:72">
      <c r="A48" s="84"/>
      <c r="B48" s="1394"/>
      <c r="C48" s="1395"/>
      <c r="D48" s="80"/>
      <c r="E48" s="87">
        <f t="shared" si="35"/>
        <v>0</v>
      </c>
      <c r="F48" s="88"/>
      <c r="G48" s="89">
        <f t="shared" si="36"/>
        <v>0</v>
      </c>
      <c r="H48" s="90">
        <f t="shared" si="37"/>
        <v>0</v>
      </c>
      <c r="I48" s="1395"/>
      <c r="J48" s="91"/>
      <c r="K48" s="1395"/>
      <c r="L48" s="91"/>
      <c r="M48" s="91"/>
      <c r="N48" s="91"/>
      <c r="O48" s="91"/>
      <c r="P48" s="91"/>
      <c r="Q48" s="91"/>
      <c r="R48" s="91"/>
      <c r="S48" s="91"/>
      <c r="T48" s="91"/>
      <c r="U48" s="91"/>
      <c r="V48" s="91"/>
      <c r="W48" s="91"/>
      <c r="X48" s="91"/>
      <c r="Y48" s="91"/>
      <c r="Z48" s="91"/>
      <c r="AA48" s="91"/>
      <c r="AB48" s="91"/>
      <c r="AC48" s="87">
        <f t="shared" si="38"/>
        <v>0</v>
      </c>
      <c r="AD48" s="92"/>
      <c r="AE48" s="92"/>
      <c r="AF48" s="1395"/>
      <c r="AG48" s="92"/>
      <c r="AH48" s="92"/>
      <c r="AI48" s="92"/>
      <c r="AJ48" s="92"/>
      <c r="AK48" s="92"/>
      <c r="AL48" s="92"/>
      <c r="AM48" s="92"/>
      <c r="AN48" s="92"/>
      <c r="AO48" s="92"/>
      <c r="AP48" s="92"/>
      <c r="AQ48" s="92"/>
      <c r="AR48" s="92"/>
      <c r="AS48" s="92"/>
      <c r="AT48" s="93"/>
      <c r="AU48" s="94"/>
      <c r="AV48" s="1980">
        <f t="shared" si="39"/>
        <v>0</v>
      </c>
      <c r="AW48" s="1980">
        <f t="shared" si="40"/>
        <v>0</v>
      </c>
      <c r="AX48" s="1980">
        <f t="shared" si="41"/>
        <v>0</v>
      </c>
      <c r="AY48" s="95">
        <f t="shared" si="42"/>
        <v>0</v>
      </c>
      <c r="AZ48" s="87">
        <f t="shared" si="43"/>
        <v>0</v>
      </c>
      <c r="BA48" s="87">
        <f t="shared" si="44"/>
        <v>0</v>
      </c>
      <c r="BB48" s="87">
        <f t="shared" si="45"/>
        <v>0</v>
      </c>
      <c r="BC48" s="87">
        <f t="shared" si="46"/>
        <v>0</v>
      </c>
      <c r="BD48" s="87">
        <f t="shared" si="47"/>
        <v>0</v>
      </c>
      <c r="BE48" s="87">
        <f t="shared" si="48"/>
        <v>0</v>
      </c>
      <c r="BF48" s="87">
        <f t="shared" si="49"/>
        <v>0</v>
      </c>
      <c r="BG48" s="87">
        <f t="shared" si="50"/>
        <v>0</v>
      </c>
      <c r="BH48" s="87">
        <f t="shared" si="51"/>
        <v>0</v>
      </c>
      <c r="BI48" s="87">
        <f t="shared" si="52"/>
        <v>0</v>
      </c>
      <c r="BJ48" s="87">
        <f t="shared" si="53"/>
        <v>0</v>
      </c>
      <c r="BK48" s="87">
        <f t="shared" si="54"/>
        <v>0</v>
      </c>
      <c r="BL48" s="87">
        <f t="shared" si="55"/>
        <v>0</v>
      </c>
      <c r="BM48" s="87">
        <f t="shared" si="56"/>
        <v>0</v>
      </c>
      <c r="BN48" s="87">
        <f t="shared" si="57"/>
        <v>0</v>
      </c>
      <c r="BO48" s="87">
        <f t="shared" si="58"/>
        <v>0</v>
      </c>
      <c r="BP48" s="87">
        <f t="shared" si="59"/>
        <v>0</v>
      </c>
      <c r="BQ48" s="87">
        <f t="shared" si="60"/>
        <v>0</v>
      </c>
      <c r="BR48" s="87">
        <f t="shared" si="61"/>
        <v>0</v>
      </c>
      <c r="BS48" s="87">
        <f t="shared" si="62"/>
        <v>0</v>
      </c>
      <c r="BT48" s="96">
        <f t="shared" si="63"/>
        <v>0</v>
      </c>
    </row>
    <row r="49" spans="1:72">
      <c r="A49" s="84"/>
      <c r="B49" s="1394"/>
      <c r="C49" s="1395"/>
      <c r="D49" s="80"/>
      <c r="E49" s="87">
        <f t="shared" si="35"/>
        <v>0</v>
      </c>
      <c r="F49" s="88"/>
      <c r="G49" s="89">
        <f t="shared" si="36"/>
        <v>0</v>
      </c>
      <c r="H49" s="90">
        <f t="shared" si="37"/>
        <v>0</v>
      </c>
      <c r="I49" s="1395"/>
      <c r="J49" s="91"/>
      <c r="K49" s="1395"/>
      <c r="L49" s="91"/>
      <c r="M49" s="91"/>
      <c r="N49" s="91"/>
      <c r="O49" s="91"/>
      <c r="P49" s="91"/>
      <c r="Q49" s="91"/>
      <c r="R49" s="91"/>
      <c r="S49" s="91"/>
      <c r="T49" s="91"/>
      <c r="U49" s="91"/>
      <c r="V49" s="91"/>
      <c r="W49" s="91"/>
      <c r="X49" s="91"/>
      <c r="Y49" s="91"/>
      <c r="Z49" s="91"/>
      <c r="AA49" s="91"/>
      <c r="AB49" s="91"/>
      <c r="AC49" s="87">
        <f t="shared" si="38"/>
        <v>0</v>
      </c>
      <c r="AD49" s="92"/>
      <c r="AE49" s="92"/>
      <c r="AF49" s="1395"/>
      <c r="AG49" s="92"/>
      <c r="AH49" s="92"/>
      <c r="AI49" s="92"/>
      <c r="AJ49" s="92"/>
      <c r="AK49" s="92"/>
      <c r="AL49" s="92"/>
      <c r="AM49" s="92"/>
      <c r="AN49" s="92"/>
      <c r="AO49" s="92"/>
      <c r="AP49" s="92"/>
      <c r="AQ49" s="92"/>
      <c r="AR49" s="92"/>
      <c r="AS49" s="92"/>
      <c r="AT49" s="93"/>
      <c r="AU49" s="94"/>
      <c r="AV49" s="1980">
        <f t="shared" si="39"/>
        <v>0</v>
      </c>
      <c r="AW49" s="1980">
        <f t="shared" si="40"/>
        <v>0</v>
      </c>
      <c r="AX49" s="1980">
        <f t="shared" si="41"/>
        <v>0</v>
      </c>
      <c r="AY49" s="95">
        <f t="shared" si="42"/>
        <v>0</v>
      </c>
      <c r="AZ49" s="87">
        <f t="shared" si="43"/>
        <v>0</v>
      </c>
      <c r="BA49" s="87">
        <f t="shared" si="44"/>
        <v>0</v>
      </c>
      <c r="BB49" s="87">
        <f t="shared" si="45"/>
        <v>0</v>
      </c>
      <c r="BC49" s="87">
        <f t="shared" si="46"/>
        <v>0</v>
      </c>
      <c r="BD49" s="87">
        <f t="shared" si="47"/>
        <v>0</v>
      </c>
      <c r="BE49" s="87">
        <f t="shared" si="48"/>
        <v>0</v>
      </c>
      <c r="BF49" s="87">
        <f t="shared" si="49"/>
        <v>0</v>
      </c>
      <c r="BG49" s="87">
        <f t="shared" si="50"/>
        <v>0</v>
      </c>
      <c r="BH49" s="87">
        <f t="shared" si="51"/>
        <v>0</v>
      </c>
      <c r="BI49" s="87">
        <f t="shared" si="52"/>
        <v>0</v>
      </c>
      <c r="BJ49" s="87">
        <f t="shared" si="53"/>
        <v>0</v>
      </c>
      <c r="BK49" s="87">
        <f t="shared" si="54"/>
        <v>0</v>
      </c>
      <c r="BL49" s="87">
        <f t="shared" si="55"/>
        <v>0</v>
      </c>
      <c r="BM49" s="87">
        <f t="shared" si="56"/>
        <v>0</v>
      </c>
      <c r="BN49" s="87">
        <f t="shared" si="57"/>
        <v>0</v>
      </c>
      <c r="BO49" s="87">
        <f t="shared" si="58"/>
        <v>0</v>
      </c>
      <c r="BP49" s="87">
        <f t="shared" si="59"/>
        <v>0</v>
      </c>
      <c r="BQ49" s="87">
        <f t="shared" si="60"/>
        <v>0</v>
      </c>
      <c r="BR49" s="87">
        <f t="shared" si="61"/>
        <v>0</v>
      </c>
      <c r="BS49" s="87">
        <f t="shared" si="62"/>
        <v>0</v>
      </c>
      <c r="BT49" s="96">
        <f t="shared" si="63"/>
        <v>0</v>
      </c>
    </row>
    <row r="50" spans="1:72">
      <c r="A50" s="84"/>
      <c r="B50" s="1394"/>
      <c r="C50" s="1395"/>
      <c r="D50" s="80"/>
      <c r="E50" s="87">
        <f t="shared" si="35"/>
        <v>0</v>
      </c>
      <c r="F50" s="88"/>
      <c r="G50" s="89">
        <f t="shared" si="36"/>
        <v>0</v>
      </c>
      <c r="H50" s="90">
        <f t="shared" si="37"/>
        <v>0</v>
      </c>
      <c r="I50" s="1395"/>
      <c r="J50" s="91"/>
      <c r="K50" s="1395"/>
      <c r="L50" s="91"/>
      <c r="M50" s="91"/>
      <c r="N50" s="91"/>
      <c r="O50" s="91"/>
      <c r="P50" s="91"/>
      <c r="Q50" s="91"/>
      <c r="R50" s="91"/>
      <c r="S50" s="91"/>
      <c r="T50" s="91"/>
      <c r="U50" s="91"/>
      <c r="V50" s="91"/>
      <c r="W50" s="91"/>
      <c r="X50" s="91"/>
      <c r="Y50" s="91"/>
      <c r="Z50" s="91"/>
      <c r="AA50" s="91"/>
      <c r="AB50" s="91"/>
      <c r="AC50" s="87">
        <f t="shared" si="38"/>
        <v>0</v>
      </c>
      <c r="AD50" s="92"/>
      <c r="AE50" s="92"/>
      <c r="AF50" s="1395"/>
      <c r="AG50" s="92"/>
      <c r="AH50" s="92"/>
      <c r="AI50" s="92"/>
      <c r="AJ50" s="92"/>
      <c r="AK50" s="92"/>
      <c r="AL50" s="92"/>
      <c r="AM50" s="92"/>
      <c r="AN50" s="92"/>
      <c r="AO50" s="92"/>
      <c r="AP50" s="92"/>
      <c r="AQ50" s="92"/>
      <c r="AR50" s="92"/>
      <c r="AS50" s="92"/>
      <c r="AT50" s="93"/>
      <c r="AU50" s="94"/>
      <c r="AV50" s="1980">
        <f t="shared" si="39"/>
        <v>0</v>
      </c>
      <c r="AW50" s="1980">
        <f t="shared" si="40"/>
        <v>0</v>
      </c>
      <c r="AX50" s="1980">
        <f t="shared" si="41"/>
        <v>0</v>
      </c>
      <c r="AY50" s="95">
        <f t="shared" si="42"/>
        <v>0</v>
      </c>
      <c r="AZ50" s="87">
        <f t="shared" si="43"/>
        <v>0</v>
      </c>
      <c r="BA50" s="87">
        <f t="shared" si="44"/>
        <v>0</v>
      </c>
      <c r="BB50" s="87">
        <f t="shared" si="45"/>
        <v>0</v>
      </c>
      <c r="BC50" s="87">
        <f t="shared" si="46"/>
        <v>0</v>
      </c>
      <c r="BD50" s="87">
        <f t="shared" si="47"/>
        <v>0</v>
      </c>
      <c r="BE50" s="87">
        <f t="shared" si="48"/>
        <v>0</v>
      </c>
      <c r="BF50" s="87">
        <f t="shared" si="49"/>
        <v>0</v>
      </c>
      <c r="BG50" s="87">
        <f t="shared" si="50"/>
        <v>0</v>
      </c>
      <c r="BH50" s="87">
        <f t="shared" si="51"/>
        <v>0</v>
      </c>
      <c r="BI50" s="87">
        <f t="shared" si="52"/>
        <v>0</v>
      </c>
      <c r="BJ50" s="87">
        <f t="shared" si="53"/>
        <v>0</v>
      </c>
      <c r="BK50" s="87">
        <f t="shared" si="54"/>
        <v>0</v>
      </c>
      <c r="BL50" s="87">
        <f t="shared" si="55"/>
        <v>0</v>
      </c>
      <c r="BM50" s="87">
        <f t="shared" si="56"/>
        <v>0</v>
      </c>
      <c r="BN50" s="87">
        <f t="shared" si="57"/>
        <v>0</v>
      </c>
      <c r="BO50" s="87">
        <f t="shared" si="58"/>
        <v>0</v>
      </c>
      <c r="BP50" s="87">
        <f t="shared" si="59"/>
        <v>0</v>
      </c>
      <c r="BQ50" s="87">
        <f t="shared" si="60"/>
        <v>0</v>
      </c>
      <c r="BR50" s="87">
        <f t="shared" si="61"/>
        <v>0</v>
      </c>
      <c r="BS50" s="87">
        <f t="shared" si="62"/>
        <v>0</v>
      </c>
      <c r="BT50" s="96">
        <f t="shared" si="63"/>
        <v>0</v>
      </c>
    </row>
    <row r="51" spans="1:72">
      <c r="A51" s="84"/>
      <c r="B51" s="1394"/>
      <c r="C51" s="1395"/>
      <c r="D51" s="80"/>
      <c r="E51" s="87">
        <f t="shared" si="35"/>
        <v>0</v>
      </c>
      <c r="F51" s="88"/>
      <c r="G51" s="89">
        <f t="shared" si="36"/>
        <v>0</v>
      </c>
      <c r="H51" s="90">
        <f t="shared" si="37"/>
        <v>0</v>
      </c>
      <c r="I51" s="1395"/>
      <c r="J51" s="91"/>
      <c r="K51" s="1395"/>
      <c r="L51" s="91"/>
      <c r="M51" s="91"/>
      <c r="N51" s="91"/>
      <c r="O51" s="91"/>
      <c r="P51" s="91"/>
      <c r="Q51" s="91"/>
      <c r="R51" s="91"/>
      <c r="S51" s="91"/>
      <c r="T51" s="91"/>
      <c r="U51" s="91"/>
      <c r="V51" s="91"/>
      <c r="W51" s="91"/>
      <c r="X51" s="91"/>
      <c r="Y51" s="91"/>
      <c r="Z51" s="91"/>
      <c r="AA51" s="91"/>
      <c r="AB51" s="91"/>
      <c r="AC51" s="87">
        <f t="shared" si="38"/>
        <v>0</v>
      </c>
      <c r="AD51" s="92"/>
      <c r="AE51" s="92"/>
      <c r="AF51" s="1395"/>
      <c r="AG51" s="92"/>
      <c r="AH51" s="92"/>
      <c r="AI51" s="92"/>
      <c r="AJ51" s="92"/>
      <c r="AK51" s="92"/>
      <c r="AL51" s="92"/>
      <c r="AM51" s="92"/>
      <c r="AN51" s="92"/>
      <c r="AO51" s="92"/>
      <c r="AP51" s="92"/>
      <c r="AQ51" s="92"/>
      <c r="AR51" s="92"/>
      <c r="AS51" s="92"/>
      <c r="AT51" s="93"/>
      <c r="AU51" s="94"/>
      <c r="AV51" s="1980">
        <f t="shared" si="39"/>
        <v>0</v>
      </c>
      <c r="AW51" s="1980">
        <f t="shared" si="40"/>
        <v>0</v>
      </c>
      <c r="AX51" s="1980">
        <f t="shared" si="41"/>
        <v>0</v>
      </c>
      <c r="AY51" s="95">
        <f t="shared" si="42"/>
        <v>0</v>
      </c>
      <c r="AZ51" s="87">
        <f t="shared" si="43"/>
        <v>0</v>
      </c>
      <c r="BA51" s="87">
        <f t="shared" si="44"/>
        <v>0</v>
      </c>
      <c r="BB51" s="87">
        <f t="shared" si="45"/>
        <v>0</v>
      </c>
      <c r="BC51" s="87">
        <f t="shared" si="46"/>
        <v>0</v>
      </c>
      <c r="BD51" s="87">
        <f t="shared" si="47"/>
        <v>0</v>
      </c>
      <c r="BE51" s="87">
        <f t="shared" si="48"/>
        <v>0</v>
      </c>
      <c r="BF51" s="87">
        <f t="shared" si="49"/>
        <v>0</v>
      </c>
      <c r="BG51" s="87">
        <f t="shared" si="50"/>
        <v>0</v>
      </c>
      <c r="BH51" s="87">
        <f t="shared" si="51"/>
        <v>0</v>
      </c>
      <c r="BI51" s="87">
        <f t="shared" si="52"/>
        <v>0</v>
      </c>
      <c r="BJ51" s="87">
        <f t="shared" si="53"/>
        <v>0</v>
      </c>
      <c r="BK51" s="87">
        <f t="shared" si="54"/>
        <v>0</v>
      </c>
      <c r="BL51" s="87">
        <f t="shared" si="55"/>
        <v>0</v>
      </c>
      <c r="BM51" s="87">
        <f t="shared" si="56"/>
        <v>0</v>
      </c>
      <c r="BN51" s="87">
        <f t="shared" si="57"/>
        <v>0</v>
      </c>
      <c r="BO51" s="87">
        <f t="shared" si="58"/>
        <v>0</v>
      </c>
      <c r="BP51" s="87">
        <f t="shared" si="59"/>
        <v>0</v>
      </c>
      <c r="BQ51" s="87">
        <f t="shared" si="60"/>
        <v>0</v>
      </c>
      <c r="BR51" s="87">
        <f t="shared" si="61"/>
        <v>0</v>
      </c>
      <c r="BS51" s="87">
        <f t="shared" si="62"/>
        <v>0</v>
      </c>
      <c r="BT51" s="96">
        <f t="shared" si="63"/>
        <v>0</v>
      </c>
    </row>
    <row r="52" spans="1:72">
      <c r="A52" s="84"/>
      <c r="B52" s="1394"/>
      <c r="C52" s="1395"/>
      <c r="D52" s="80"/>
      <c r="E52" s="87">
        <f t="shared" si="35"/>
        <v>0</v>
      </c>
      <c r="F52" s="88"/>
      <c r="G52" s="89">
        <f t="shared" si="36"/>
        <v>0</v>
      </c>
      <c r="H52" s="90">
        <f t="shared" si="37"/>
        <v>0</v>
      </c>
      <c r="I52" s="1395"/>
      <c r="J52" s="91"/>
      <c r="K52" s="1395"/>
      <c r="L52" s="91"/>
      <c r="M52" s="91"/>
      <c r="N52" s="91"/>
      <c r="O52" s="91"/>
      <c r="P52" s="91"/>
      <c r="Q52" s="91"/>
      <c r="R52" s="91"/>
      <c r="S52" s="91"/>
      <c r="T52" s="91"/>
      <c r="U52" s="91"/>
      <c r="V52" s="91"/>
      <c r="W52" s="91"/>
      <c r="X52" s="91"/>
      <c r="Y52" s="91"/>
      <c r="Z52" s="91"/>
      <c r="AA52" s="91"/>
      <c r="AB52" s="91"/>
      <c r="AC52" s="87">
        <f t="shared" si="38"/>
        <v>0</v>
      </c>
      <c r="AD52" s="92"/>
      <c r="AE52" s="92"/>
      <c r="AF52" s="1395"/>
      <c r="AG52" s="92"/>
      <c r="AH52" s="92"/>
      <c r="AI52" s="92"/>
      <c r="AJ52" s="92"/>
      <c r="AK52" s="92"/>
      <c r="AL52" s="92"/>
      <c r="AM52" s="92"/>
      <c r="AN52" s="92"/>
      <c r="AO52" s="92"/>
      <c r="AP52" s="92"/>
      <c r="AQ52" s="92"/>
      <c r="AR52" s="92"/>
      <c r="AS52" s="92"/>
      <c r="AT52" s="93"/>
      <c r="AU52" s="94"/>
      <c r="AV52" s="1980">
        <f t="shared" si="39"/>
        <v>0</v>
      </c>
      <c r="AW52" s="1980">
        <f t="shared" si="40"/>
        <v>0</v>
      </c>
      <c r="AX52" s="1980">
        <f t="shared" si="41"/>
        <v>0</v>
      </c>
      <c r="AY52" s="95">
        <f t="shared" si="42"/>
        <v>0</v>
      </c>
      <c r="AZ52" s="87">
        <f t="shared" si="43"/>
        <v>0</v>
      </c>
      <c r="BA52" s="87">
        <f t="shared" si="44"/>
        <v>0</v>
      </c>
      <c r="BB52" s="87">
        <f t="shared" si="45"/>
        <v>0</v>
      </c>
      <c r="BC52" s="87">
        <f t="shared" si="46"/>
        <v>0</v>
      </c>
      <c r="BD52" s="87">
        <f t="shared" si="47"/>
        <v>0</v>
      </c>
      <c r="BE52" s="87">
        <f t="shared" si="48"/>
        <v>0</v>
      </c>
      <c r="BF52" s="87">
        <f t="shared" si="49"/>
        <v>0</v>
      </c>
      <c r="BG52" s="87">
        <f t="shared" si="50"/>
        <v>0</v>
      </c>
      <c r="BH52" s="87">
        <f t="shared" si="51"/>
        <v>0</v>
      </c>
      <c r="BI52" s="87">
        <f t="shared" si="52"/>
        <v>0</v>
      </c>
      <c r="BJ52" s="87">
        <f t="shared" si="53"/>
        <v>0</v>
      </c>
      <c r="BK52" s="87">
        <f t="shared" si="54"/>
        <v>0</v>
      </c>
      <c r="BL52" s="87">
        <f t="shared" si="55"/>
        <v>0</v>
      </c>
      <c r="BM52" s="87">
        <f t="shared" si="56"/>
        <v>0</v>
      </c>
      <c r="BN52" s="87">
        <f t="shared" si="57"/>
        <v>0</v>
      </c>
      <c r="BO52" s="87">
        <f t="shared" si="58"/>
        <v>0</v>
      </c>
      <c r="BP52" s="87">
        <f t="shared" si="59"/>
        <v>0</v>
      </c>
      <c r="BQ52" s="87">
        <f t="shared" si="60"/>
        <v>0</v>
      </c>
      <c r="BR52" s="87">
        <f t="shared" si="61"/>
        <v>0</v>
      </c>
      <c r="BS52" s="87">
        <f t="shared" si="62"/>
        <v>0</v>
      </c>
      <c r="BT52" s="96">
        <f t="shared" si="63"/>
        <v>0</v>
      </c>
    </row>
    <row r="53" spans="1:72">
      <c r="A53" s="84"/>
      <c r="B53" s="1394"/>
      <c r="C53" s="1395"/>
      <c r="D53" s="80"/>
      <c r="E53" s="87">
        <f t="shared" si="35"/>
        <v>0</v>
      </c>
      <c r="F53" s="88"/>
      <c r="G53" s="89">
        <f t="shared" si="36"/>
        <v>0</v>
      </c>
      <c r="H53" s="90">
        <f t="shared" si="37"/>
        <v>0</v>
      </c>
      <c r="I53" s="1395"/>
      <c r="J53" s="91"/>
      <c r="K53" s="1395"/>
      <c r="L53" s="91"/>
      <c r="M53" s="91"/>
      <c r="N53" s="91"/>
      <c r="O53" s="91"/>
      <c r="P53" s="91"/>
      <c r="Q53" s="91"/>
      <c r="R53" s="91"/>
      <c r="S53" s="91"/>
      <c r="T53" s="91"/>
      <c r="U53" s="91"/>
      <c r="V53" s="91"/>
      <c r="W53" s="91"/>
      <c r="X53" s="91"/>
      <c r="Y53" s="91"/>
      <c r="Z53" s="91"/>
      <c r="AA53" s="91"/>
      <c r="AB53" s="91"/>
      <c r="AC53" s="87">
        <f t="shared" si="38"/>
        <v>0</v>
      </c>
      <c r="AD53" s="92"/>
      <c r="AE53" s="92"/>
      <c r="AF53" s="1395"/>
      <c r="AG53" s="92"/>
      <c r="AH53" s="92"/>
      <c r="AI53" s="92"/>
      <c r="AJ53" s="92"/>
      <c r="AK53" s="92"/>
      <c r="AL53" s="92"/>
      <c r="AM53" s="92"/>
      <c r="AN53" s="92"/>
      <c r="AO53" s="92"/>
      <c r="AP53" s="92"/>
      <c r="AQ53" s="92"/>
      <c r="AR53" s="92"/>
      <c r="AS53" s="92"/>
      <c r="AT53" s="93"/>
      <c r="AU53" s="94"/>
      <c r="AV53" s="1980">
        <f t="shared" si="39"/>
        <v>0</v>
      </c>
      <c r="AW53" s="1980">
        <f t="shared" si="40"/>
        <v>0</v>
      </c>
      <c r="AX53" s="1980">
        <f t="shared" si="41"/>
        <v>0</v>
      </c>
      <c r="AY53" s="95">
        <f t="shared" si="42"/>
        <v>0</v>
      </c>
      <c r="AZ53" s="87">
        <f t="shared" si="43"/>
        <v>0</v>
      </c>
      <c r="BA53" s="87">
        <f t="shared" si="44"/>
        <v>0</v>
      </c>
      <c r="BB53" s="87">
        <f t="shared" si="45"/>
        <v>0</v>
      </c>
      <c r="BC53" s="87">
        <f t="shared" si="46"/>
        <v>0</v>
      </c>
      <c r="BD53" s="87">
        <f t="shared" si="47"/>
        <v>0</v>
      </c>
      <c r="BE53" s="87">
        <f t="shared" si="48"/>
        <v>0</v>
      </c>
      <c r="BF53" s="87">
        <f t="shared" si="49"/>
        <v>0</v>
      </c>
      <c r="BG53" s="87">
        <f t="shared" si="50"/>
        <v>0</v>
      </c>
      <c r="BH53" s="87">
        <f t="shared" si="51"/>
        <v>0</v>
      </c>
      <c r="BI53" s="87">
        <f t="shared" si="52"/>
        <v>0</v>
      </c>
      <c r="BJ53" s="87">
        <f t="shared" si="53"/>
        <v>0</v>
      </c>
      <c r="BK53" s="87">
        <f t="shared" si="54"/>
        <v>0</v>
      </c>
      <c r="BL53" s="87">
        <f t="shared" si="55"/>
        <v>0</v>
      </c>
      <c r="BM53" s="87">
        <f t="shared" si="56"/>
        <v>0</v>
      </c>
      <c r="BN53" s="87">
        <f t="shared" si="57"/>
        <v>0</v>
      </c>
      <c r="BO53" s="87">
        <f t="shared" si="58"/>
        <v>0</v>
      </c>
      <c r="BP53" s="87">
        <f t="shared" si="59"/>
        <v>0</v>
      </c>
      <c r="BQ53" s="87">
        <f t="shared" si="60"/>
        <v>0</v>
      </c>
      <c r="BR53" s="87">
        <f t="shared" si="61"/>
        <v>0</v>
      </c>
      <c r="BS53" s="87">
        <f t="shared" si="62"/>
        <v>0</v>
      </c>
      <c r="BT53" s="96">
        <f t="shared" si="63"/>
        <v>0</v>
      </c>
    </row>
    <row r="54" spans="1:72">
      <c r="A54" s="84"/>
      <c r="B54" s="1394"/>
      <c r="C54" s="1395"/>
      <c r="D54" s="80"/>
      <c r="E54" s="87">
        <f t="shared" si="35"/>
        <v>0</v>
      </c>
      <c r="F54" s="88"/>
      <c r="G54" s="89">
        <f t="shared" si="36"/>
        <v>0</v>
      </c>
      <c r="H54" s="90">
        <f t="shared" si="37"/>
        <v>0</v>
      </c>
      <c r="I54" s="1395"/>
      <c r="J54" s="91"/>
      <c r="K54" s="1395"/>
      <c r="L54" s="91"/>
      <c r="M54" s="91"/>
      <c r="N54" s="91"/>
      <c r="O54" s="91"/>
      <c r="P54" s="91"/>
      <c r="Q54" s="91"/>
      <c r="R54" s="91"/>
      <c r="S54" s="91"/>
      <c r="T54" s="91"/>
      <c r="U54" s="91"/>
      <c r="V54" s="91"/>
      <c r="W54" s="91"/>
      <c r="X54" s="91"/>
      <c r="Y54" s="91"/>
      <c r="Z54" s="91"/>
      <c r="AA54" s="91"/>
      <c r="AB54" s="91"/>
      <c r="AC54" s="87">
        <f t="shared" si="38"/>
        <v>0</v>
      </c>
      <c r="AD54" s="92"/>
      <c r="AE54" s="92"/>
      <c r="AF54" s="1395"/>
      <c r="AG54" s="92"/>
      <c r="AH54" s="92"/>
      <c r="AI54" s="92"/>
      <c r="AJ54" s="92"/>
      <c r="AK54" s="92"/>
      <c r="AL54" s="92"/>
      <c r="AM54" s="92"/>
      <c r="AN54" s="92"/>
      <c r="AO54" s="92"/>
      <c r="AP54" s="92"/>
      <c r="AQ54" s="92"/>
      <c r="AR54" s="92"/>
      <c r="AS54" s="92"/>
      <c r="AT54" s="93"/>
      <c r="AU54" s="94"/>
      <c r="AV54" s="1980">
        <f t="shared" si="39"/>
        <v>0</v>
      </c>
      <c r="AW54" s="1980">
        <f t="shared" si="40"/>
        <v>0</v>
      </c>
      <c r="AX54" s="1980">
        <f t="shared" si="41"/>
        <v>0</v>
      </c>
      <c r="AY54" s="95">
        <f t="shared" si="42"/>
        <v>0</v>
      </c>
      <c r="AZ54" s="87">
        <f t="shared" si="43"/>
        <v>0</v>
      </c>
      <c r="BA54" s="87">
        <f t="shared" si="44"/>
        <v>0</v>
      </c>
      <c r="BB54" s="87">
        <f t="shared" si="45"/>
        <v>0</v>
      </c>
      <c r="BC54" s="87">
        <f t="shared" si="46"/>
        <v>0</v>
      </c>
      <c r="BD54" s="87">
        <f t="shared" si="47"/>
        <v>0</v>
      </c>
      <c r="BE54" s="87">
        <f t="shared" si="48"/>
        <v>0</v>
      </c>
      <c r="BF54" s="87">
        <f t="shared" si="49"/>
        <v>0</v>
      </c>
      <c r="BG54" s="87">
        <f t="shared" si="50"/>
        <v>0</v>
      </c>
      <c r="BH54" s="87">
        <f t="shared" si="51"/>
        <v>0</v>
      </c>
      <c r="BI54" s="87">
        <f t="shared" si="52"/>
        <v>0</v>
      </c>
      <c r="BJ54" s="87">
        <f t="shared" si="53"/>
        <v>0</v>
      </c>
      <c r="BK54" s="87">
        <f t="shared" si="54"/>
        <v>0</v>
      </c>
      <c r="BL54" s="87">
        <f t="shared" si="55"/>
        <v>0</v>
      </c>
      <c r="BM54" s="87">
        <f t="shared" si="56"/>
        <v>0</v>
      </c>
      <c r="BN54" s="87">
        <f t="shared" si="57"/>
        <v>0</v>
      </c>
      <c r="BO54" s="87">
        <f t="shared" si="58"/>
        <v>0</v>
      </c>
      <c r="BP54" s="87">
        <f t="shared" si="59"/>
        <v>0</v>
      </c>
      <c r="BQ54" s="87">
        <f t="shared" si="60"/>
        <v>0</v>
      </c>
      <c r="BR54" s="87">
        <f t="shared" si="61"/>
        <v>0</v>
      </c>
      <c r="BS54" s="87">
        <f t="shared" si="62"/>
        <v>0</v>
      </c>
      <c r="BT54" s="96">
        <f t="shared" si="63"/>
        <v>0</v>
      </c>
    </row>
    <row r="55" spans="1:72">
      <c r="A55" s="84"/>
      <c r="B55" s="1396"/>
      <c r="C55" s="1397"/>
      <c r="D55" s="80"/>
      <c r="E55" s="87">
        <f t="shared" si="35"/>
        <v>0</v>
      </c>
      <c r="F55" s="88"/>
      <c r="G55" s="89">
        <f t="shared" si="36"/>
        <v>0</v>
      </c>
      <c r="H55" s="90">
        <f t="shared" si="37"/>
        <v>0</v>
      </c>
      <c r="I55" s="1395"/>
      <c r="J55" s="91"/>
      <c r="K55" s="1395"/>
      <c r="L55" s="91"/>
      <c r="M55" s="1395"/>
      <c r="N55" s="91"/>
      <c r="O55" s="91"/>
      <c r="P55" s="91"/>
      <c r="Q55" s="91"/>
      <c r="R55" s="91"/>
      <c r="S55" s="91"/>
      <c r="T55" s="91"/>
      <c r="U55" s="91"/>
      <c r="V55" s="91"/>
      <c r="W55" s="91"/>
      <c r="X55" s="91"/>
      <c r="Y55" s="91"/>
      <c r="Z55" s="91"/>
      <c r="AA55" s="91"/>
      <c r="AB55" s="91"/>
      <c r="AC55" s="87">
        <f t="shared" si="38"/>
        <v>0</v>
      </c>
      <c r="AD55" s="92"/>
      <c r="AE55" s="92"/>
      <c r="AF55" s="1395"/>
      <c r="AG55" s="92"/>
      <c r="AH55" s="92"/>
      <c r="AI55" s="92"/>
      <c r="AJ55" s="92"/>
      <c r="AK55" s="92"/>
      <c r="AL55" s="92"/>
      <c r="AM55" s="92"/>
      <c r="AN55" s="92"/>
      <c r="AO55" s="92"/>
      <c r="AP55" s="92"/>
      <c r="AQ55" s="92"/>
      <c r="AR55" s="92"/>
      <c r="AS55" s="92"/>
      <c r="AT55" s="93"/>
      <c r="AU55" s="94"/>
      <c r="AV55" s="1980">
        <f t="shared" si="39"/>
        <v>0</v>
      </c>
      <c r="AW55" s="1980">
        <f t="shared" si="40"/>
        <v>0</v>
      </c>
      <c r="AX55" s="1980">
        <f t="shared" si="41"/>
        <v>0</v>
      </c>
      <c r="AY55" s="95">
        <f t="shared" si="42"/>
        <v>0</v>
      </c>
      <c r="AZ55" s="87">
        <f t="shared" si="43"/>
        <v>0</v>
      </c>
      <c r="BA55" s="87">
        <f t="shared" si="44"/>
        <v>0</v>
      </c>
      <c r="BB55" s="87">
        <f t="shared" si="45"/>
        <v>0</v>
      </c>
      <c r="BC55" s="87">
        <f t="shared" si="46"/>
        <v>0</v>
      </c>
      <c r="BD55" s="87">
        <f t="shared" si="47"/>
        <v>0</v>
      </c>
      <c r="BE55" s="87">
        <f t="shared" si="48"/>
        <v>0</v>
      </c>
      <c r="BF55" s="87">
        <f t="shared" si="49"/>
        <v>0</v>
      </c>
      <c r="BG55" s="87">
        <f t="shared" si="50"/>
        <v>0</v>
      </c>
      <c r="BH55" s="87">
        <f t="shared" si="51"/>
        <v>0</v>
      </c>
      <c r="BI55" s="87">
        <f t="shared" si="52"/>
        <v>0</v>
      </c>
      <c r="BJ55" s="87">
        <f t="shared" si="53"/>
        <v>0</v>
      </c>
      <c r="BK55" s="87">
        <f t="shared" si="54"/>
        <v>0</v>
      </c>
      <c r="BL55" s="87">
        <f t="shared" si="55"/>
        <v>0</v>
      </c>
      <c r="BM55" s="87">
        <f t="shared" si="56"/>
        <v>0</v>
      </c>
      <c r="BN55" s="87">
        <f t="shared" si="57"/>
        <v>0</v>
      </c>
      <c r="BO55" s="87">
        <f t="shared" si="58"/>
        <v>0</v>
      </c>
      <c r="BP55" s="87">
        <f t="shared" si="59"/>
        <v>0</v>
      </c>
      <c r="BQ55" s="87">
        <f t="shared" si="60"/>
        <v>0</v>
      </c>
      <c r="BR55" s="87">
        <f t="shared" si="61"/>
        <v>0</v>
      </c>
      <c r="BS55" s="87">
        <f t="shared" si="62"/>
        <v>0</v>
      </c>
      <c r="BT55" s="96">
        <f t="shared" si="63"/>
        <v>0</v>
      </c>
    </row>
    <row r="56" spans="1:72">
      <c r="A56" s="84"/>
      <c r="B56" s="85"/>
      <c r="C56" s="85"/>
      <c r="D56" s="86"/>
      <c r="E56" s="87">
        <f t="shared" si="35"/>
        <v>0</v>
      </c>
      <c r="F56" s="88"/>
      <c r="G56" s="89">
        <f t="shared" si="36"/>
        <v>0</v>
      </c>
      <c r="H56" s="90">
        <f t="shared" si="37"/>
        <v>0</v>
      </c>
      <c r="I56" s="91"/>
      <c r="J56" s="91"/>
      <c r="K56" s="91"/>
      <c r="L56" s="91"/>
      <c r="M56" s="91"/>
      <c r="N56" s="91"/>
      <c r="O56" s="91"/>
      <c r="P56" s="91"/>
      <c r="Q56" s="91"/>
      <c r="R56" s="91"/>
      <c r="S56" s="91"/>
      <c r="T56" s="91"/>
      <c r="U56" s="91"/>
      <c r="V56" s="91"/>
      <c r="W56" s="91"/>
      <c r="X56" s="91"/>
      <c r="Y56" s="91"/>
      <c r="Z56" s="91"/>
      <c r="AA56" s="91"/>
      <c r="AB56" s="91"/>
      <c r="AC56" s="87">
        <f t="shared" si="38"/>
        <v>0</v>
      </c>
      <c r="AD56" s="92"/>
      <c r="AE56" s="92"/>
      <c r="AF56" s="92"/>
      <c r="AG56" s="92"/>
      <c r="AH56" s="92"/>
      <c r="AI56" s="92"/>
      <c r="AJ56" s="92"/>
      <c r="AK56" s="92"/>
      <c r="AL56" s="92"/>
      <c r="AM56" s="92"/>
      <c r="AN56" s="92"/>
      <c r="AO56" s="92"/>
      <c r="AP56" s="92"/>
      <c r="AQ56" s="92"/>
      <c r="AR56" s="92"/>
      <c r="AS56" s="92"/>
      <c r="AT56" s="93"/>
      <c r="AU56" s="94"/>
      <c r="AV56" s="1980">
        <f t="shared" si="39"/>
        <v>0</v>
      </c>
      <c r="AW56" s="1980">
        <f t="shared" si="40"/>
        <v>0</v>
      </c>
      <c r="AX56" s="1980">
        <f t="shared" si="41"/>
        <v>0</v>
      </c>
      <c r="AY56" s="95">
        <f t="shared" si="42"/>
        <v>0</v>
      </c>
      <c r="AZ56" s="87">
        <f t="shared" si="43"/>
        <v>0</v>
      </c>
      <c r="BA56" s="87">
        <f t="shared" si="44"/>
        <v>0</v>
      </c>
      <c r="BB56" s="87">
        <f t="shared" si="45"/>
        <v>0</v>
      </c>
      <c r="BC56" s="87">
        <f t="shared" si="46"/>
        <v>0</v>
      </c>
      <c r="BD56" s="87">
        <f t="shared" si="47"/>
        <v>0</v>
      </c>
      <c r="BE56" s="87">
        <f t="shared" si="48"/>
        <v>0</v>
      </c>
      <c r="BF56" s="87">
        <f t="shared" si="49"/>
        <v>0</v>
      </c>
      <c r="BG56" s="87">
        <f t="shared" si="50"/>
        <v>0</v>
      </c>
      <c r="BH56" s="87">
        <f t="shared" si="51"/>
        <v>0</v>
      </c>
      <c r="BI56" s="87">
        <f t="shared" si="52"/>
        <v>0</v>
      </c>
      <c r="BJ56" s="87">
        <f t="shared" si="53"/>
        <v>0</v>
      </c>
      <c r="BK56" s="87">
        <f t="shared" si="54"/>
        <v>0</v>
      </c>
      <c r="BL56" s="87">
        <f t="shared" si="55"/>
        <v>0</v>
      </c>
      <c r="BM56" s="87">
        <f t="shared" si="56"/>
        <v>0</v>
      </c>
      <c r="BN56" s="87">
        <f t="shared" si="57"/>
        <v>0</v>
      </c>
      <c r="BO56" s="87">
        <f t="shared" si="58"/>
        <v>0</v>
      </c>
      <c r="BP56" s="87">
        <f t="shared" si="59"/>
        <v>0</v>
      </c>
      <c r="BQ56" s="87">
        <f t="shared" si="60"/>
        <v>0</v>
      </c>
      <c r="BR56" s="87">
        <f t="shared" si="61"/>
        <v>0</v>
      </c>
      <c r="BS56" s="87">
        <f t="shared" si="62"/>
        <v>0</v>
      </c>
      <c r="BT56" s="96">
        <f t="shared" si="63"/>
        <v>0</v>
      </c>
    </row>
    <row r="57" spans="1:72">
      <c r="A57" s="84"/>
      <c r="B57" s="85"/>
      <c r="C57" s="85"/>
      <c r="D57" s="86"/>
      <c r="E57" s="87">
        <f t="shared" si="35"/>
        <v>0</v>
      </c>
      <c r="F57" s="88"/>
      <c r="G57" s="89">
        <f t="shared" si="36"/>
        <v>0</v>
      </c>
      <c r="H57" s="90">
        <f t="shared" si="37"/>
        <v>0</v>
      </c>
      <c r="I57" s="91"/>
      <c r="J57" s="91"/>
      <c r="K57" s="91"/>
      <c r="L57" s="91"/>
      <c r="M57" s="91"/>
      <c r="N57" s="91"/>
      <c r="O57" s="91"/>
      <c r="P57" s="91"/>
      <c r="Q57" s="91"/>
      <c r="R57" s="91"/>
      <c r="S57" s="91"/>
      <c r="T57" s="91"/>
      <c r="U57" s="91"/>
      <c r="V57" s="91"/>
      <c r="W57" s="91"/>
      <c r="X57" s="91"/>
      <c r="Y57" s="91"/>
      <c r="Z57" s="91"/>
      <c r="AA57" s="91"/>
      <c r="AB57" s="91"/>
      <c r="AC57" s="87">
        <f t="shared" si="38"/>
        <v>0</v>
      </c>
      <c r="AD57" s="92"/>
      <c r="AE57" s="92"/>
      <c r="AF57" s="92"/>
      <c r="AG57" s="92"/>
      <c r="AH57" s="92"/>
      <c r="AI57" s="92"/>
      <c r="AJ57" s="92"/>
      <c r="AK57" s="92"/>
      <c r="AL57" s="92"/>
      <c r="AM57" s="92"/>
      <c r="AN57" s="92"/>
      <c r="AO57" s="92"/>
      <c r="AP57" s="92"/>
      <c r="AQ57" s="92"/>
      <c r="AR57" s="92"/>
      <c r="AS57" s="92"/>
      <c r="AT57" s="93"/>
      <c r="AU57" s="94"/>
      <c r="AV57" s="1980">
        <f t="shared" si="39"/>
        <v>0</v>
      </c>
      <c r="AW57" s="1980">
        <f t="shared" si="40"/>
        <v>0</v>
      </c>
      <c r="AX57" s="1980">
        <f t="shared" si="41"/>
        <v>0</v>
      </c>
      <c r="AY57" s="95">
        <f t="shared" si="42"/>
        <v>0</v>
      </c>
      <c r="AZ57" s="87">
        <f t="shared" si="43"/>
        <v>0</v>
      </c>
      <c r="BA57" s="87">
        <f t="shared" si="44"/>
        <v>0</v>
      </c>
      <c r="BB57" s="87">
        <f t="shared" si="45"/>
        <v>0</v>
      </c>
      <c r="BC57" s="87">
        <f t="shared" si="46"/>
        <v>0</v>
      </c>
      <c r="BD57" s="87">
        <f t="shared" si="47"/>
        <v>0</v>
      </c>
      <c r="BE57" s="87">
        <f t="shared" si="48"/>
        <v>0</v>
      </c>
      <c r="BF57" s="87">
        <f t="shared" si="49"/>
        <v>0</v>
      </c>
      <c r="BG57" s="87">
        <f t="shared" si="50"/>
        <v>0</v>
      </c>
      <c r="BH57" s="87">
        <f t="shared" si="51"/>
        <v>0</v>
      </c>
      <c r="BI57" s="87">
        <f t="shared" si="52"/>
        <v>0</v>
      </c>
      <c r="BJ57" s="87">
        <f t="shared" si="53"/>
        <v>0</v>
      </c>
      <c r="BK57" s="87">
        <f t="shared" si="54"/>
        <v>0</v>
      </c>
      <c r="BL57" s="87">
        <f t="shared" si="55"/>
        <v>0</v>
      </c>
      <c r="BM57" s="87">
        <f t="shared" si="56"/>
        <v>0</v>
      </c>
      <c r="BN57" s="87">
        <f t="shared" si="57"/>
        <v>0</v>
      </c>
      <c r="BO57" s="87">
        <f t="shared" si="58"/>
        <v>0</v>
      </c>
      <c r="BP57" s="87">
        <f t="shared" si="59"/>
        <v>0</v>
      </c>
      <c r="BQ57" s="87">
        <f t="shared" si="60"/>
        <v>0</v>
      </c>
      <c r="BR57" s="87">
        <f t="shared" si="61"/>
        <v>0</v>
      </c>
      <c r="BS57" s="87">
        <f t="shared" si="62"/>
        <v>0</v>
      </c>
      <c r="BT57" s="96">
        <f t="shared" si="63"/>
        <v>0</v>
      </c>
    </row>
    <row r="58" spans="1:72">
      <c r="A58" s="84"/>
      <c r="B58" s="85"/>
      <c r="C58" s="85"/>
      <c r="D58" s="86"/>
      <c r="E58" s="87">
        <f t="shared" si="35"/>
        <v>0</v>
      </c>
      <c r="F58" s="88"/>
      <c r="G58" s="89">
        <f t="shared" si="36"/>
        <v>0</v>
      </c>
      <c r="H58" s="90">
        <f t="shared" si="37"/>
        <v>0</v>
      </c>
      <c r="I58" s="91"/>
      <c r="J58" s="91"/>
      <c r="K58" s="91"/>
      <c r="L58" s="91"/>
      <c r="M58" s="91"/>
      <c r="N58" s="91"/>
      <c r="O58" s="91"/>
      <c r="P58" s="91"/>
      <c r="Q58" s="91"/>
      <c r="R58" s="91"/>
      <c r="S58" s="91"/>
      <c r="T58" s="91"/>
      <c r="U58" s="91"/>
      <c r="V58" s="91"/>
      <c r="W58" s="91"/>
      <c r="X58" s="91"/>
      <c r="Y58" s="91"/>
      <c r="Z58" s="91"/>
      <c r="AA58" s="91"/>
      <c r="AB58" s="91"/>
      <c r="AC58" s="87">
        <f t="shared" si="38"/>
        <v>0</v>
      </c>
      <c r="AD58" s="92"/>
      <c r="AE58" s="92"/>
      <c r="AF58" s="92"/>
      <c r="AG58" s="92"/>
      <c r="AH58" s="92"/>
      <c r="AI58" s="92"/>
      <c r="AJ58" s="92"/>
      <c r="AK58" s="92"/>
      <c r="AL58" s="92"/>
      <c r="AM58" s="92"/>
      <c r="AN58" s="92"/>
      <c r="AO58" s="92"/>
      <c r="AP58" s="92"/>
      <c r="AQ58" s="92"/>
      <c r="AR58" s="92"/>
      <c r="AS58" s="92"/>
      <c r="AT58" s="93"/>
      <c r="AU58" s="94"/>
      <c r="AV58" s="1980">
        <f t="shared" si="39"/>
        <v>0</v>
      </c>
      <c r="AW58" s="1980">
        <f t="shared" si="40"/>
        <v>0</v>
      </c>
      <c r="AX58" s="1980">
        <f t="shared" si="41"/>
        <v>0</v>
      </c>
      <c r="AY58" s="95">
        <f t="shared" si="42"/>
        <v>0</v>
      </c>
      <c r="AZ58" s="87">
        <f t="shared" si="43"/>
        <v>0</v>
      </c>
      <c r="BA58" s="87">
        <f t="shared" si="44"/>
        <v>0</v>
      </c>
      <c r="BB58" s="87">
        <f t="shared" si="45"/>
        <v>0</v>
      </c>
      <c r="BC58" s="87">
        <f t="shared" si="46"/>
        <v>0</v>
      </c>
      <c r="BD58" s="87">
        <f t="shared" si="47"/>
        <v>0</v>
      </c>
      <c r="BE58" s="87">
        <f t="shared" si="48"/>
        <v>0</v>
      </c>
      <c r="BF58" s="87">
        <f t="shared" si="49"/>
        <v>0</v>
      </c>
      <c r="BG58" s="87">
        <f t="shared" si="50"/>
        <v>0</v>
      </c>
      <c r="BH58" s="87">
        <f t="shared" si="51"/>
        <v>0</v>
      </c>
      <c r="BI58" s="87">
        <f t="shared" si="52"/>
        <v>0</v>
      </c>
      <c r="BJ58" s="87">
        <f t="shared" si="53"/>
        <v>0</v>
      </c>
      <c r="BK58" s="87">
        <f t="shared" si="54"/>
        <v>0</v>
      </c>
      <c r="BL58" s="87">
        <f t="shared" si="55"/>
        <v>0</v>
      </c>
      <c r="BM58" s="87">
        <f t="shared" si="56"/>
        <v>0</v>
      </c>
      <c r="BN58" s="87">
        <f t="shared" si="57"/>
        <v>0</v>
      </c>
      <c r="BO58" s="87">
        <f t="shared" si="58"/>
        <v>0</v>
      </c>
      <c r="BP58" s="87">
        <f t="shared" si="59"/>
        <v>0</v>
      </c>
      <c r="BQ58" s="87">
        <f t="shared" si="60"/>
        <v>0</v>
      </c>
      <c r="BR58" s="87">
        <f t="shared" si="61"/>
        <v>0</v>
      </c>
      <c r="BS58" s="87">
        <f t="shared" si="62"/>
        <v>0</v>
      </c>
      <c r="BT58" s="96">
        <f t="shared" si="63"/>
        <v>0</v>
      </c>
    </row>
    <row r="59" spans="1:72">
      <c r="A59" s="84"/>
      <c r="B59" s="85"/>
      <c r="C59" s="85"/>
      <c r="D59" s="86"/>
      <c r="E59" s="87">
        <f t="shared" si="35"/>
        <v>0</v>
      </c>
      <c r="F59" s="88"/>
      <c r="G59" s="89">
        <f t="shared" si="36"/>
        <v>0</v>
      </c>
      <c r="H59" s="90">
        <f t="shared" si="37"/>
        <v>0</v>
      </c>
      <c r="I59" s="91"/>
      <c r="J59" s="91"/>
      <c r="K59" s="91"/>
      <c r="L59" s="91"/>
      <c r="M59" s="91"/>
      <c r="N59" s="91"/>
      <c r="O59" s="91"/>
      <c r="P59" s="91"/>
      <c r="Q59" s="91"/>
      <c r="R59" s="91"/>
      <c r="S59" s="91"/>
      <c r="T59" s="91"/>
      <c r="U59" s="91"/>
      <c r="V59" s="91"/>
      <c r="W59" s="91"/>
      <c r="X59" s="91"/>
      <c r="Y59" s="91"/>
      <c r="Z59" s="91"/>
      <c r="AA59" s="91"/>
      <c r="AB59" s="91"/>
      <c r="AC59" s="87">
        <f t="shared" si="38"/>
        <v>0</v>
      </c>
      <c r="AD59" s="92"/>
      <c r="AE59" s="92"/>
      <c r="AF59" s="92"/>
      <c r="AG59" s="92"/>
      <c r="AH59" s="92"/>
      <c r="AI59" s="92"/>
      <c r="AJ59" s="92"/>
      <c r="AK59" s="92"/>
      <c r="AL59" s="92"/>
      <c r="AM59" s="92"/>
      <c r="AN59" s="92"/>
      <c r="AO59" s="92"/>
      <c r="AP59" s="92"/>
      <c r="AQ59" s="92"/>
      <c r="AR59" s="92"/>
      <c r="AS59" s="92"/>
      <c r="AT59" s="93"/>
      <c r="AU59" s="94"/>
      <c r="AV59" s="1980">
        <f t="shared" si="39"/>
        <v>0</v>
      </c>
      <c r="AW59" s="1980">
        <f t="shared" si="40"/>
        <v>0</v>
      </c>
      <c r="AX59" s="1980">
        <f t="shared" si="41"/>
        <v>0</v>
      </c>
      <c r="AY59" s="95">
        <f t="shared" si="42"/>
        <v>0</v>
      </c>
      <c r="AZ59" s="87">
        <f t="shared" si="43"/>
        <v>0</v>
      </c>
      <c r="BA59" s="87">
        <f t="shared" si="44"/>
        <v>0</v>
      </c>
      <c r="BB59" s="87">
        <f t="shared" si="45"/>
        <v>0</v>
      </c>
      <c r="BC59" s="87">
        <f t="shared" si="46"/>
        <v>0</v>
      </c>
      <c r="BD59" s="87">
        <f t="shared" si="47"/>
        <v>0</v>
      </c>
      <c r="BE59" s="87">
        <f t="shared" si="48"/>
        <v>0</v>
      </c>
      <c r="BF59" s="87">
        <f t="shared" si="49"/>
        <v>0</v>
      </c>
      <c r="BG59" s="87">
        <f t="shared" si="50"/>
        <v>0</v>
      </c>
      <c r="BH59" s="87">
        <f t="shared" si="51"/>
        <v>0</v>
      </c>
      <c r="BI59" s="87">
        <f t="shared" si="52"/>
        <v>0</v>
      </c>
      <c r="BJ59" s="87">
        <f t="shared" si="53"/>
        <v>0</v>
      </c>
      <c r="BK59" s="87">
        <f t="shared" si="54"/>
        <v>0</v>
      </c>
      <c r="BL59" s="87">
        <f t="shared" si="55"/>
        <v>0</v>
      </c>
      <c r="BM59" s="87">
        <f t="shared" si="56"/>
        <v>0</v>
      </c>
      <c r="BN59" s="87">
        <f t="shared" si="57"/>
        <v>0</v>
      </c>
      <c r="BO59" s="87">
        <f t="shared" si="58"/>
        <v>0</v>
      </c>
      <c r="BP59" s="87">
        <f t="shared" si="59"/>
        <v>0</v>
      </c>
      <c r="BQ59" s="87">
        <f t="shared" si="60"/>
        <v>0</v>
      </c>
      <c r="BR59" s="87">
        <f t="shared" si="61"/>
        <v>0</v>
      </c>
      <c r="BS59" s="87">
        <f t="shared" si="62"/>
        <v>0</v>
      </c>
      <c r="BT59" s="96">
        <f t="shared" si="63"/>
        <v>0</v>
      </c>
    </row>
    <row r="60" spans="1:72">
      <c r="A60" s="84"/>
      <c r="B60" s="85"/>
      <c r="C60" s="85"/>
      <c r="D60" s="86"/>
      <c r="E60" s="87">
        <f t="shared" si="35"/>
        <v>0</v>
      </c>
      <c r="F60" s="88"/>
      <c r="G60" s="89">
        <f t="shared" si="36"/>
        <v>0</v>
      </c>
      <c r="H60" s="90">
        <f t="shared" si="37"/>
        <v>0</v>
      </c>
      <c r="I60" s="91"/>
      <c r="J60" s="91"/>
      <c r="K60" s="91"/>
      <c r="L60" s="91"/>
      <c r="M60" s="91"/>
      <c r="N60" s="91"/>
      <c r="O60" s="91"/>
      <c r="P60" s="91"/>
      <c r="Q60" s="91"/>
      <c r="R60" s="91"/>
      <c r="S60" s="91"/>
      <c r="T60" s="91"/>
      <c r="U60" s="91"/>
      <c r="V60" s="91"/>
      <c r="W60" s="91"/>
      <c r="X60" s="91"/>
      <c r="Y60" s="91"/>
      <c r="Z60" s="91"/>
      <c r="AA60" s="91"/>
      <c r="AB60" s="91"/>
      <c r="AC60" s="87">
        <f t="shared" si="38"/>
        <v>0</v>
      </c>
      <c r="AD60" s="92"/>
      <c r="AE60" s="92"/>
      <c r="AF60" s="92"/>
      <c r="AG60" s="92"/>
      <c r="AH60" s="92"/>
      <c r="AI60" s="92"/>
      <c r="AJ60" s="92"/>
      <c r="AK60" s="92"/>
      <c r="AL60" s="92"/>
      <c r="AM60" s="92"/>
      <c r="AN60" s="92"/>
      <c r="AO60" s="92"/>
      <c r="AP60" s="92"/>
      <c r="AQ60" s="92"/>
      <c r="AR60" s="92"/>
      <c r="AS60" s="92"/>
      <c r="AT60" s="93"/>
      <c r="AU60" s="94"/>
      <c r="AV60" s="1980">
        <f t="shared" si="39"/>
        <v>0</v>
      </c>
      <c r="AW60" s="1980">
        <f t="shared" si="40"/>
        <v>0</v>
      </c>
      <c r="AX60" s="1980">
        <f t="shared" si="41"/>
        <v>0</v>
      </c>
      <c r="AY60" s="95">
        <f t="shared" si="42"/>
        <v>0</v>
      </c>
      <c r="AZ60" s="87">
        <f t="shared" si="43"/>
        <v>0</v>
      </c>
      <c r="BA60" s="87">
        <f t="shared" si="44"/>
        <v>0</v>
      </c>
      <c r="BB60" s="87">
        <f t="shared" si="45"/>
        <v>0</v>
      </c>
      <c r="BC60" s="87">
        <f t="shared" si="46"/>
        <v>0</v>
      </c>
      <c r="BD60" s="87">
        <f t="shared" si="47"/>
        <v>0</v>
      </c>
      <c r="BE60" s="87">
        <f t="shared" si="48"/>
        <v>0</v>
      </c>
      <c r="BF60" s="87">
        <f t="shared" si="49"/>
        <v>0</v>
      </c>
      <c r="BG60" s="87">
        <f t="shared" si="50"/>
        <v>0</v>
      </c>
      <c r="BH60" s="87">
        <f t="shared" si="51"/>
        <v>0</v>
      </c>
      <c r="BI60" s="87">
        <f t="shared" si="52"/>
        <v>0</v>
      </c>
      <c r="BJ60" s="87">
        <f t="shared" si="53"/>
        <v>0</v>
      </c>
      <c r="BK60" s="87">
        <f t="shared" si="54"/>
        <v>0</v>
      </c>
      <c r="BL60" s="87">
        <f t="shared" si="55"/>
        <v>0</v>
      </c>
      <c r="BM60" s="87">
        <f t="shared" si="56"/>
        <v>0</v>
      </c>
      <c r="BN60" s="87">
        <f t="shared" si="57"/>
        <v>0</v>
      </c>
      <c r="BO60" s="87">
        <f t="shared" si="58"/>
        <v>0</v>
      </c>
      <c r="BP60" s="87">
        <f t="shared" si="59"/>
        <v>0</v>
      </c>
      <c r="BQ60" s="87">
        <f t="shared" si="60"/>
        <v>0</v>
      </c>
      <c r="BR60" s="87">
        <f t="shared" si="61"/>
        <v>0</v>
      </c>
      <c r="BS60" s="87">
        <f t="shared" si="62"/>
        <v>0</v>
      </c>
      <c r="BT60" s="96">
        <f t="shared" si="63"/>
        <v>0</v>
      </c>
    </row>
    <row r="61" spans="1:72">
      <c r="A61" s="84"/>
      <c r="B61" s="85"/>
      <c r="C61" s="85"/>
      <c r="D61" s="86"/>
      <c r="E61" s="87">
        <f t="shared" si="35"/>
        <v>0</v>
      </c>
      <c r="F61" s="88"/>
      <c r="G61" s="89">
        <f t="shared" si="36"/>
        <v>0</v>
      </c>
      <c r="H61" s="90">
        <f t="shared" si="37"/>
        <v>0</v>
      </c>
      <c r="I61" s="91"/>
      <c r="J61" s="91"/>
      <c r="K61" s="91"/>
      <c r="L61" s="91"/>
      <c r="M61" s="91"/>
      <c r="N61" s="91"/>
      <c r="O61" s="91"/>
      <c r="P61" s="91"/>
      <c r="Q61" s="91"/>
      <c r="R61" s="91"/>
      <c r="S61" s="91"/>
      <c r="T61" s="91"/>
      <c r="U61" s="91"/>
      <c r="V61" s="91"/>
      <c r="W61" s="91"/>
      <c r="X61" s="91"/>
      <c r="Y61" s="91"/>
      <c r="Z61" s="91"/>
      <c r="AA61" s="91"/>
      <c r="AB61" s="91"/>
      <c r="AC61" s="87">
        <f t="shared" si="38"/>
        <v>0</v>
      </c>
      <c r="AD61" s="92"/>
      <c r="AE61" s="92"/>
      <c r="AF61" s="92"/>
      <c r="AG61" s="92"/>
      <c r="AH61" s="92"/>
      <c r="AI61" s="92"/>
      <c r="AJ61" s="92"/>
      <c r="AK61" s="92"/>
      <c r="AL61" s="92"/>
      <c r="AM61" s="92"/>
      <c r="AN61" s="92"/>
      <c r="AO61" s="92"/>
      <c r="AP61" s="92"/>
      <c r="AQ61" s="92"/>
      <c r="AR61" s="92"/>
      <c r="AS61" s="92"/>
      <c r="AT61" s="93"/>
      <c r="AU61" s="94"/>
      <c r="AV61" s="1980">
        <f t="shared" si="39"/>
        <v>0</v>
      </c>
      <c r="AW61" s="1980">
        <f t="shared" si="40"/>
        <v>0</v>
      </c>
      <c r="AX61" s="1980">
        <f t="shared" si="41"/>
        <v>0</v>
      </c>
      <c r="AY61" s="95">
        <f t="shared" si="42"/>
        <v>0</v>
      </c>
      <c r="AZ61" s="87">
        <f t="shared" si="43"/>
        <v>0</v>
      </c>
      <c r="BA61" s="87">
        <f t="shared" si="44"/>
        <v>0</v>
      </c>
      <c r="BB61" s="87">
        <f t="shared" si="45"/>
        <v>0</v>
      </c>
      <c r="BC61" s="87">
        <f t="shared" si="46"/>
        <v>0</v>
      </c>
      <c r="BD61" s="87">
        <f t="shared" si="47"/>
        <v>0</v>
      </c>
      <c r="BE61" s="87">
        <f t="shared" si="48"/>
        <v>0</v>
      </c>
      <c r="BF61" s="87">
        <f t="shared" si="49"/>
        <v>0</v>
      </c>
      <c r="BG61" s="87">
        <f t="shared" si="50"/>
        <v>0</v>
      </c>
      <c r="BH61" s="87">
        <f t="shared" si="51"/>
        <v>0</v>
      </c>
      <c r="BI61" s="87">
        <f t="shared" si="52"/>
        <v>0</v>
      </c>
      <c r="BJ61" s="87">
        <f t="shared" si="53"/>
        <v>0</v>
      </c>
      <c r="BK61" s="87">
        <f t="shared" si="54"/>
        <v>0</v>
      </c>
      <c r="BL61" s="87">
        <f t="shared" si="55"/>
        <v>0</v>
      </c>
      <c r="BM61" s="87">
        <f t="shared" si="56"/>
        <v>0</v>
      </c>
      <c r="BN61" s="87">
        <f t="shared" si="57"/>
        <v>0</v>
      </c>
      <c r="BO61" s="87">
        <f t="shared" si="58"/>
        <v>0</v>
      </c>
      <c r="BP61" s="87">
        <f t="shared" si="59"/>
        <v>0</v>
      </c>
      <c r="BQ61" s="87">
        <f t="shared" si="60"/>
        <v>0</v>
      </c>
      <c r="BR61" s="87">
        <f t="shared" si="61"/>
        <v>0</v>
      </c>
      <c r="BS61" s="87">
        <f t="shared" si="62"/>
        <v>0</v>
      </c>
      <c r="BT61" s="96">
        <f t="shared" si="63"/>
        <v>0</v>
      </c>
    </row>
    <row r="62" spans="1:72">
      <c r="A62" s="84"/>
      <c r="B62" s="85"/>
      <c r="C62" s="85"/>
      <c r="D62" s="86"/>
      <c r="E62" s="87">
        <f t="shared" si="35"/>
        <v>0</v>
      </c>
      <c r="F62" s="88"/>
      <c r="G62" s="89">
        <f t="shared" si="36"/>
        <v>0</v>
      </c>
      <c r="H62" s="90">
        <f t="shared" si="37"/>
        <v>0</v>
      </c>
      <c r="I62" s="91"/>
      <c r="J62" s="91"/>
      <c r="K62" s="91"/>
      <c r="L62" s="91"/>
      <c r="M62" s="91"/>
      <c r="N62" s="91"/>
      <c r="O62" s="91"/>
      <c r="P62" s="91"/>
      <c r="Q62" s="91"/>
      <c r="R62" s="91"/>
      <c r="S62" s="91"/>
      <c r="T62" s="91"/>
      <c r="U62" s="91"/>
      <c r="V62" s="91"/>
      <c r="W62" s="91"/>
      <c r="X62" s="91"/>
      <c r="Y62" s="91"/>
      <c r="Z62" s="91"/>
      <c r="AA62" s="91"/>
      <c r="AB62" s="91"/>
      <c r="AC62" s="87">
        <f t="shared" si="38"/>
        <v>0</v>
      </c>
      <c r="AD62" s="92"/>
      <c r="AE62" s="92"/>
      <c r="AF62" s="92"/>
      <c r="AG62" s="92"/>
      <c r="AH62" s="92"/>
      <c r="AI62" s="92"/>
      <c r="AJ62" s="92"/>
      <c r="AK62" s="92"/>
      <c r="AL62" s="92"/>
      <c r="AM62" s="92"/>
      <c r="AN62" s="92"/>
      <c r="AO62" s="92"/>
      <c r="AP62" s="92"/>
      <c r="AQ62" s="92"/>
      <c r="AR62" s="92"/>
      <c r="AS62" s="92"/>
      <c r="AT62" s="93"/>
      <c r="AU62" s="94"/>
      <c r="AV62" s="1980">
        <f t="shared" si="39"/>
        <v>0</v>
      </c>
      <c r="AW62" s="1980">
        <f t="shared" si="40"/>
        <v>0</v>
      </c>
      <c r="AX62" s="1980">
        <f t="shared" si="41"/>
        <v>0</v>
      </c>
      <c r="AY62" s="95">
        <f t="shared" si="42"/>
        <v>0</v>
      </c>
      <c r="AZ62" s="87">
        <f t="shared" si="43"/>
        <v>0</v>
      </c>
      <c r="BA62" s="87">
        <f t="shared" si="44"/>
        <v>0</v>
      </c>
      <c r="BB62" s="87">
        <f t="shared" si="45"/>
        <v>0</v>
      </c>
      <c r="BC62" s="87">
        <f t="shared" si="46"/>
        <v>0</v>
      </c>
      <c r="BD62" s="87">
        <f t="shared" si="47"/>
        <v>0</v>
      </c>
      <c r="BE62" s="87">
        <f t="shared" si="48"/>
        <v>0</v>
      </c>
      <c r="BF62" s="87">
        <f t="shared" si="49"/>
        <v>0</v>
      </c>
      <c r="BG62" s="87">
        <f t="shared" si="50"/>
        <v>0</v>
      </c>
      <c r="BH62" s="87">
        <f t="shared" si="51"/>
        <v>0</v>
      </c>
      <c r="BI62" s="87">
        <f t="shared" si="52"/>
        <v>0</v>
      </c>
      <c r="BJ62" s="87">
        <f t="shared" si="53"/>
        <v>0</v>
      </c>
      <c r="BK62" s="87">
        <f t="shared" si="54"/>
        <v>0</v>
      </c>
      <c r="BL62" s="87">
        <f t="shared" si="55"/>
        <v>0</v>
      </c>
      <c r="BM62" s="87">
        <f t="shared" si="56"/>
        <v>0</v>
      </c>
      <c r="BN62" s="87">
        <f t="shared" si="57"/>
        <v>0</v>
      </c>
      <c r="BO62" s="87">
        <f t="shared" si="58"/>
        <v>0</v>
      </c>
      <c r="BP62" s="87">
        <f t="shared" si="59"/>
        <v>0</v>
      </c>
      <c r="BQ62" s="87">
        <f t="shared" si="60"/>
        <v>0</v>
      </c>
      <c r="BR62" s="87">
        <f t="shared" si="61"/>
        <v>0</v>
      </c>
      <c r="BS62" s="87">
        <f t="shared" si="62"/>
        <v>0</v>
      </c>
      <c r="BT62" s="96">
        <f t="shared" si="63"/>
        <v>0</v>
      </c>
    </row>
    <row r="63" spans="1:72">
      <c r="A63" s="84"/>
      <c r="B63" s="85"/>
      <c r="C63" s="85"/>
      <c r="D63" s="86"/>
      <c r="E63" s="87">
        <f t="shared" si="35"/>
        <v>0</v>
      </c>
      <c r="F63" s="88"/>
      <c r="G63" s="89">
        <f t="shared" si="36"/>
        <v>0</v>
      </c>
      <c r="H63" s="90">
        <f t="shared" si="37"/>
        <v>0</v>
      </c>
      <c r="I63" s="91"/>
      <c r="J63" s="91"/>
      <c r="K63" s="91"/>
      <c r="L63" s="91"/>
      <c r="M63" s="91"/>
      <c r="N63" s="91"/>
      <c r="O63" s="91"/>
      <c r="P63" s="91"/>
      <c r="Q63" s="91"/>
      <c r="R63" s="91"/>
      <c r="S63" s="91"/>
      <c r="T63" s="91"/>
      <c r="U63" s="91"/>
      <c r="V63" s="91"/>
      <c r="W63" s="91"/>
      <c r="X63" s="91"/>
      <c r="Y63" s="91"/>
      <c r="Z63" s="91"/>
      <c r="AA63" s="91"/>
      <c r="AB63" s="91"/>
      <c r="AC63" s="87">
        <f t="shared" si="38"/>
        <v>0</v>
      </c>
      <c r="AD63" s="92"/>
      <c r="AE63" s="92"/>
      <c r="AF63" s="92"/>
      <c r="AG63" s="92"/>
      <c r="AH63" s="92"/>
      <c r="AI63" s="92"/>
      <c r="AJ63" s="92"/>
      <c r="AK63" s="92"/>
      <c r="AL63" s="92"/>
      <c r="AM63" s="92"/>
      <c r="AN63" s="92"/>
      <c r="AO63" s="92"/>
      <c r="AP63" s="92"/>
      <c r="AQ63" s="92"/>
      <c r="AR63" s="92"/>
      <c r="AS63" s="92"/>
      <c r="AT63" s="93"/>
      <c r="AU63" s="94"/>
      <c r="AV63" s="1980">
        <f t="shared" si="39"/>
        <v>0</v>
      </c>
      <c r="AW63" s="1980">
        <f t="shared" si="40"/>
        <v>0</v>
      </c>
      <c r="AX63" s="1980">
        <f t="shared" si="41"/>
        <v>0</v>
      </c>
      <c r="AY63" s="95">
        <f t="shared" si="42"/>
        <v>0</v>
      </c>
      <c r="AZ63" s="87">
        <f t="shared" si="43"/>
        <v>0</v>
      </c>
      <c r="BA63" s="87">
        <f t="shared" si="44"/>
        <v>0</v>
      </c>
      <c r="BB63" s="87">
        <f t="shared" si="45"/>
        <v>0</v>
      </c>
      <c r="BC63" s="87">
        <f t="shared" si="46"/>
        <v>0</v>
      </c>
      <c r="BD63" s="87">
        <f t="shared" si="47"/>
        <v>0</v>
      </c>
      <c r="BE63" s="87">
        <f t="shared" si="48"/>
        <v>0</v>
      </c>
      <c r="BF63" s="87">
        <f t="shared" si="49"/>
        <v>0</v>
      </c>
      <c r="BG63" s="87">
        <f t="shared" si="50"/>
        <v>0</v>
      </c>
      <c r="BH63" s="87">
        <f t="shared" si="51"/>
        <v>0</v>
      </c>
      <c r="BI63" s="87">
        <f t="shared" si="52"/>
        <v>0</v>
      </c>
      <c r="BJ63" s="87">
        <f t="shared" si="53"/>
        <v>0</v>
      </c>
      <c r="BK63" s="87">
        <f t="shared" si="54"/>
        <v>0</v>
      </c>
      <c r="BL63" s="87">
        <f t="shared" si="55"/>
        <v>0</v>
      </c>
      <c r="BM63" s="87">
        <f t="shared" si="56"/>
        <v>0</v>
      </c>
      <c r="BN63" s="87">
        <f t="shared" si="57"/>
        <v>0</v>
      </c>
      <c r="BO63" s="87">
        <f t="shared" si="58"/>
        <v>0</v>
      </c>
      <c r="BP63" s="87">
        <f t="shared" si="59"/>
        <v>0</v>
      </c>
      <c r="BQ63" s="87">
        <f t="shared" si="60"/>
        <v>0</v>
      </c>
      <c r="BR63" s="87">
        <f t="shared" si="61"/>
        <v>0</v>
      </c>
      <c r="BS63" s="87">
        <f t="shared" si="62"/>
        <v>0</v>
      </c>
      <c r="BT63" s="96">
        <f t="shared" si="63"/>
        <v>0</v>
      </c>
    </row>
    <row r="64" spans="1:72">
      <c r="A64" s="84"/>
      <c r="B64" s="85"/>
      <c r="C64" s="85"/>
      <c r="D64" s="86"/>
      <c r="E64" s="87">
        <f t="shared" si="35"/>
        <v>0</v>
      </c>
      <c r="F64" s="88"/>
      <c r="G64" s="89">
        <f t="shared" si="36"/>
        <v>0</v>
      </c>
      <c r="H64" s="90">
        <f t="shared" si="37"/>
        <v>0</v>
      </c>
      <c r="I64" s="91"/>
      <c r="J64" s="91"/>
      <c r="K64" s="91"/>
      <c r="L64" s="91"/>
      <c r="M64" s="91"/>
      <c r="N64" s="91"/>
      <c r="O64" s="91"/>
      <c r="P64" s="91"/>
      <c r="Q64" s="91"/>
      <c r="R64" s="91"/>
      <c r="S64" s="91"/>
      <c r="T64" s="91"/>
      <c r="U64" s="91"/>
      <c r="V64" s="91"/>
      <c r="W64" s="91"/>
      <c r="X64" s="91"/>
      <c r="Y64" s="91"/>
      <c r="Z64" s="91"/>
      <c r="AA64" s="91"/>
      <c r="AB64" s="91"/>
      <c r="AC64" s="87">
        <f t="shared" si="38"/>
        <v>0</v>
      </c>
      <c r="AD64" s="92"/>
      <c r="AE64" s="92"/>
      <c r="AF64" s="92"/>
      <c r="AG64" s="92"/>
      <c r="AH64" s="92"/>
      <c r="AI64" s="92"/>
      <c r="AJ64" s="92"/>
      <c r="AK64" s="92"/>
      <c r="AL64" s="92"/>
      <c r="AM64" s="92"/>
      <c r="AN64" s="92"/>
      <c r="AO64" s="92"/>
      <c r="AP64" s="92"/>
      <c r="AQ64" s="92"/>
      <c r="AR64" s="92"/>
      <c r="AS64" s="92"/>
      <c r="AT64" s="93"/>
      <c r="AU64" s="94"/>
      <c r="AV64" s="1980">
        <f t="shared" si="39"/>
        <v>0</v>
      </c>
      <c r="AW64" s="1980">
        <f t="shared" si="40"/>
        <v>0</v>
      </c>
      <c r="AX64" s="1980">
        <f t="shared" si="41"/>
        <v>0</v>
      </c>
      <c r="AY64" s="95">
        <f t="shared" si="42"/>
        <v>0</v>
      </c>
      <c r="AZ64" s="87">
        <f t="shared" si="43"/>
        <v>0</v>
      </c>
      <c r="BA64" s="87">
        <f t="shared" si="44"/>
        <v>0</v>
      </c>
      <c r="BB64" s="87">
        <f t="shared" si="45"/>
        <v>0</v>
      </c>
      <c r="BC64" s="87">
        <f t="shared" si="46"/>
        <v>0</v>
      </c>
      <c r="BD64" s="87">
        <f t="shared" si="47"/>
        <v>0</v>
      </c>
      <c r="BE64" s="87">
        <f t="shared" si="48"/>
        <v>0</v>
      </c>
      <c r="BF64" s="87">
        <f t="shared" si="49"/>
        <v>0</v>
      </c>
      <c r="BG64" s="87">
        <f t="shared" si="50"/>
        <v>0</v>
      </c>
      <c r="BH64" s="87">
        <f t="shared" si="51"/>
        <v>0</v>
      </c>
      <c r="BI64" s="87">
        <f t="shared" si="52"/>
        <v>0</v>
      </c>
      <c r="BJ64" s="87">
        <f t="shared" si="53"/>
        <v>0</v>
      </c>
      <c r="BK64" s="87">
        <f t="shared" si="54"/>
        <v>0</v>
      </c>
      <c r="BL64" s="87">
        <f t="shared" si="55"/>
        <v>0</v>
      </c>
      <c r="BM64" s="87">
        <f t="shared" si="56"/>
        <v>0</v>
      </c>
      <c r="BN64" s="87">
        <f t="shared" si="57"/>
        <v>0</v>
      </c>
      <c r="BO64" s="87">
        <f t="shared" si="58"/>
        <v>0</v>
      </c>
      <c r="BP64" s="87">
        <f t="shared" si="59"/>
        <v>0</v>
      </c>
      <c r="BQ64" s="87">
        <f t="shared" si="60"/>
        <v>0</v>
      </c>
      <c r="BR64" s="87">
        <f t="shared" si="61"/>
        <v>0</v>
      </c>
      <c r="BS64" s="87">
        <f t="shared" si="62"/>
        <v>0</v>
      </c>
      <c r="BT64" s="96">
        <f t="shared" si="63"/>
        <v>0</v>
      </c>
    </row>
    <row r="65" spans="1:72">
      <c r="A65" s="84"/>
      <c r="B65" s="85"/>
      <c r="C65" s="85"/>
      <c r="D65" s="86"/>
      <c r="E65" s="87">
        <f t="shared" si="35"/>
        <v>0</v>
      </c>
      <c r="F65" s="88"/>
      <c r="G65" s="89">
        <f t="shared" si="36"/>
        <v>0</v>
      </c>
      <c r="H65" s="90">
        <f t="shared" si="37"/>
        <v>0</v>
      </c>
      <c r="I65" s="91"/>
      <c r="J65" s="91"/>
      <c r="K65" s="91"/>
      <c r="L65" s="91"/>
      <c r="M65" s="91"/>
      <c r="N65" s="91"/>
      <c r="O65" s="91"/>
      <c r="P65" s="91"/>
      <c r="Q65" s="91"/>
      <c r="R65" s="91"/>
      <c r="S65" s="91"/>
      <c r="T65" s="91"/>
      <c r="U65" s="91"/>
      <c r="V65" s="91"/>
      <c r="W65" s="91"/>
      <c r="X65" s="91"/>
      <c r="Y65" s="91"/>
      <c r="Z65" s="91"/>
      <c r="AA65" s="91"/>
      <c r="AB65" s="91"/>
      <c r="AC65" s="87">
        <f t="shared" si="38"/>
        <v>0</v>
      </c>
      <c r="AD65" s="92"/>
      <c r="AE65" s="92"/>
      <c r="AF65" s="92"/>
      <c r="AG65" s="92"/>
      <c r="AH65" s="92"/>
      <c r="AI65" s="92"/>
      <c r="AJ65" s="92"/>
      <c r="AK65" s="92"/>
      <c r="AL65" s="92"/>
      <c r="AM65" s="92"/>
      <c r="AN65" s="92"/>
      <c r="AO65" s="92"/>
      <c r="AP65" s="92"/>
      <c r="AQ65" s="92"/>
      <c r="AR65" s="92"/>
      <c r="AS65" s="92"/>
      <c r="AT65" s="93"/>
      <c r="AU65" s="94"/>
      <c r="AV65" s="1980">
        <f t="shared" si="39"/>
        <v>0</v>
      </c>
      <c r="AW65" s="1980">
        <f t="shared" si="40"/>
        <v>0</v>
      </c>
      <c r="AX65" s="1980">
        <f t="shared" si="41"/>
        <v>0</v>
      </c>
      <c r="AY65" s="95">
        <f t="shared" si="42"/>
        <v>0</v>
      </c>
      <c r="AZ65" s="87">
        <f t="shared" si="43"/>
        <v>0</v>
      </c>
      <c r="BA65" s="87">
        <f t="shared" si="44"/>
        <v>0</v>
      </c>
      <c r="BB65" s="87">
        <f t="shared" si="45"/>
        <v>0</v>
      </c>
      <c r="BC65" s="87">
        <f t="shared" si="46"/>
        <v>0</v>
      </c>
      <c r="BD65" s="87">
        <f t="shared" si="47"/>
        <v>0</v>
      </c>
      <c r="BE65" s="87">
        <f t="shared" si="48"/>
        <v>0</v>
      </c>
      <c r="BF65" s="87">
        <f t="shared" si="49"/>
        <v>0</v>
      </c>
      <c r="BG65" s="87">
        <f t="shared" si="50"/>
        <v>0</v>
      </c>
      <c r="BH65" s="87">
        <f t="shared" si="51"/>
        <v>0</v>
      </c>
      <c r="BI65" s="87">
        <f t="shared" si="52"/>
        <v>0</v>
      </c>
      <c r="BJ65" s="87">
        <f t="shared" si="53"/>
        <v>0</v>
      </c>
      <c r="BK65" s="87">
        <f t="shared" si="54"/>
        <v>0</v>
      </c>
      <c r="BL65" s="87">
        <f t="shared" si="55"/>
        <v>0</v>
      </c>
      <c r="BM65" s="87">
        <f t="shared" si="56"/>
        <v>0</v>
      </c>
      <c r="BN65" s="87">
        <f t="shared" si="57"/>
        <v>0</v>
      </c>
      <c r="BO65" s="87">
        <f t="shared" si="58"/>
        <v>0</v>
      </c>
      <c r="BP65" s="87">
        <f t="shared" si="59"/>
        <v>0</v>
      </c>
      <c r="BQ65" s="87">
        <f t="shared" si="60"/>
        <v>0</v>
      </c>
      <c r="BR65" s="87">
        <f t="shared" si="61"/>
        <v>0</v>
      </c>
      <c r="BS65" s="87">
        <f t="shared" si="62"/>
        <v>0</v>
      </c>
      <c r="BT65" s="96">
        <f t="shared" si="63"/>
        <v>0</v>
      </c>
    </row>
    <row r="66" spans="1:72">
      <c r="A66" s="84"/>
      <c r="B66" s="85"/>
      <c r="C66" s="85"/>
      <c r="D66" s="86"/>
      <c r="E66" s="87">
        <f t="shared" si="35"/>
        <v>0</v>
      </c>
      <c r="F66" s="88"/>
      <c r="G66" s="89">
        <f t="shared" si="36"/>
        <v>0</v>
      </c>
      <c r="H66" s="90">
        <f t="shared" si="37"/>
        <v>0</v>
      </c>
      <c r="I66" s="91"/>
      <c r="J66" s="91"/>
      <c r="K66" s="91"/>
      <c r="L66" s="91"/>
      <c r="M66" s="91"/>
      <c r="N66" s="91"/>
      <c r="O66" s="91"/>
      <c r="P66" s="91"/>
      <c r="Q66" s="91"/>
      <c r="R66" s="91"/>
      <c r="S66" s="91"/>
      <c r="T66" s="91"/>
      <c r="U66" s="91"/>
      <c r="V66" s="91"/>
      <c r="W66" s="91"/>
      <c r="X66" s="91"/>
      <c r="Y66" s="91"/>
      <c r="Z66" s="91"/>
      <c r="AA66" s="91"/>
      <c r="AB66" s="91"/>
      <c r="AC66" s="87">
        <f t="shared" si="38"/>
        <v>0</v>
      </c>
      <c r="AD66" s="92"/>
      <c r="AE66" s="92"/>
      <c r="AF66" s="92"/>
      <c r="AG66" s="92"/>
      <c r="AH66" s="92"/>
      <c r="AI66" s="92"/>
      <c r="AJ66" s="92"/>
      <c r="AK66" s="92"/>
      <c r="AL66" s="92"/>
      <c r="AM66" s="92"/>
      <c r="AN66" s="92"/>
      <c r="AO66" s="92"/>
      <c r="AP66" s="92"/>
      <c r="AQ66" s="92"/>
      <c r="AR66" s="92"/>
      <c r="AS66" s="92"/>
      <c r="AT66" s="93"/>
      <c r="AU66" s="94"/>
      <c r="AV66" s="1980">
        <f t="shared" si="39"/>
        <v>0</v>
      </c>
      <c r="AW66" s="1980">
        <f t="shared" si="40"/>
        <v>0</v>
      </c>
      <c r="AX66" s="1980">
        <f t="shared" si="41"/>
        <v>0</v>
      </c>
      <c r="AY66" s="95">
        <f t="shared" si="42"/>
        <v>0</v>
      </c>
      <c r="AZ66" s="87">
        <f t="shared" si="43"/>
        <v>0</v>
      </c>
      <c r="BA66" s="87">
        <f t="shared" si="44"/>
        <v>0</v>
      </c>
      <c r="BB66" s="87">
        <f t="shared" si="45"/>
        <v>0</v>
      </c>
      <c r="BC66" s="87">
        <f t="shared" si="46"/>
        <v>0</v>
      </c>
      <c r="BD66" s="87">
        <f t="shared" si="47"/>
        <v>0</v>
      </c>
      <c r="BE66" s="87">
        <f t="shared" si="48"/>
        <v>0</v>
      </c>
      <c r="BF66" s="87">
        <f t="shared" si="49"/>
        <v>0</v>
      </c>
      <c r="BG66" s="87">
        <f t="shared" si="50"/>
        <v>0</v>
      </c>
      <c r="BH66" s="87">
        <f t="shared" si="51"/>
        <v>0</v>
      </c>
      <c r="BI66" s="87">
        <f t="shared" si="52"/>
        <v>0</v>
      </c>
      <c r="BJ66" s="87">
        <f t="shared" si="53"/>
        <v>0</v>
      </c>
      <c r="BK66" s="87">
        <f t="shared" si="54"/>
        <v>0</v>
      </c>
      <c r="BL66" s="87">
        <f t="shared" si="55"/>
        <v>0</v>
      </c>
      <c r="BM66" s="87">
        <f t="shared" si="56"/>
        <v>0</v>
      </c>
      <c r="BN66" s="87">
        <f t="shared" si="57"/>
        <v>0</v>
      </c>
      <c r="BO66" s="87">
        <f t="shared" si="58"/>
        <v>0</v>
      </c>
      <c r="BP66" s="87">
        <f t="shared" si="59"/>
        <v>0</v>
      </c>
      <c r="BQ66" s="87">
        <f t="shared" si="60"/>
        <v>0</v>
      </c>
      <c r="BR66" s="87">
        <f t="shared" si="61"/>
        <v>0</v>
      </c>
      <c r="BS66" s="87">
        <f t="shared" si="62"/>
        <v>0</v>
      </c>
      <c r="BT66" s="96">
        <f t="shared" si="63"/>
        <v>0</v>
      </c>
    </row>
    <row r="67" spans="1:72">
      <c r="A67" s="84"/>
      <c r="B67" s="85"/>
      <c r="C67" s="85"/>
      <c r="D67" s="86"/>
      <c r="E67" s="87">
        <f t="shared" si="35"/>
        <v>0</v>
      </c>
      <c r="F67" s="88"/>
      <c r="G67" s="89">
        <f t="shared" si="36"/>
        <v>0</v>
      </c>
      <c r="H67" s="90">
        <f t="shared" si="37"/>
        <v>0</v>
      </c>
      <c r="I67" s="91"/>
      <c r="J67" s="91"/>
      <c r="K67" s="91"/>
      <c r="L67" s="91"/>
      <c r="M67" s="91"/>
      <c r="N67" s="91"/>
      <c r="O67" s="91"/>
      <c r="P67" s="91"/>
      <c r="Q67" s="91"/>
      <c r="R67" s="91"/>
      <c r="S67" s="91"/>
      <c r="T67" s="91"/>
      <c r="U67" s="91"/>
      <c r="V67" s="91"/>
      <c r="W67" s="91"/>
      <c r="X67" s="91"/>
      <c r="Y67" s="91"/>
      <c r="Z67" s="91"/>
      <c r="AA67" s="91"/>
      <c r="AB67" s="91"/>
      <c r="AC67" s="87">
        <f t="shared" si="38"/>
        <v>0</v>
      </c>
      <c r="AD67" s="92"/>
      <c r="AE67" s="92"/>
      <c r="AF67" s="92"/>
      <c r="AG67" s="92"/>
      <c r="AH67" s="92"/>
      <c r="AI67" s="92"/>
      <c r="AJ67" s="92"/>
      <c r="AK67" s="92"/>
      <c r="AL67" s="92"/>
      <c r="AM67" s="92"/>
      <c r="AN67" s="92"/>
      <c r="AO67" s="92"/>
      <c r="AP67" s="92"/>
      <c r="AQ67" s="92"/>
      <c r="AR67" s="92"/>
      <c r="AS67" s="92"/>
      <c r="AT67" s="93"/>
      <c r="AU67" s="94"/>
      <c r="AV67" s="1980">
        <f t="shared" si="39"/>
        <v>0</v>
      </c>
      <c r="AW67" s="1980">
        <f t="shared" si="40"/>
        <v>0</v>
      </c>
      <c r="AX67" s="1980">
        <f t="shared" si="41"/>
        <v>0</v>
      </c>
      <c r="AY67" s="95">
        <f t="shared" si="42"/>
        <v>0</v>
      </c>
      <c r="AZ67" s="87">
        <f t="shared" si="43"/>
        <v>0</v>
      </c>
      <c r="BA67" s="87">
        <f t="shared" si="44"/>
        <v>0</v>
      </c>
      <c r="BB67" s="87">
        <f t="shared" si="45"/>
        <v>0</v>
      </c>
      <c r="BC67" s="87">
        <f t="shared" si="46"/>
        <v>0</v>
      </c>
      <c r="BD67" s="87">
        <f t="shared" si="47"/>
        <v>0</v>
      </c>
      <c r="BE67" s="87">
        <f t="shared" si="48"/>
        <v>0</v>
      </c>
      <c r="BF67" s="87">
        <f t="shared" si="49"/>
        <v>0</v>
      </c>
      <c r="BG67" s="87">
        <f t="shared" si="50"/>
        <v>0</v>
      </c>
      <c r="BH67" s="87">
        <f t="shared" si="51"/>
        <v>0</v>
      </c>
      <c r="BI67" s="87">
        <f t="shared" si="52"/>
        <v>0</v>
      </c>
      <c r="BJ67" s="87">
        <f t="shared" si="53"/>
        <v>0</v>
      </c>
      <c r="BK67" s="87">
        <f t="shared" si="54"/>
        <v>0</v>
      </c>
      <c r="BL67" s="87">
        <f t="shared" si="55"/>
        <v>0</v>
      </c>
      <c r="BM67" s="87">
        <f t="shared" si="56"/>
        <v>0</v>
      </c>
      <c r="BN67" s="87">
        <f t="shared" si="57"/>
        <v>0</v>
      </c>
      <c r="BO67" s="87">
        <f t="shared" si="58"/>
        <v>0</v>
      </c>
      <c r="BP67" s="87">
        <f t="shared" si="59"/>
        <v>0</v>
      </c>
      <c r="BQ67" s="87">
        <f t="shared" si="60"/>
        <v>0</v>
      </c>
      <c r="BR67" s="87">
        <f t="shared" si="61"/>
        <v>0</v>
      </c>
      <c r="BS67" s="87">
        <f t="shared" si="62"/>
        <v>0</v>
      </c>
      <c r="BT67" s="96">
        <f t="shared" si="63"/>
        <v>0</v>
      </c>
    </row>
    <row r="68" spans="1:72">
      <c r="A68" s="84"/>
      <c r="B68" s="85"/>
      <c r="C68" s="85"/>
      <c r="D68" s="86"/>
      <c r="E68" s="87">
        <f t="shared" si="35"/>
        <v>0</v>
      </c>
      <c r="F68" s="88"/>
      <c r="G68" s="89">
        <f t="shared" si="36"/>
        <v>0</v>
      </c>
      <c r="H68" s="90">
        <f t="shared" si="37"/>
        <v>0</v>
      </c>
      <c r="I68" s="91"/>
      <c r="J68" s="91"/>
      <c r="K68" s="91"/>
      <c r="L68" s="91"/>
      <c r="M68" s="91"/>
      <c r="N68" s="91"/>
      <c r="O68" s="91"/>
      <c r="P68" s="91"/>
      <c r="Q68" s="91"/>
      <c r="R68" s="91"/>
      <c r="S68" s="91"/>
      <c r="T68" s="91"/>
      <c r="U68" s="91"/>
      <c r="V68" s="91"/>
      <c r="W68" s="91"/>
      <c r="X68" s="91"/>
      <c r="Y68" s="91"/>
      <c r="Z68" s="91"/>
      <c r="AA68" s="91"/>
      <c r="AB68" s="91"/>
      <c r="AC68" s="87">
        <f t="shared" si="38"/>
        <v>0</v>
      </c>
      <c r="AD68" s="92"/>
      <c r="AE68" s="92"/>
      <c r="AF68" s="92"/>
      <c r="AG68" s="92"/>
      <c r="AH68" s="92"/>
      <c r="AI68" s="92"/>
      <c r="AJ68" s="92"/>
      <c r="AK68" s="92"/>
      <c r="AL68" s="92"/>
      <c r="AM68" s="92"/>
      <c r="AN68" s="92"/>
      <c r="AO68" s="92"/>
      <c r="AP68" s="92"/>
      <c r="AQ68" s="92"/>
      <c r="AR68" s="92"/>
      <c r="AS68" s="92"/>
      <c r="AT68" s="93"/>
      <c r="AU68" s="94"/>
      <c r="AV68" s="1980">
        <f t="shared" si="39"/>
        <v>0</v>
      </c>
      <c r="AW68" s="1980">
        <f t="shared" si="40"/>
        <v>0</v>
      </c>
      <c r="AX68" s="1980">
        <f t="shared" si="41"/>
        <v>0</v>
      </c>
      <c r="AY68" s="95">
        <f t="shared" si="42"/>
        <v>0</v>
      </c>
      <c r="AZ68" s="87">
        <f t="shared" si="43"/>
        <v>0</v>
      </c>
      <c r="BA68" s="87">
        <f t="shared" si="44"/>
        <v>0</v>
      </c>
      <c r="BB68" s="87">
        <f t="shared" si="45"/>
        <v>0</v>
      </c>
      <c r="BC68" s="87">
        <f t="shared" si="46"/>
        <v>0</v>
      </c>
      <c r="BD68" s="87">
        <f t="shared" si="47"/>
        <v>0</v>
      </c>
      <c r="BE68" s="87">
        <f t="shared" si="48"/>
        <v>0</v>
      </c>
      <c r="BF68" s="87">
        <f t="shared" si="49"/>
        <v>0</v>
      </c>
      <c r="BG68" s="87">
        <f t="shared" si="50"/>
        <v>0</v>
      </c>
      <c r="BH68" s="87">
        <f t="shared" si="51"/>
        <v>0</v>
      </c>
      <c r="BI68" s="87">
        <f t="shared" si="52"/>
        <v>0</v>
      </c>
      <c r="BJ68" s="87">
        <f t="shared" si="53"/>
        <v>0</v>
      </c>
      <c r="BK68" s="87">
        <f t="shared" si="54"/>
        <v>0</v>
      </c>
      <c r="BL68" s="87">
        <f t="shared" si="55"/>
        <v>0</v>
      </c>
      <c r="BM68" s="87">
        <f t="shared" si="56"/>
        <v>0</v>
      </c>
      <c r="BN68" s="87">
        <f t="shared" si="57"/>
        <v>0</v>
      </c>
      <c r="BO68" s="87">
        <f t="shared" si="58"/>
        <v>0</v>
      </c>
      <c r="BP68" s="87">
        <f t="shared" si="59"/>
        <v>0</v>
      </c>
      <c r="BQ68" s="87">
        <f t="shared" si="60"/>
        <v>0</v>
      </c>
      <c r="BR68" s="87">
        <f t="shared" si="61"/>
        <v>0</v>
      </c>
      <c r="BS68" s="87">
        <f t="shared" si="62"/>
        <v>0</v>
      </c>
      <c r="BT68" s="96">
        <f t="shared" si="63"/>
        <v>0</v>
      </c>
    </row>
    <row r="69" spans="1:72">
      <c r="A69" s="84"/>
      <c r="B69" s="85"/>
      <c r="C69" s="85"/>
      <c r="D69" s="86"/>
      <c r="E69" s="87">
        <f t="shared" si="35"/>
        <v>0</v>
      </c>
      <c r="F69" s="88"/>
      <c r="G69" s="89">
        <f t="shared" si="36"/>
        <v>0</v>
      </c>
      <c r="H69" s="90">
        <f t="shared" si="37"/>
        <v>0</v>
      </c>
      <c r="I69" s="91"/>
      <c r="J69" s="91"/>
      <c r="K69" s="91"/>
      <c r="L69" s="91"/>
      <c r="M69" s="91"/>
      <c r="N69" s="91"/>
      <c r="O69" s="91"/>
      <c r="P69" s="91"/>
      <c r="Q69" s="91"/>
      <c r="R69" s="91"/>
      <c r="S69" s="91"/>
      <c r="T69" s="91"/>
      <c r="U69" s="91"/>
      <c r="V69" s="91"/>
      <c r="W69" s="91"/>
      <c r="X69" s="91"/>
      <c r="Y69" s="91"/>
      <c r="Z69" s="91"/>
      <c r="AA69" s="91"/>
      <c r="AB69" s="91"/>
      <c r="AC69" s="87">
        <f t="shared" si="38"/>
        <v>0</v>
      </c>
      <c r="AD69" s="92"/>
      <c r="AE69" s="92"/>
      <c r="AF69" s="92"/>
      <c r="AG69" s="92"/>
      <c r="AH69" s="92"/>
      <c r="AI69" s="92"/>
      <c r="AJ69" s="92"/>
      <c r="AK69" s="92"/>
      <c r="AL69" s="92"/>
      <c r="AM69" s="92"/>
      <c r="AN69" s="92"/>
      <c r="AO69" s="92"/>
      <c r="AP69" s="92"/>
      <c r="AQ69" s="92"/>
      <c r="AR69" s="92"/>
      <c r="AS69" s="92"/>
      <c r="AT69" s="93"/>
      <c r="AU69" s="94"/>
      <c r="AV69" s="1980">
        <f t="shared" si="39"/>
        <v>0</v>
      </c>
      <c r="AW69" s="1980">
        <f t="shared" si="40"/>
        <v>0</v>
      </c>
      <c r="AX69" s="1980">
        <f t="shared" si="41"/>
        <v>0</v>
      </c>
      <c r="AY69" s="95">
        <f t="shared" si="42"/>
        <v>0</v>
      </c>
      <c r="AZ69" s="87">
        <f t="shared" si="43"/>
        <v>0</v>
      </c>
      <c r="BA69" s="87">
        <f t="shared" si="44"/>
        <v>0</v>
      </c>
      <c r="BB69" s="87">
        <f t="shared" si="45"/>
        <v>0</v>
      </c>
      <c r="BC69" s="87">
        <f t="shared" si="46"/>
        <v>0</v>
      </c>
      <c r="BD69" s="87">
        <f t="shared" si="47"/>
        <v>0</v>
      </c>
      <c r="BE69" s="87">
        <f t="shared" si="48"/>
        <v>0</v>
      </c>
      <c r="BF69" s="87">
        <f t="shared" si="49"/>
        <v>0</v>
      </c>
      <c r="BG69" s="87">
        <f t="shared" si="50"/>
        <v>0</v>
      </c>
      <c r="BH69" s="87">
        <f t="shared" si="51"/>
        <v>0</v>
      </c>
      <c r="BI69" s="87">
        <f t="shared" si="52"/>
        <v>0</v>
      </c>
      <c r="BJ69" s="87">
        <f t="shared" si="53"/>
        <v>0</v>
      </c>
      <c r="BK69" s="87">
        <f t="shared" si="54"/>
        <v>0</v>
      </c>
      <c r="BL69" s="87">
        <f t="shared" si="55"/>
        <v>0</v>
      </c>
      <c r="BM69" s="87">
        <f t="shared" si="56"/>
        <v>0</v>
      </c>
      <c r="BN69" s="87">
        <f t="shared" si="57"/>
        <v>0</v>
      </c>
      <c r="BO69" s="87">
        <f t="shared" si="58"/>
        <v>0</v>
      </c>
      <c r="BP69" s="87">
        <f t="shared" si="59"/>
        <v>0</v>
      </c>
      <c r="BQ69" s="87">
        <f t="shared" si="60"/>
        <v>0</v>
      </c>
      <c r="BR69" s="87">
        <f t="shared" si="61"/>
        <v>0</v>
      </c>
      <c r="BS69" s="87">
        <f t="shared" si="62"/>
        <v>0</v>
      </c>
      <c r="BT69" s="96">
        <f t="shared" si="63"/>
        <v>0</v>
      </c>
    </row>
    <row r="70" spans="1:72">
      <c r="A70" s="84"/>
      <c r="B70" s="85"/>
      <c r="C70" s="85"/>
      <c r="D70" s="86"/>
      <c r="E70" s="87">
        <f t="shared" si="35"/>
        <v>0</v>
      </c>
      <c r="F70" s="88"/>
      <c r="G70" s="89">
        <f t="shared" si="36"/>
        <v>0</v>
      </c>
      <c r="H70" s="90">
        <f t="shared" si="37"/>
        <v>0</v>
      </c>
      <c r="I70" s="91"/>
      <c r="J70" s="91"/>
      <c r="K70" s="91"/>
      <c r="L70" s="91"/>
      <c r="M70" s="91"/>
      <c r="N70" s="91"/>
      <c r="O70" s="91"/>
      <c r="P70" s="91"/>
      <c r="Q70" s="91"/>
      <c r="R70" s="91"/>
      <c r="S70" s="91"/>
      <c r="T70" s="91"/>
      <c r="U70" s="91"/>
      <c r="V70" s="91"/>
      <c r="W70" s="91"/>
      <c r="X70" s="91"/>
      <c r="Y70" s="91"/>
      <c r="Z70" s="91"/>
      <c r="AA70" s="91"/>
      <c r="AB70" s="91"/>
      <c r="AC70" s="87">
        <f t="shared" si="38"/>
        <v>0</v>
      </c>
      <c r="AD70" s="92"/>
      <c r="AE70" s="92"/>
      <c r="AF70" s="92"/>
      <c r="AG70" s="92"/>
      <c r="AH70" s="92"/>
      <c r="AI70" s="92"/>
      <c r="AJ70" s="92"/>
      <c r="AK70" s="92"/>
      <c r="AL70" s="92"/>
      <c r="AM70" s="92"/>
      <c r="AN70" s="92"/>
      <c r="AO70" s="92"/>
      <c r="AP70" s="92"/>
      <c r="AQ70" s="92"/>
      <c r="AR70" s="92"/>
      <c r="AS70" s="92"/>
      <c r="AT70" s="93"/>
      <c r="AU70" s="94"/>
      <c r="AV70" s="1980">
        <f t="shared" si="39"/>
        <v>0</v>
      </c>
      <c r="AW70" s="1980">
        <f t="shared" si="40"/>
        <v>0</v>
      </c>
      <c r="AX70" s="1980">
        <f t="shared" si="41"/>
        <v>0</v>
      </c>
      <c r="AY70" s="95">
        <f t="shared" si="42"/>
        <v>0</v>
      </c>
      <c r="AZ70" s="87">
        <f t="shared" si="43"/>
        <v>0</v>
      </c>
      <c r="BA70" s="87">
        <f t="shared" si="44"/>
        <v>0</v>
      </c>
      <c r="BB70" s="87">
        <f t="shared" si="45"/>
        <v>0</v>
      </c>
      <c r="BC70" s="87">
        <f t="shared" si="46"/>
        <v>0</v>
      </c>
      <c r="BD70" s="87">
        <f t="shared" si="47"/>
        <v>0</v>
      </c>
      <c r="BE70" s="87">
        <f t="shared" si="48"/>
        <v>0</v>
      </c>
      <c r="BF70" s="87">
        <f t="shared" si="49"/>
        <v>0</v>
      </c>
      <c r="BG70" s="87">
        <f t="shared" si="50"/>
        <v>0</v>
      </c>
      <c r="BH70" s="87">
        <f t="shared" si="51"/>
        <v>0</v>
      </c>
      <c r="BI70" s="87">
        <f t="shared" si="52"/>
        <v>0</v>
      </c>
      <c r="BJ70" s="87">
        <f t="shared" si="53"/>
        <v>0</v>
      </c>
      <c r="BK70" s="87">
        <f t="shared" si="54"/>
        <v>0</v>
      </c>
      <c r="BL70" s="87">
        <f t="shared" si="55"/>
        <v>0</v>
      </c>
      <c r="BM70" s="87">
        <f t="shared" si="56"/>
        <v>0</v>
      </c>
      <c r="BN70" s="87">
        <f t="shared" si="57"/>
        <v>0</v>
      </c>
      <c r="BO70" s="87">
        <f t="shared" si="58"/>
        <v>0</v>
      </c>
      <c r="BP70" s="87">
        <f t="shared" si="59"/>
        <v>0</v>
      </c>
      <c r="BQ70" s="87">
        <f t="shared" si="60"/>
        <v>0</v>
      </c>
      <c r="BR70" s="87">
        <f t="shared" si="61"/>
        <v>0</v>
      </c>
      <c r="BS70" s="87">
        <f t="shared" si="62"/>
        <v>0</v>
      </c>
      <c r="BT70" s="96">
        <f t="shared" si="63"/>
        <v>0</v>
      </c>
    </row>
    <row r="71" spans="1:72">
      <c r="A71" s="84"/>
      <c r="B71" s="85"/>
      <c r="C71" s="85"/>
      <c r="D71" s="86"/>
      <c r="E71" s="87">
        <f t="shared" si="35"/>
        <v>0</v>
      </c>
      <c r="F71" s="88"/>
      <c r="G71" s="89">
        <f t="shared" si="36"/>
        <v>0</v>
      </c>
      <c r="H71" s="90">
        <f t="shared" si="37"/>
        <v>0</v>
      </c>
      <c r="I71" s="91"/>
      <c r="J71" s="91"/>
      <c r="K71" s="91"/>
      <c r="L71" s="91"/>
      <c r="M71" s="91"/>
      <c r="N71" s="91"/>
      <c r="O71" s="91"/>
      <c r="P71" s="91"/>
      <c r="Q71" s="91"/>
      <c r="R71" s="91"/>
      <c r="S71" s="91"/>
      <c r="T71" s="91"/>
      <c r="U71" s="91"/>
      <c r="V71" s="91"/>
      <c r="W71" s="91"/>
      <c r="X71" s="91"/>
      <c r="Y71" s="91"/>
      <c r="Z71" s="91"/>
      <c r="AA71" s="91"/>
      <c r="AB71" s="91"/>
      <c r="AC71" s="87">
        <f t="shared" si="38"/>
        <v>0</v>
      </c>
      <c r="AD71" s="92"/>
      <c r="AE71" s="92"/>
      <c r="AF71" s="92"/>
      <c r="AG71" s="92"/>
      <c r="AH71" s="92"/>
      <c r="AI71" s="92"/>
      <c r="AJ71" s="92"/>
      <c r="AK71" s="92"/>
      <c r="AL71" s="92"/>
      <c r="AM71" s="92"/>
      <c r="AN71" s="92"/>
      <c r="AO71" s="92"/>
      <c r="AP71" s="92"/>
      <c r="AQ71" s="92"/>
      <c r="AR71" s="92"/>
      <c r="AS71" s="92"/>
      <c r="AT71" s="93"/>
      <c r="AU71" s="94"/>
      <c r="AV71" s="1980">
        <f t="shared" si="39"/>
        <v>0</v>
      </c>
      <c r="AW71" s="1980">
        <f t="shared" si="40"/>
        <v>0</v>
      </c>
      <c r="AX71" s="1980">
        <f t="shared" si="41"/>
        <v>0</v>
      </c>
      <c r="AY71" s="95">
        <f t="shared" si="42"/>
        <v>0</v>
      </c>
      <c r="AZ71" s="87">
        <f t="shared" si="43"/>
        <v>0</v>
      </c>
      <c r="BA71" s="87">
        <f t="shared" si="44"/>
        <v>0</v>
      </c>
      <c r="BB71" s="87">
        <f t="shared" si="45"/>
        <v>0</v>
      </c>
      <c r="BC71" s="87">
        <f t="shared" si="46"/>
        <v>0</v>
      </c>
      <c r="BD71" s="87">
        <f t="shared" si="47"/>
        <v>0</v>
      </c>
      <c r="BE71" s="87">
        <f t="shared" si="48"/>
        <v>0</v>
      </c>
      <c r="BF71" s="87">
        <f t="shared" si="49"/>
        <v>0</v>
      </c>
      <c r="BG71" s="87">
        <f t="shared" si="50"/>
        <v>0</v>
      </c>
      <c r="BH71" s="87">
        <f t="shared" si="51"/>
        <v>0</v>
      </c>
      <c r="BI71" s="87">
        <f t="shared" si="52"/>
        <v>0</v>
      </c>
      <c r="BJ71" s="87">
        <f t="shared" si="53"/>
        <v>0</v>
      </c>
      <c r="BK71" s="87">
        <f t="shared" si="54"/>
        <v>0</v>
      </c>
      <c r="BL71" s="87">
        <f t="shared" si="55"/>
        <v>0</v>
      </c>
      <c r="BM71" s="87">
        <f t="shared" si="56"/>
        <v>0</v>
      </c>
      <c r="BN71" s="87">
        <f t="shared" si="57"/>
        <v>0</v>
      </c>
      <c r="BO71" s="87">
        <f t="shared" si="58"/>
        <v>0</v>
      </c>
      <c r="BP71" s="87">
        <f t="shared" si="59"/>
        <v>0</v>
      </c>
      <c r="BQ71" s="87">
        <f t="shared" si="60"/>
        <v>0</v>
      </c>
      <c r="BR71" s="87">
        <f t="shared" si="61"/>
        <v>0</v>
      </c>
      <c r="BS71" s="87">
        <f t="shared" si="62"/>
        <v>0</v>
      </c>
      <c r="BT71" s="96">
        <f t="shared" si="63"/>
        <v>0</v>
      </c>
    </row>
    <row r="72" spans="1:72">
      <c r="A72" s="84"/>
      <c r="B72" s="85"/>
      <c r="C72" s="85"/>
      <c r="D72" s="86"/>
      <c r="E72" s="87">
        <f t="shared" si="35"/>
        <v>0</v>
      </c>
      <c r="F72" s="88"/>
      <c r="G72" s="89">
        <f t="shared" si="36"/>
        <v>0</v>
      </c>
      <c r="H72" s="90">
        <f t="shared" si="37"/>
        <v>0</v>
      </c>
      <c r="I72" s="91"/>
      <c r="J72" s="91"/>
      <c r="K72" s="91"/>
      <c r="L72" s="91"/>
      <c r="M72" s="91"/>
      <c r="N72" s="91"/>
      <c r="O72" s="91"/>
      <c r="P72" s="91"/>
      <c r="Q72" s="91"/>
      <c r="R72" s="91"/>
      <c r="S72" s="91"/>
      <c r="T72" s="91"/>
      <c r="U72" s="91"/>
      <c r="V72" s="91"/>
      <c r="W72" s="91"/>
      <c r="X72" s="91"/>
      <c r="Y72" s="91"/>
      <c r="Z72" s="91"/>
      <c r="AA72" s="91"/>
      <c r="AB72" s="91"/>
      <c r="AC72" s="87">
        <f t="shared" si="38"/>
        <v>0</v>
      </c>
      <c r="AD72" s="92"/>
      <c r="AE72" s="92"/>
      <c r="AF72" s="92"/>
      <c r="AG72" s="92"/>
      <c r="AH72" s="92"/>
      <c r="AI72" s="92"/>
      <c r="AJ72" s="92"/>
      <c r="AK72" s="92"/>
      <c r="AL72" s="92"/>
      <c r="AM72" s="92"/>
      <c r="AN72" s="92"/>
      <c r="AO72" s="92"/>
      <c r="AP72" s="92"/>
      <c r="AQ72" s="92"/>
      <c r="AR72" s="92"/>
      <c r="AS72" s="92"/>
      <c r="AT72" s="93"/>
      <c r="AU72" s="94"/>
      <c r="AV72" s="1980">
        <f t="shared" si="39"/>
        <v>0</v>
      </c>
      <c r="AW72" s="1980">
        <f t="shared" si="40"/>
        <v>0</v>
      </c>
      <c r="AX72" s="1980">
        <f t="shared" si="41"/>
        <v>0</v>
      </c>
      <c r="AY72" s="95">
        <f t="shared" si="42"/>
        <v>0</v>
      </c>
      <c r="AZ72" s="87">
        <f t="shared" si="43"/>
        <v>0</v>
      </c>
      <c r="BA72" s="87">
        <f t="shared" si="44"/>
        <v>0</v>
      </c>
      <c r="BB72" s="87">
        <f t="shared" si="45"/>
        <v>0</v>
      </c>
      <c r="BC72" s="87">
        <f t="shared" si="46"/>
        <v>0</v>
      </c>
      <c r="BD72" s="87">
        <f t="shared" si="47"/>
        <v>0</v>
      </c>
      <c r="BE72" s="87">
        <f t="shared" si="48"/>
        <v>0</v>
      </c>
      <c r="BF72" s="87">
        <f t="shared" si="49"/>
        <v>0</v>
      </c>
      <c r="BG72" s="87">
        <f t="shared" si="50"/>
        <v>0</v>
      </c>
      <c r="BH72" s="87">
        <f t="shared" si="51"/>
        <v>0</v>
      </c>
      <c r="BI72" s="87">
        <f t="shared" si="52"/>
        <v>0</v>
      </c>
      <c r="BJ72" s="87">
        <f t="shared" si="53"/>
        <v>0</v>
      </c>
      <c r="BK72" s="87">
        <f t="shared" si="54"/>
        <v>0</v>
      </c>
      <c r="BL72" s="87">
        <f t="shared" si="55"/>
        <v>0</v>
      </c>
      <c r="BM72" s="87">
        <f t="shared" si="56"/>
        <v>0</v>
      </c>
      <c r="BN72" s="87">
        <f t="shared" si="57"/>
        <v>0</v>
      </c>
      <c r="BO72" s="87">
        <f t="shared" si="58"/>
        <v>0</v>
      </c>
      <c r="BP72" s="87">
        <f t="shared" si="59"/>
        <v>0</v>
      </c>
      <c r="BQ72" s="87">
        <f t="shared" si="60"/>
        <v>0</v>
      </c>
      <c r="BR72" s="87">
        <f t="shared" si="61"/>
        <v>0</v>
      </c>
      <c r="BS72" s="87">
        <f t="shared" si="62"/>
        <v>0</v>
      </c>
      <c r="BT72" s="96">
        <f t="shared" si="63"/>
        <v>0</v>
      </c>
    </row>
    <row r="73" spans="1:72">
      <c r="A73" s="84"/>
      <c r="B73" s="85"/>
      <c r="C73" s="85"/>
      <c r="D73" s="86"/>
      <c r="E73" s="87">
        <f t="shared" si="35"/>
        <v>0</v>
      </c>
      <c r="F73" s="88"/>
      <c r="G73" s="89">
        <f t="shared" si="36"/>
        <v>0</v>
      </c>
      <c r="H73" s="90">
        <f t="shared" si="37"/>
        <v>0</v>
      </c>
      <c r="I73" s="91"/>
      <c r="J73" s="91"/>
      <c r="K73" s="91"/>
      <c r="L73" s="91"/>
      <c r="M73" s="91"/>
      <c r="N73" s="91"/>
      <c r="O73" s="91"/>
      <c r="P73" s="91"/>
      <c r="Q73" s="91"/>
      <c r="R73" s="91"/>
      <c r="S73" s="91"/>
      <c r="T73" s="91"/>
      <c r="U73" s="91"/>
      <c r="V73" s="91"/>
      <c r="W73" s="91"/>
      <c r="X73" s="91"/>
      <c r="Y73" s="91"/>
      <c r="Z73" s="91"/>
      <c r="AA73" s="91"/>
      <c r="AB73" s="91"/>
      <c r="AC73" s="87">
        <f t="shared" si="38"/>
        <v>0</v>
      </c>
      <c r="AD73" s="92"/>
      <c r="AE73" s="92"/>
      <c r="AF73" s="92"/>
      <c r="AG73" s="92"/>
      <c r="AH73" s="92"/>
      <c r="AI73" s="92"/>
      <c r="AJ73" s="92"/>
      <c r="AK73" s="92"/>
      <c r="AL73" s="92"/>
      <c r="AM73" s="92"/>
      <c r="AN73" s="92"/>
      <c r="AO73" s="92"/>
      <c r="AP73" s="92"/>
      <c r="AQ73" s="92"/>
      <c r="AR73" s="92"/>
      <c r="AS73" s="92"/>
      <c r="AT73" s="93"/>
      <c r="AU73" s="94"/>
      <c r="AV73" s="1980">
        <f t="shared" si="39"/>
        <v>0</v>
      </c>
      <c r="AW73" s="1980">
        <f t="shared" si="40"/>
        <v>0</v>
      </c>
      <c r="AX73" s="1980">
        <f t="shared" si="41"/>
        <v>0</v>
      </c>
      <c r="AY73" s="95">
        <f t="shared" si="42"/>
        <v>0</v>
      </c>
      <c r="AZ73" s="87">
        <f t="shared" si="43"/>
        <v>0</v>
      </c>
      <c r="BA73" s="87">
        <f t="shared" si="44"/>
        <v>0</v>
      </c>
      <c r="BB73" s="87">
        <f t="shared" si="45"/>
        <v>0</v>
      </c>
      <c r="BC73" s="87">
        <f t="shared" si="46"/>
        <v>0</v>
      </c>
      <c r="BD73" s="87">
        <f t="shared" si="47"/>
        <v>0</v>
      </c>
      <c r="BE73" s="87">
        <f t="shared" si="48"/>
        <v>0</v>
      </c>
      <c r="BF73" s="87">
        <f t="shared" si="49"/>
        <v>0</v>
      </c>
      <c r="BG73" s="87">
        <f t="shared" si="50"/>
        <v>0</v>
      </c>
      <c r="BH73" s="87">
        <f t="shared" si="51"/>
        <v>0</v>
      </c>
      <c r="BI73" s="87">
        <f t="shared" si="52"/>
        <v>0</v>
      </c>
      <c r="BJ73" s="87">
        <f t="shared" si="53"/>
        <v>0</v>
      </c>
      <c r="BK73" s="87">
        <f t="shared" si="54"/>
        <v>0</v>
      </c>
      <c r="BL73" s="87">
        <f t="shared" si="55"/>
        <v>0</v>
      </c>
      <c r="BM73" s="87">
        <f t="shared" si="56"/>
        <v>0</v>
      </c>
      <c r="BN73" s="87">
        <f t="shared" si="57"/>
        <v>0</v>
      </c>
      <c r="BO73" s="87">
        <f t="shared" si="58"/>
        <v>0</v>
      </c>
      <c r="BP73" s="87">
        <f t="shared" si="59"/>
        <v>0</v>
      </c>
      <c r="BQ73" s="87">
        <f t="shared" si="60"/>
        <v>0</v>
      </c>
      <c r="BR73" s="87">
        <f t="shared" si="61"/>
        <v>0</v>
      </c>
      <c r="BS73" s="87">
        <f t="shared" si="62"/>
        <v>0</v>
      </c>
      <c r="BT73" s="96">
        <f t="shared" si="63"/>
        <v>0</v>
      </c>
    </row>
    <row r="74" spans="1:72">
      <c r="A74" s="84"/>
      <c r="B74" s="85"/>
      <c r="C74" s="85"/>
      <c r="D74" s="86"/>
      <c r="E74" s="87">
        <f t="shared" si="35"/>
        <v>0</v>
      </c>
      <c r="F74" s="88"/>
      <c r="G74" s="89">
        <f t="shared" si="36"/>
        <v>0</v>
      </c>
      <c r="H74" s="90">
        <f t="shared" si="37"/>
        <v>0</v>
      </c>
      <c r="I74" s="91"/>
      <c r="J74" s="91"/>
      <c r="K74" s="91"/>
      <c r="L74" s="91"/>
      <c r="M74" s="91"/>
      <c r="N74" s="91"/>
      <c r="O74" s="91"/>
      <c r="P74" s="91"/>
      <c r="Q74" s="91"/>
      <c r="R74" s="91"/>
      <c r="S74" s="91"/>
      <c r="T74" s="91"/>
      <c r="U74" s="91"/>
      <c r="V74" s="91"/>
      <c r="W74" s="91"/>
      <c r="X74" s="91"/>
      <c r="Y74" s="91"/>
      <c r="Z74" s="91"/>
      <c r="AA74" s="91"/>
      <c r="AB74" s="91"/>
      <c r="AC74" s="87">
        <f t="shared" si="38"/>
        <v>0</v>
      </c>
      <c r="AD74" s="92"/>
      <c r="AE74" s="92"/>
      <c r="AF74" s="92"/>
      <c r="AG74" s="92"/>
      <c r="AH74" s="92"/>
      <c r="AI74" s="92"/>
      <c r="AJ74" s="92"/>
      <c r="AK74" s="92"/>
      <c r="AL74" s="92"/>
      <c r="AM74" s="92"/>
      <c r="AN74" s="92"/>
      <c r="AO74" s="92"/>
      <c r="AP74" s="92"/>
      <c r="AQ74" s="92"/>
      <c r="AR74" s="92"/>
      <c r="AS74" s="92"/>
      <c r="AT74" s="93"/>
      <c r="AU74" s="94"/>
      <c r="AV74" s="1980">
        <f t="shared" si="39"/>
        <v>0</v>
      </c>
      <c r="AW74" s="1980">
        <f t="shared" si="40"/>
        <v>0</v>
      </c>
      <c r="AX74" s="1980">
        <f t="shared" si="41"/>
        <v>0</v>
      </c>
      <c r="AY74" s="95">
        <f t="shared" si="42"/>
        <v>0</v>
      </c>
      <c r="AZ74" s="87">
        <f t="shared" si="43"/>
        <v>0</v>
      </c>
      <c r="BA74" s="87">
        <f t="shared" si="44"/>
        <v>0</v>
      </c>
      <c r="BB74" s="87">
        <f t="shared" si="45"/>
        <v>0</v>
      </c>
      <c r="BC74" s="87">
        <f t="shared" si="46"/>
        <v>0</v>
      </c>
      <c r="BD74" s="87">
        <f t="shared" si="47"/>
        <v>0</v>
      </c>
      <c r="BE74" s="87">
        <f t="shared" si="48"/>
        <v>0</v>
      </c>
      <c r="BF74" s="87">
        <f t="shared" si="49"/>
        <v>0</v>
      </c>
      <c r="BG74" s="87">
        <f t="shared" si="50"/>
        <v>0</v>
      </c>
      <c r="BH74" s="87">
        <f t="shared" si="51"/>
        <v>0</v>
      </c>
      <c r="BI74" s="87">
        <f t="shared" si="52"/>
        <v>0</v>
      </c>
      <c r="BJ74" s="87">
        <f t="shared" si="53"/>
        <v>0</v>
      </c>
      <c r="BK74" s="87">
        <f t="shared" si="54"/>
        <v>0</v>
      </c>
      <c r="BL74" s="87">
        <f t="shared" si="55"/>
        <v>0</v>
      </c>
      <c r="BM74" s="87">
        <f t="shared" si="56"/>
        <v>0</v>
      </c>
      <c r="BN74" s="87">
        <f t="shared" si="57"/>
        <v>0</v>
      </c>
      <c r="BO74" s="87">
        <f t="shared" si="58"/>
        <v>0</v>
      </c>
      <c r="BP74" s="87">
        <f t="shared" si="59"/>
        <v>0</v>
      </c>
      <c r="BQ74" s="87">
        <f t="shared" si="60"/>
        <v>0</v>
      </c>
      <c r="BR74" s="87">
        <f t="shared" si="61"/>
        <v>0</v>
      </c>
      <c r="BS74" s="87">
        <f t="shared" si="62"/>
        <v>0</v>
      </c>
      <c r="BT74" s="96">
        <f t="shared" si="63"/>
        <v>0</v>
      </c>
    </row>
    <row r="75" spans="1:72">
      <c r="A75" s="84"/>
      <c r="B75" s="85"/>
      <c r="C75" s="85"/>
      <c r="D75" s="86"/>
      <c r="E75" s="87">
        <f t="shared" si="35"/>
        <v>0</v>
      </c>
      <c r="F75" s="88"/>
      <c r="G75" s="89">
        <f t="shared" si="36"/>
        <v>0</v>
      </c>
      <c r="H75" s="90">
        <f t="shared" si="37"/>
        <v>0</v>
      </c>
      <c r="I75" s="91"/>
      <c r="J75" s="91"/>
      <c r="K75" s="91"/>
      <c r="L75" s="91"/>
      <c r="M75" s="91"/>
      <c r="N75" s="91"/>
      <c r="O75" s="91"/>
      <c r="P75" s="91"/>
      <c r="Q75" s="91"/>
      <c r="R75" s="91"/>
      <c r="S75" s="91"/>
      <c r="T75" s="91"/>
      <c r="U75" s="91"/>
      <c r="V75" s="91"/>
      <c r="W75" s="91"/>
      <c r="X75" s="91"/>
      <c r="Y75" s="91"/>
      <c r="Z75" s="91"/>
      <c r="AA75" s="91"/>
      <c r="AB75" s="91"/>
      <c r="AC75" s="87">
        <f t="shared" si="38"/>
        <v>0</v>
      </c>
      <c r="AD75" s="92"/>
      <c r="AE75" s="92"/>
      <c r="AF75" s="92"/>
      <c r="AG75" s="92"/>
      <c r="AH75" s="92"/>
      <c r="AI75" s="92"/>
      <c r="AJ75" s="92"/>
      <c r="AK75" s="92"/>
      <c r="AL75" s="92"/>
      <c r="AM75" s="92"/>
      <c r="AN75" s="92"/>
      <c r="AO75" s="92"/>
      <c r="AP75" s="92"/>
      <c r="AQ75" s="92"/>
      <c r="AR75" s="92"/>
      <c r="AS75" s="92"/>
      <c r="AT75" s="93"/>
      <c r="AU75" s="94"/>
      <c r="AV75" s="1980">
        <f t="shared" si="39"/>
        <v>0</v>
      </c>
      <c r="AW75" s="1980">
        <f t="shared" si="40"/>
        <v>0</v>
      </c>
      <c r="AX75" s="1980">
        <f t="shared" si="41"/>
        <v>0</v>
      </c>
      <c r="AY75" s="95">
        <f t="shared" si="42"/>
        <v>0</v>
      </c>
      <c r="AZ75" s="87">
        <f t="shared" si="43"/>
        <v>0</v>
      </c>
      <c r="BA75" s="87">
        <f t="shared" si="44"/>
        <v>0</v>
      </c>
      <c r="BB75" s="87">
        <f t="shared" si="45"/>
        <v>0</v>
      </c>
      <c r="BC75" s="87">
        <f t="shared" si="46"/>
        <v>0</v>
      </c>
      <c r="BD75" s="87">
        <f t="shared" si="47"/>
        <v>0</v>
      </c>
      <c r="BE75" s="87">
        <f t="shared" si="48"/>
        <v>0</v>
      </c>
      <c r="BF75" s="87">
        <f t="shared" si="49"/>
        <v>0</v>
      </c>
      <c r="BG75" s="87">
        <f t="shared" si="50"/>
        <v>0</v>
      </c>
      <c r="BH75" s="87">
        <f t="shared" si="51"/>
        <v>0</v>
      </c>
      <c r="BI75" s="87">
        <f t="shared" si="52"/>
        <v>0</v>
      </c>
      <c r="BJ75" s="87">
        <f t="shared" si="53"/>
        <v>0</v>
      </c>
      <c r="BK75" s="87">
        <f t="shared" si="54"/>
        <v>0</v>
      </c>
      <c r="BL75" s="87">
        <f t="shared" si="55"/>
        <v>0</v>
      </c>
      <c r="BM75" s="87">
        <f t="shared" si="56"/>
        <v>0</v>
      </c>
      <c r="BN75" s="87">
        <f t="shared" si="57"/>
        <v>0</v>
      </c>
      <c r="BO75" s="87">
        <f t="shared" si="58"/>
        <v>0</v>
      </c>
      <c r="BP75" s="87">
        <f t="shared" si="59"/>
        <v>0</v>
      </c>
      <c r="BQ75" s="87">
        <f t="shared" si="60"/>
        <v>0</v>
      </c>
      <c r="BR75" s="87">
        <f t="shared" si="61"/>
        <v>0</v>
      </c>
      <c r="BS75" s="87">
        <f t="shared" si="62"/>
        <v>0</v>
      </c>
      <c r="BT75" s="96">
        <f t="shared" si="63"/>
        <v>0</v>
      </c>
    </row>
    <row r="76" spans="1:72">
      <c r="A76" s="84"/>
      <c r="B76" s="85"/>
      <c r="C76" s="85"/>
      <c r="D76" s="86"/>
      <c r="E76" s="87">
        <f t="shared" si="35"/>
        <v>0</v>
      </c>
      <c r="F76" s="88"/>
      <c r="G76" s="89">
        <f t="shared" si="36"/>
        <v>0</v>
      </c>
      <c r="H76" s="90">
        <f t="shared" si="37"/>
        <v>0</v>
      </c>
      <c r="I76" s="91"/>
      <c r="J76" s="91"/>
      <c r="K76" s="91"/>
      <c r="L76" s="91"/>
      <c r="M76" s="91"/>
      <c r="N76" s="91"/>
      <c r="O76" s="91"/>
      <c r="P76" s="91"/>
      <c r="Q76" s="91"/>
      <c r="R76" s="91"/>
      <c r="S76" s="91"/>
      <c r="T76" s="91"/>
      <c r="U76" s="91"/>
      <c r="V76" s="91"/>
      <c r="W76" s="91"/>
      <c r="X76" s="91"/>
      <c r="Y76" s="91"/>
      <c r="Z76" s="91"/>
      <c r="AA76" s="91"/>
      <c r="AB76" s="91"/>
      <c r="AC76" s="87">
        <f t="shared" si="38"/>
        <v>0</v>
      </c>
      <c r="AD76" s="92"/>
      <c r="AE76" s="92"/>
      <c r="AF76" s="92"/>
      <c r="AG76" s="92"/>
      <c r="AH76" s="92"/>
      <c r="AI76" s="92"/>
      <c r="AJ76" s="92"/>
      <c r="AK76" s="92"/>
      <c r="AL76" s="92"/>
      <c r="AM76" s="92"/>
      <c r="AN76" s="92"/>
      <c r="AO76" s="92"/>
      <c r="AP76" s="92"/>
      <c r="AQ76" s="92"/>
      <c r="AR76" s="92"/>
      <c r="AS76" s="92"/>
      <c r="AT76" s="93"/>
      <c r="AU76" s="94"/>
      <c r="AV76" s="1980">
        <f t="shared" si="39"/>
        <v>0</v>
      </c>
      <c r="AW76" s="1980">
        <f t="shared" si="40"/>
        <v>0</v>
      </c>
      <c r="AX76" s="1980">
        <f t="shared" si="41"/>
        <v>0</v>
      </c>
      <c r="AY76" s="95">
        <f t="shared" si="42"/>
        <v>0</v>
      </c>
      <c r="AZ76" s="87">
        <f t="shared" si="43"/>
        <v>0</v>
      </c>
      <c r="BA76" s="87">
        <f t="shared" si="44"/>
        <v>0</v>
      </c>
      <c r="BB76" s="87">
        <f t="shared" si="45"/>
        <v>0</v>
      </c>
      <c r="BC76" s="87">
        <f t="shared" si="46"/>
        <v>0</v>
      </c>
      <c r="BD76" s="87">
        <f t="shared" si="47"/>
        <v>0</v>
      </c>
      <c r="BE76" s="87">
        <f t="shared" si="48"/>
        <v>0</v>
      </c>
      <c r="BF76" s="87">
        <f t="shared" si="49"/>
        <v>0</v>
      </c>
      <c r="BG76" s="87">
        <f t="shared" si="50"/>
        <v>0</v>
      </c>
      <c r="BH76" s="87">
        <f t="shared" si="51"/>
        <v>0</v>
      </c>
      <c r="BI76" s="87">
        <f t="shared" si="52"/>
        <v>0</v>
      </c>
      <c r="BJ76" s="87">
        <f t="shared" si="53"/>
        <v>0</v>
      </c>
      <c r="BK76" s="87">
        <f t="shared" si="54"/>
        <v>0</v>
      </c>
      <c r="BL76" s="87">
        <f t="shared" si="55"/>
        <v>0</v>
      </c>
      <c r="BM76" s="87">
        <f t="shared" si="56"/>
        <v>0</v>
      </c>
      <c r="BN76" s="87">
        <f t="shared" si="57"/>
        <v>0</v>
      </c>
      <c r="BO76" s="87">
        <f t="shared" si="58"/>
        <v>0</v>
      </c>
      <c r="BP76" s="87">
        <f t="shared" si="59"/>
        <v>0</v>
      </c>
      <c r="BQ76" s="87">
        <f t="shared" si="60"/>
        <v>0</v>
      </c>
      <c r="BR76" s="87">
        <f t="shared" si="61"/>
        <v>0</v>
      </c>
      <c r="BS76" s="87">
        <f t="shared" si="62"/>
        <v>0</v>
      </c>
      <c r="BT76" s="96">
        <f t="shared" si="63"/>
        <v>0</v>
      </c>
    </row>
    <row r="77" spans="1:72">
      <c r="A77" s="84"/>
      <c r="B77" s="85"/>
      <c r="C77" s="85"/>
      <c r="D77" s="86"/>
      <c r="E77" s="87">
        <f t="shared" si="35"/>
        <v>0</v>
      </c>
      <c r="F77" s="88"/>
      <c r="G77" s="89">
        <f t="shared" si="36"/>
        <v>0</v>
      </c>
      <c r="H77" s="90">
        <f t="shared" si="37"/>
        <v>0</v>
      </c>
      <c r="I77" s="91"/>
      <c r="J77" s="91"/>
      <c r="K77" s="91"/>
      <c r="L77" s="91"/>
      <c r="M77" s="91"/>
      <c r="N77" s="91"/>
      <c r="O77" s="91"/>
      <c r="P77" s="91"/>
      <c r="Q77" s="91"/>
      <c r="R77" s="91"/>
      <c r="S77" s="91"/>
      <c r="T77" s="91"/>
      <c r="U77" s="91"/>
      <c r="V77" s="91"/>
      <c r="W77" s="91"/>
      <c r="X77" s="91"/>
      <c r="Y77" s="91"/>
      <c r="Z77" s="91"/>
      <c r="AA77" s="91"/>
      <c r="AB77" s="91"/>
      <c r="AC77" s="87">
        <f t="shared" si="38"/>
        <v>0</v>
      </c>
      <c r="AD77" s="92"/>
      <c r="AE77" s="92"/>
      <c r="AF77" s="92"/>
      <c r="AG77" s="92"/>
      <c r="AH77" s="92"/>
      <c r="AI77" s="92"/>
      <c r="AJ77" s="92"/>
      <c r="AK77" s="92"/>
      <c r="AL77" s="92"/>
      <c r="AM77" s="92"/>
      <c r="AN77" s="92"/>
      <c r="AO77" s="92"/>
      <c r="AP77" s="92"/>
      <c r="AQ77" s="92"/>
      <c r="AR77" s="92"/>
      <c r="AS77" s="92"/>
      <c r="AT77" s="93"/>
      <c r="AU77" s="94"/>
      <c r="AV77" s="1980">
        <f t="shared" si="39"/>
        <v>0</v>
      </c>
      <c r="AW77" s="1980">
        <f t="shared" si="40"/>
        <v>0</v>
      </c>
      <c r="AX77" s="1980">
        <f t="shared" si="41"/>
        <v>0</v>
      </c>
      <c r="AY77" s="95">
        <f t="shared" si="42"/>
        <v>0</v>
      </c>
      <c r="AZ77" s="87">
        <f t="shared" si="43"/>
        <v>0</v>
      </c>
      <c r="BA77" s="87">
        <f t="shared" si="44"/>
        <v>0</v>
      </c>
      <c r="BB77" s="87">
        <f t="shared" si="45"/>
        <v>0</v>
      </c>
      <c r="BC77" s="87">
        <f t="shared" si="46"/>
        <v>0</v>
      </c>
      <c r="BD77" s="87">
        <f t="shared" si="47"/>
        <v>0</v>
      </c>
      <c r="BE77" s="87">
        <f t="shared" si="48"/>
        <v>0</v>
      </c>
      <c r="BF77" s="87">
        <f t="shared" si="49"/>
        <v>0</v>
      </c>
      <c r="BG77" s="87">
        <f t="shared" si="50"/>
        <v>0</v>
      </c>
      <c r="BH77" s="87">
        <f t="shared" si="51"/>
        <v>0</v>
      </c>
      <c r="BI77" s="87">
        <f t="shared" si="52"/>
        <v>0</v>
      </c>
      <c r="BJ77" s="87">
        <f t="shared" si="53"/>
        <v>0</v>
      </c>
      <c r="BK77" s="87">
        <f t="shared" si="54"/>
        <v>0</v>
      </c>
      <c r="BL77" s="87">
        <f t="shared" si="55"/>
        <v>0</v>
      </c>
      <c r="BM77" s="87">
        <f t="shared" si="56"/>
        <v>0</v>
      </c>
      <c r="BN77" s="87">
        <f t="shared" si="57"/>
        <v>0</v>
      </c>
      <c r="BO77" s="87">
        <f t="shared" si="58"/>
        <v>0</v>
      </c>
      <c r="BP77" s="87">
        <f t="shared" si="59"/>
        <v>0</v>
      </c>
      <c r="BQ77" s="87">
        <f t="shared" si="60"/>
        <v>0</v>
      </c>
      <c r="BR77" s="87">
        <f t="shared" si="61"/>
        <v>0</v>
      </c>
      <c r="BS77" s="87">
        <f t="shared" si="62"/>
        <v>0</v>
      </c>
      <c r="BT77" s="96">
        <f t="shared" si="63"/>
        <v>0</v>
      </c>
    </row>
    <row r="78" spans="1:72">
      <c r="A78" s="84"/>
      <c r="B78" s="85"/>
      <c r="C78" s="85"/>
      <c r="D78" s="86"/>
      <c r="E78" s="87">
        <f t="shared" si="35"/>
        <v>0</v>
      </c>
      <c r="F78" s="88"/>
      <c r="G78" s="89">
        <f t="shared" si="36"/>
        <v>0</v>
      </c>
      <c r="H78" s="90">
        <f t="shared" si="37"/>
        <v>0</v>
      </c>
      <c r="I78" s="91"/>
      <c r="J78" s="91"/>
      <c r="K78" s="91"/>
      <c r="L78" s="91"/>
      <c r="M78" s="91"/>
      <c r="N78" s="91"/>
      <c r="O78" s="91"/>
      <c r="P78" s="91"/>
      <c r="Q78" s="91"/>
      <c r="R78" s="91"/>
      <c r="S78" s="91"/>
      <c r="T78" s="91"/>
      <c r="U78" s="91"/>
      <c r="V78" s="91"/>
      <c r="W78" s="91"/>
      <c r="X78" s="91"/>
      <c r="Y78" s="91"/>
      <c r="Z78" s="91"/>
      <c r="AA78" s="91"/>
      <c r="AB78" s="91"/>
      <c r="AC78" s="87">
        <f t="shared" si="38"/>
        <v>0</v>
      </c>
      <c r="AD78" s="92"/>
      <c r="AE78" s="92"/>
      <c r="AF78" s="92"/>
      <c r="AG78" s="92"/>
      <c r="AH78" s="92"/>
      <c r="AI78" s="92"/>
      <c r="AJ78" s="92"/>
      <c r="AK78" s="92"/>
      <c r="AL78" s="92"/>
      <c r="AM78" s="92"/>
      <c r="AN78" s="92"/>
      <c r="AO78" s="92"/>
      <c r="AP78" s="92"/>
      <c r="AQ78" s="92"/>
      <c r="AR78" s="92"/>
      <c r="AS78" s="92"/>
      <c r="AT78" s="93"/>
      <c r="AU78" s="94"/>
      <c r="AV78" s="1980">
        <f t="shared" si="39"/>
        <v>0</v>
      </c>
      <c r="AW78" s="1980">
        <f t="shared" si="40"/>
        <v>0</v>
      </c>
      <c r="AX78" s="1980">
        <f t="shared" si="41"/>
        <v>0</v>
      </c>
      <c r="AY78" s="95">
        <f t="shared" si="42"/>
        <v>0</v>
      </c>
      <c r="AZ78" s="87">
        <f t="shared" si="43"/>
        <v>0</v>
      </c>
      <c r="BA78" s="87">
        <f t="shared" si="44"/>
        <v>0</v>
      </c>
      <c r="BB78" s="87">
        <f t="shared" si="45"/>
        <v>0</v>
      </c>
      <c r="BC78" s="87">
        <f t="shared" si="46"/>
        <v>0</v>
      </c>
      <c r="BD78" s="87">
        <f t="shared" si="47"/>
        <v>0</v>
      </c>
      <c r="BE78" s="87">
        <f t="shared" si="48"/>
        <v>0</v>
      </c>
      <c r="BF78" s="87">
        <f t="shared" si="49"/>
        <v>0</v>
      </c>
      <c r="BG78" s="87">
        <f t="shared" si="50"/>
        <v>0</v>
      </c>
      <c r="BH78" s="87">
        <f t="shared" si="51"/>
        <v>0</v>
      </c>
      <c r="BI78" s="87">
        <f t="shared" si="52"/>
        <v>0</v>
      </c>
      <c r="BJ78" s="87">
        <f t="shared" si="53"/>
        <v>0</v>
      </c>
      <c r="BK78" s="87">
        <f t="shared" si="54"/>
        <v>0</v>
      </c>
      <c r="BL78" s="87">
        <f t="shared" si="55"/>
        <v>0</v>
      </c>
      <c r="BM78" s="87">
        <f t="shared" si="56"/>
        <v>0</v>
      </c>
      <c r="BN78" s="87">
        <f t="shared" si="57"/>
        <v>0</v>
      </c>
      <c r="BO78" s="87">
        <f t="shared" si="58"/>
        <v>0</v>
      </c>
      <c r="BP78" s="87">
        <f t="shared" si="59"/>
        <v>0</v>
      </c>
      <c r="BQ78" s="87">
        <f t="shared" si="60"/>
        <v>0</v>
      </c>
      <c r="BR78" s="87">
        <f t="shared" si="61"/>
        <v>0</v>
      </c>
      <c r="BS78" s="87">
        <f t="shared" si="62"/>
        <v>0</v>
      </c>
      <c r="BT78" s="96">
        <f t="shared" si="63"/>
        <v>0</v>
      </c>
    </row>
    <row r="79" spans="1:72">
      <c r="A79" s="84"/>
      <c r="B79" s="85"/>
      <c r="C79" s="85"/>
      <c r="D79" s="86"/>
      <c r="E79" s="87">
        <f t="shared" si="35"/>
        <v>0</v>
      </c>
      <c r="F79" s="88"/>
      <c r="G79" s="89">
        <f t="shared" si="36"/>
        <v>0</v>
      </c>
      <c r="H79" s="90">
        <f t="shared" si="37"/>
        <v>0</v>
      </c>
      <c r="I79" s="91"/>
      <c r="J79" s="91"/>
      <c r="K79" s="91"/>
      <c r="L79" s="91"/>
      <c r="M79" s="91"/>
      <c r="N79" s="91"/>
      <c r="O79" s="91"/>
      <c r="P79" s="91"/>
      <c r="Q79" s="91"/>
      <c r="R79" s="91"/>
      <c r="S79" s="91"/>
      <c r="T79" s="91"/>
      <c r="U79" s="91"/>
      <c r="V79" s="91"/>
      <c r="W79" s="91"/>
      <c r="X79" s="91"/>
      <c r="Y79" s="91"/>
      <c r="Z79" s="91"/>
      <c r="AA79" s="91"/>
      <c r="AB79" s="91"/>
      <c r="AC79" s="87">
        <f t="shared" si="38"/>
        <v>0</v>
      </c>
      <c r="AD79" s="92"/>
      <c r="AE79" s="92"/>
      <c r="AF79" s="92"/>
      <c r="AG79" s="92"/>
      <c r="AH79" s="92"/>
      <c r="AI79" s="92"/>
      <c r="AJ79" s="92"/>
      <c r="AK79" s="92"/>
      <c r="AL79" s="92"/>
      <c r="AM79" s="92"/>
      <c r="AN79" s="92"/>
      <c r="AO79" s="92"/>
      <c r="AP79" s="92"/>
      <c r="AQ79" s="92"/>
      <c r="AR79" s="92"/>
      <c r="AS79" s="92"/>
      <c r="AT79" s="93"/>
      <c r="AU79" s="94"/>
      <c r="AV79" s="1980">
        <f t="shared" si="39"/>
        <v>0</v>
      </c>
      <c r="AW79" s="1980">
        <f t="shared" si="40"/>
        <v>0</v>
      </c>
      <c r="AX79" s="1980">
        <f t="shared" si="41"/>
        <v>0</v>
      </c>
      <c r="AY79" s="95">
        <f t="shared" si="42"/>
        <v>0</v>
      </c>
      <c r="AZ79" s="87">
        <f t="shared" si="43"/>
        <v>0</v>
      </c>
      <c r="BA79" s="87">
        <f t="shared" si="44"/>
        <v>0</v>
      </c>
      <c r="BB79" s="87">
        <f t="shared" si="45"/>
        <v>0</v>
      </c>
      <c r="BC79" s="87">
        <f t="shared" si="46"/>
        <v>0</v>
      </c>
      <c r="BD79" s="87">
        <f t="shared" si="47"/>
        <v>0</v>
      </c>
      <c r="BE79" s="87">
        <f t="shared" si="48"/>
        <v>0</v>
      </c>
      <c r="BF79" s="87">
        <f t="shared" si="49"/>
        <v>0</v>
      </c>
      <c r="BG79" s="87">
        <f t="shared" si="50"/>
        <v>0</v>
      </c>
      <c r="BH79" s="87">
        <f t="shared" si="51"/>
        <v>0</v>
      </c>
      <c r="BI79" s="87">
        <f t="shared" si="52"/>
        <v>0</v>
      </c>
      <c r="BJ79" s="87">
        <f t="shared" si="53"/>
        <v>0</v>
      </c>
      <c r="BK79" s="87">
        <f t="shared" si="54"/>
        <v>0</v>
      </c>
      <c r="BL79" s="87">
        <f t="shared" si="55"/>
        <v>0</v>
      </c>
      <c r="BM79" s="87">
        <f t="shared" si="56"/>
        <v>0</v>
      </c>
      <c r="BN79" s="87">
        <f t="shared" si="57"/>
        <v>0</v>
      </c>
      <c r="BO79" s="87">
        <f t="shared" si="58"/>
        <v>0</v>
      </c>
      <c r="BP79" s="87">
        <f t="shared" si="59"/>
        <v>0</v>
      </c>
      <c r="BQ79" s="87">
        <f t="shared" si="60"/>
        <v>0</v>
      </c>
      <c r="BR79" s="87">
        <f t="shared" si="61"/>
        <v>0</v>
      </c>
      <c r="BS79" s="87">
        <f t="shared" si="62"/>
        <v>0</v>
      </c>
      <c r="BT79" s="96">
        <f t="shared" si="63"/>
        <v>0</v>
      </c>
    </row>
    <row r="80" spans="1:72">
      <c r="A80" s="84"/>
      <c r="B80" s="85"/>
      <c r="C80" s="85"/>
      <c r="D80" s="86"/>
      <c r="E80" s="87">
        <f t="shared" si="35"/>
        <v>0</v>
      </c>
      <c r="F80" s="88"/>
      <c r="G80" s="89">
        <f t="shared" si="36"/>
        <v>0</v>
      </c>
      <c r="H80" s="90">
        <f t="shared" si="37"/>
        <v>0</v>
      </c>
      <c r="I80" s="91"/>
      <c r="J80" s="91"/>
      <c r="K80" s="91"/>
      <c r="L80" s="91"/>
      <c r="M80" s="91"/>
      <c r="N80" s="91"/>
      <c r="O80" s="91"/>
      <c r="P80" s="91"/>
      <c r="Q80" s="91"/>
      <c r="R80" s="91"/>
      <c r="S80" s="91"/>
      <c r="T80" s="91"/>
      <c r="U80" s="91"/>
      <c r="V80" s="91"/>
      <c r="W80" s="91"/>
      <c r="X80" s="91"/>
      <c r="Y80" s="91"/>
      <c r="Z80" s="91"/>
      <c r="AA80" s="91"/>
      <c r="AB80" s="91"/>
      <c r="AC80" s="87">
        <f t="shared" si="38"/>
        <v>0</v>
      </c>
      <c r="AD80" s="92"/>
      <c r="AE80" s="92"/>
      <c r="AF80" s="92"/>
      <c r="AG80" s="92"/>
      <c r="AH80" s="92"/>
      <c r="AI80" s="92"/>
      <c r="AJ80" s="92"/>
      <c r="AK80" s="92"/>
      <c r="AL80" s="92"/>
      <c r="AM80" s="92"/>
      <c r="AN80" s="92"/>
      <c r="AO80" s="92"/>
      <c r="AP80" s="92"/>
      <c r="AQ80" s="92"/>
      <c r="AR80" s="92"/>
      <c r="AS80" s="92"/>
      <c r="AT80" s="93"/>
      <c r="AU80" s="94"/>
      <c r="AV80" s="1980">
        <f t="shared" si="39"/>
        <v>0</v>
      </c>
      <c r="AW80" s="1980">
        <f t="shared" si="40"/>
        <v>0</v>
      </c>
      <c r="AX80" s="1980">
        <f t="shared" si="41"/>
        <v>0</v>
      </c>
      <c r="AY80" s="95">
        <f t="shared" si="42"/>
        <v>0</v>
      </c>
      <c r="AZ80" s="87">
        <f t="shared" si="43"/>
        <v>0</v>
      </c>
      <c r="BA80" s="87">
        <f t="shared" si="44"/>
        <v>0</v>
      </c>
      <c r="BB80" s="87">
        <f t="shared" si="45"/>
        <v>0</v>
      </c>
      <c r="BC80" s="87">
        <f t="shared" si="46"/>
        <v>0</v>
      </c>
      <c r="BD80" s="87">
        <f t="shared" si="47"/>
        <v>0</v>
      </c>
      <c r="BE80" s="87">
        <f t="shared" si="48"/>
        <v>0</v>
      </c>
      <c r="BF80" s="87">
        <f t="shared" si="49"/>
        <v>0</v>
      </c>
      <c r="BG80" s="87">
        <f t="shared" si="50"/>
        <v>0</v>
      </c>
      <c r="BH80" s="87">
        <f t="shared" si="51"/>
        <v>0</v>
      </c>
      <c r="BI80" s="87">
        <f t="shared" si="52"/>
        <v>0</v>
      </c>
      <c r="BJ80" s="87">
        <f t="shared" si="53"/>
        <v>0</v>
      </c>
      <c r="BK80" s="87">
        <f t="shared" si="54"/>
        <v>0</v>
      </c>
      <c r="BL80" s="87">
        <f t="shared" si="55"/>
        <v>0</v>
      </c>
      <c r="BM80" s="87">
        <f t="shared" si="56"/>
        <v>0</v>
      </c>
      <c r="BN80" s="87">
        <f t="shared" si="57"/>
        <v>0</v>
      </c>
      <c r="BO80" s="87">
        <f t="shared" si="58"/>
        <v>0</v>
      </c>
      <c r="BP80" s="87">
        <f t="shared" si="59"/>
        <v>0</v>
      </c>
      <c r="BQ80" s="87">
        <f t="shared" si="60"/>
        <v>0</v>
      </c>
      <c r="BR80" s="87">
        <f t="shared" si="61"/>
        <v>0</v>
      </c>
      <c r="BS80" s="87">
        <f t="shared" si="62"/>
        <v>0</v>
      </c>
      <c r="BT80" s="96">
        <f t="shared" si="63"/>
        <v>0</v>
      </c>
    </row>
    <row r="81" spans="1:72">
      <c r="A81" s="84"/>
      <c r="B81" s="85"/>
      <c r="C81" s="85"/>
      <c r="D81" s="86"/>
      <c r="E81" s="87">
        <f t="shared" si="35"/>
        <v>0</v>
      </c>
      <c r="F81" s="88"/>
      <c r="G81" s="89">
        <f t="shared" si="36"/>
        <v>0</v>
      </c>
      <c r="H81" s="90">
        <f t="shared" si="37"/>
        <v>0</v>
      </c>
      <c r="I81" s="91"/>
      <c r="J81" s="91"/>
      <c r="K81" s="91"/>
      <c r="L81" s="91"/>
      <c r="M81" s="91"/>
      <c r="N81" s="91"/>
      <c r="O81" s="91"/>
      <c r="P81" s="91"/>
      <c r="Q81" s="91"/>
      <c r="R81" s="91"/>
      <c r="S81" s="91"/>
      <c r="T81" s="91"/>
      <c r="U81" s="91"/>
      <c r="V81" s="91"/>
      <c r="W81" s="91"/>
      <c r="X81" s="91"/>
      <c r="Y81" s="91"/>
      <c r="Z81" s="91"/>
      <c r="AA81" s="91"/>
      <c r="AB81" s="91"/>
      <c r="AC81" s="87">
        <f t="shared" si="38"/>
        <v>0</v>
      </c>
      <c r="AD81" s="92"/>
      <c r="AE81" s="92"/>
      <c r="AF81" s="92"/>
      <c r="AG81" s="92"/>
      <c r="AH81" s="92"/>
      <c r="AI81" s="92"/>
      <c r="AJ81" s="92"/>
      <c r="AK81" s="92"/>
      <c r="AL81" s="92"/>
      <c r="AM81" s="92"/>
      <c r="AN81" s="92"/>
      <c r="AO81" s="92"/>
      <c r="AP81" s="92"/>
      <c r="AQ81" s="92"/>
      <c r="AR81" s="92"/>
      <c r="AS81" s="92"/>
      <c r="AT81" s="93"/>
      <c r="AU81" s="94"/>
      <c r="AV81" s="1980">
        <f t="shared" si="39"/>
        <v>0</v>
      </c>
      <c r="AW81" s="1980">
        <f t="shared" si="40"/>
        <v>0</v>
      </c>
      <c r="AX81" s="1980">
        <f t="shared" si="41"/>
        <v>0</v>
      </c>
      <c r="AY81" s="95">
        <f t="shared" si="42"/>
        <v>0</v>
      </c>
      <c r="AZ81" s="87">
        <f t="shared" si="43"/>
        <v>0</v>
      </c>
      <c r="BA81" s="87">
        <f t="shared" si="44"/>
        <v>0</v>
      </c>
      <c r="BB81" s="87">
        <f t="shared" si="45"/>
        <v>0</v>
      </c>
      <c r="BC81" s="87">
        <f t="shared" si="46"/>
        <v>0</v>
      </c>
      <c r="BD81" s="87">
        <f t="shared" si="47"/>
        <v>0</v>
      </c>
      <c r="BE81" s="87">
        <f t="shared" si="48"/>
        <v>0</v>
      </c>
      <c r="BF81" s="87">
        <f t="shared" si="49"/>
        <v>0</v>
      </c>
      <c r="BG81" s="87">
        <f t="shared" si="50"/>
        <v>0</v>
      </c>
      <c r="BH81" s="87">
        <f t="shared" si="51"/>
        <v>0</v>
      </c>
      <c r="BI81" s="87">
        <f t="shared" si="52"/>
        <v>0</v>
      </c>
      <c r="BJ81" s="87">
        <f t="shared" si="53"/>
        <v>0</v>
      </c>
      <c r="BK81" s="87">
        <f t="shared" si="54"/>
        <v>0</v>
      </c>
      <c r="BL81" s="87">
        <f t="shared" si="55"/>
        <v>0</v>
      </c>
      <c r="BM81" s="87">
        <f t="shared" si="56"/>
        <v>0</v>
      </c>
      <c r="BN81" s="87">
        <f t="shared" si="57"/>
        <v>0</v>
      </c>
      <c r="BO81" s="87">
        <f t="shared" si="58"/>
        <v>0</v>
      </c>
      <c r="BP81" s="87">
        <f t="shared" si="59"/>
        <v>0</v>
      </c>
      <c r="BQ81" s="87">
        <f t="shared" si="60"/>
        <v>0</v>
      </c>
      <c r="BR81" s="87">
        <f t="shared" si="61"/>
        <v>0</v>
      </c>
      <c r="BS81" s="87">
        <f t="shared" si="62"/>
        <v>0</v>
      </c>
      <c r="BT81" s="96">
        <f t="shared" si="63"/>
        <v>0</v>
      </c>
    </row>
    <row r="82" spans="1:72">
      <c r="A82" s="84"/>
      <c r="B82" s="85"/>
      <c r="C82" s="85"/>
      <c r="D82" s="86"/>
      <c r="E82" s="87">
        <f t="shared" si="35"/>
        <v>0</v>
      </c>
      <c r="F82" s="88"/>
      <c r="G82" s="89">
        <f t="shared" si="36"/>
        <v>0</v>
      </c>
      <c r="H82" s="90">
        <f t="shared" si="37"/>
        <v>0</v>
      </c>
      <c r="I82" s="91"/>
      <c r="J82" s="91"/>
      <c r="K82" s="91"/>
      <c r="L82" s="91"/>
      <c r="M82" s="91"/>
      <c r="N82" s="91"/>
      <c r="O82" s="91"/>
      <c r="P82" s="91"/>
      <c r="Q82" s="91"/>
      <c r="R82" s="91"/>
      <c r="S82" s="91"/>
      <c r="T82" s="91"/>
      <c r="U82" s="91"/>
      <c r="V82" s="91"/>
      <c r="W82" s="91"/>
      <c r="X82" s="91"/>
      <c r="Y82" s="91"/>
      <c r="Z82" s="91"/>
      <c r="AA82" s="91"/>
      <c r="AB82" s="91"/>
      <c r="AC82" s="87">
        <f t="shared" si="38"/>
        <v>0</v>
      </c>
      <c r="AD82" s="92"/>
      <c r="AE82" s="92"/>
      <c r="AF82" s="92"/>
      <c r="AG82" s="92"/>
      <c r="AH82" s="92"/>
      <c r="AI82" s="92"/>
      <c r="AJ82" s="92"/>
      <c r="AK82" s="92"/>
      <c r="AL82" s="92"/>
      <c r="AM82" s="92"/>
      <c r="AN82" s="92"/>
      <c r="AO82" s="92"/>
      <c r="AP82" s="92"/>
      <c r="AQ82" s="92"/>
      <c r="AR82" s="92"/>
      <c r="AS82" s="92"/>
      <c r="AT82" s="93"/>
      <c r="AU82" s="94"/>
      <c r="AV82" s="1980">
        <f t="shared" si="39"/>
        <v>0</v>
      </c>
      <c r="AW82" s="1980">
        <f t="shared" si="40"/>
        <v>0</v>
      </c>
      <c r="AX82" s="1980">
        <f t="shared" si="41"/>
        <v>0</v>
      </c>
      <c r="AY82" s="95">
        <f t="shared" si="42"/>
        <v>0</v>
      </c>
      <c r="AZ82" s="87">
        <f t="shared" si="43"/>
        <v>0</v>
      </c>
      <c r="BA82" s="87">
        <f t="shared" si="44"/>
        <v>0</v>
      </c>
      <c r="BB82" s="87">
        <f t="shared" si="45"/>
        <v>0</v>
      </c>
      <c r="BC82" s="87">
        <f t="shared" si="46"/>
        <v>0</v>
      </c>
      <c r="BD82" s="87">
        <f t="shared" si="47"/>
        <v>0</v>
      </c>
      <c r="BE82" s="87">
        <f t="shared" si="48"/>
        <v>0</v>
      </c>
      <c r="BF82" s="87">
        <f t="shared" si="49"/>
        <v>0</v>
      </c>
      <c r="BG82" s="87">
        <f t="shared" si="50"/>
        <v>0</v>
      </c>
      <c r="BH82" s="87">
        <f t="shared" si="51"/>
        <v>0</v>
      </c>
      <c r="BI82" s="87">
        <f t="shared" si="52"/>
        <v>0</v>
      </c>
      <c r="BJ82" s="87">
        <f t="shared" si="53"/>
        <v>0</v>
      </c>
      <c r="BK82" s="87">
        <f t="shared" si="54"/>
        <v>0</v>
      </c>
      <c r="BL82" s="87">
        <f t="shared" si="55"/>
        <v>0</v>
      </c>
      <c r="BM82" s="87">
        <f t="shared" si="56"/>
        <v>0</v>
      </c>
      <c r="BN82" s="87">
        <f t="shared" si="57"/>
        <v>0</v>
      </c>
      <c r="BO82" s="87">
        <f t="shared" si="58"/>
        <v>0</v>
      </c>
      <c r="BP82" s="87">
        <f t="shared" si="59"/>
        <v>0</v>
      </c>
      <c r="BQ82" s="87">
        <f t="shared" si="60"/>
        <v>0</v>
      </c>
      <c r="BR82" s="87">
        <f t="shared" si="61"/>
        <v>0</v>
      </c>
      <c r="BS82" s="87">
        <f t="shared" si="62"/>
        <v>0</v>
      </c>
      <c r="BT82" s="96">
        <f t="shared" si="63"/>
        <v>0</v>
      </c>
    </row>
    <row r="83" spans="1:72">
      <c r="A83" s="84"/>
      <c r="B83" s="85"/>
      <c r="C83" s="85"/>
      <c r="D83" s="86"/>
      <c r="E83" s="87">
        <f t="shared" si="35"/>
        <v>0</v>
      </c>
      <c r="F83" s="88"/>
      <c r="G83" s="89">
        <f t="shared" si="36"/>
        <v>0</v>
      </c>
      <c r="H83" s="90">
        <f t="shared" si="37"/>
        <v>0</v>
      </c>
      <c r="I83" s="91"/>
      <c r="J83" s="91"/>
      <c r="K83" s="91"/>
      <c r="L83" s="91"/>
      <c r="M83" s="91"/>
      <c r="N83" s="91"/>
      <c r="O83" s="91"/>
      <c r="P83" s="91"/>
      <c r="Q83" s="91"/>
      <c r="R83" s="91"/>
      <c r="S83" s="91"/>
      <c r="T83" s="91"/>
      <c r="U83" s="91"/>
      <c r="V83" s="91"/>
      <c r="W83" s="91"/>
      <c r="X83" s="91"/>
      <c r="Y83" s="91"/>
      <c r="Z83" s="91"/>
      <c r="AA83" s="91"/>
      <c r="AB83" s="91"/>
      <c r="AC83" s="87">
        <f t="shared" si="38"/>
        <v>0</v>
      </c>
      <c r="AD83" s="92"/>
      <c r="AE83" s="92"/>
      <c r="AF83" s="92"/>
      <c r="AG83" s="92"/>
      <c r="AH83" s="92"/>
      <c r="AI83" s="92"/>
      <c r="AJ83" s="92"/>
      <c r="AK83" s="92"/>
      <c r="AL83" s="92"/>
      <c r="AM83" s="92"/>
      <c r="AN83" s="92"/>
      <c r="AO83" s="92"/>
      <c r="AP83" s="92"/>
      <c r="AQ83" s="92"/>
      <c r="AR83" s="92"/>
      <c r="AS83" s="92"/>
      <c r="AT83" s="93"/>
      <c r="AU83" s="94"/>
      <c r="AV83" s="1980">
        <f t="shared" si="39"/>
        <v>0</v>
      </c>
      <c r="AW83" s="1980">
        <f t="shared" si="40"/>
        <v>0</v>
      </c>
      <c r="AX83" s="1980">
        <f t="shared" si="41"/>
        <v>0</v>
      </c>
      <c r="AY83" s="95">
        <f t="shared" si="42"/>
        <v>0</v>
      </c>
      <c r="AZ83" s="87">
        <f t="shared" si="43"/>
        <v>0</v>
      </c>
      <c r="BA83" s="87">
        <f t="shared" si="44"/>
        <v>0</v>
      </c>
      <c r="BB83" s="87">
        <f t="shared" si="45"/>
        <v>0</v>
      </c>
      <c r="BC83" s="87">
        <f t="shared" si="46"/>
        <v>0</v>
      </c>
      <c r="BD83" s="87">
        <f t="shared" si="47"/>
        <v>0</v>
      </c>
      <c r="BE83" s="87">
        <f t="shared" si="48"/>
        <v>0</v>
      </c>
      <c r="BF83" s="87">
        <f t="shared" si="49"/>
        <v>0</v>
      </c>
      <c r="BG83" s="87">
        <f t="shared" si="50"/>
        <v>0</v>
      </c>
      <c r="BH83" s="87">
        <f t="shared" si="51"/>
        <v>0</v>
      </c>
      <c r="BI83" s="87">
        <f t="shared" si="52"/>
        <v>0</v>
      </c>
      <c r="BJ83" s="87">
        <f t="shared" si="53"/>
        <v>0</v>
      </c>
      <c r="BK83" s="87">
        <f t="shared" si="54"/>
        <v>0</v>
      </c>
      <c r="BL83" s="87">
        <f t="shared" si="55"/>
        <v>0</v>
      </c>
      <c r="BM83" s="87">
        <f t="shared" si="56"/>
        <v>0</v>
      </c>
      <c r="BN83" s="87">
        <f t="shared" si="57"/>
        <v>0</v>
      </c>
      <c r="BO83" s="87">
        <f t="shared" si="58"/>
        <v>0</v>
      </c>
      <c r="BP83" s="87">
        <f t="shared" si="59"/>
        <v>0</v>
      </c>
      <c r="BQ83" s="87">
        <f t="shared" si="60"/>
        <v>0</v>
      </c>
      <c r="BR83" s="87">
        <f t="shared" si="61"/>
        <v>0</v>
      </c>
      <c r="BS83" s="87">
        <f t="shared" si="62"/>
        <v>0</v>
      </c>
      <c r="BT83" s="96">
        <f t="shared" si="63"/>
        <v>0</v>
      </c>
    </row>
    <row r="84" spans="1:72">
      <c r="A84" s="84"/>
      <c r="B84" s="85"/>
      <c r="C84" s="85"/>
      <c r="D84" s="86"/>
      <c r="E84" s="87">
        <f t="shared" si="35"/>
        <v>0</v>
      </c>
      <c r="F84" s="88"/>
      <c r="G84" s="89">
        <f t="shared" si="36"/>
        <v>0</v>
      </c>
      <c r="H84" s="90">
        <f t="shared" si="37"/>
        <v>0</v>
      </c>
      <c r="I84" s="91"/>
      <c r="J84" s="91"/>
      <c r="K84" s="91"/>
      <c r="L84" s="91"/>
      <c r="M84" s="91"/>
      <c r="N84" s="91"/>
      <c r="O84" s="91"/>
      <c r="P84" s="91"/>
      <c r="Q84" s="91"/>
      <c r="R84" s="91"/>
      <c r="S84" s="91"/>
      <c r="T84" s="91"/>
      <c r="U84" s="91"/>
      <c r="V84" s="91"/>
      <c r="W84" s="91"/>
      <c r="X84" s="91"/>
      <c r="Y84" s="91"/>
      <c r="Z84" s="91"/>
      <c r="AA84" s="91"/>
      <c r="AB84" s="91"/>
      <c r="AC84" s="87">
        <f t="shared" si="38"/>
        <v>0</v>
      </c>
      <c r="AD84" s="92"/>
      <c r="AE84" s="92"/>
      <c r="AF84" s="92"/>
      <c r="AG84" s="92"/>
      <c r="AH84" s="92"/>
      <c r="AI84" s="92"/>
      <c r="AJ84" s="92"/>
      <c r="AK84" s="92"/>
      <c r="AL84" s="92"/>
      <c r="AM84" s="92"/>
      <c r="AN84" s="92"/>
      <c r="AO84" s="92"/>
      <c r="AP84" s="92"/>
      <c r="AQ84" s="92"/>
      <c r="AR84" s="92"/>
      <c r="AS84" s="92"/>
      <c r="AT84" s="93"/>
      <c r="AU84" s="94"/>
      <c r="AV84" s="1980">
        <f t="shared" si="39"/>
        <v>0</v>
      </c>
      <c r="AW84" s="1980">
        <f t="shared" si="40"/>
        <v>0</v>
      </c>
      <c r="AX84" s="1980">
        <f t="shared" si="41"/>
        <v>0</v>
      </c>
      <c r="AY84" s="95">
        <f t="shared" si="42"/>
        <v>0</v>
      </c>
      <c r="AZ84" s="87">
        <f t="shared" si="43"/>
        <v>0</v>
      </c>
      <c r="BA84" s="87">
        <f t="shared" si="44"/>
        <v>0</v>
      </c>
      <c r="BB84" s="87">
        <f t="shared" si="45"/>
        <v>0</v>
      </c>
      <c r="BC84" s="87">
        <f t="shared" si="46"/>
        <v>0</v>
      </c>
      <c r="BD84" s="87">
        <f t="shared" si="47"/>
        <v>0</v>
      </c>
      <c r="BE84" s="87">
        <f t="shared" si="48"/>
        <v>0</v>
      </c>
      <c r="BF84" s="87">
        <f t="shared" si="49"/>
        <v>0</v>
      </c>
      <c r="BG84" s="87">
        <f t="shared" si="50"/>
        <v>0</v>
      </c>
      <c r="BH84" s="87">
        <f t="shared" si="51"/>
        <v>0</v>
      </c>
      <c r="BI84" s="87">
        <f t="shared" si="52"/>
        <v>0</v>
      </c>
      <c r="BJ84" s="87">
        <f t="shared" si="53"/>
        <v>0</v>
      </c>
      <c r="BK84" s="87">
        <f t="shared" si="54"/>
        <v>0</v>
      </c>
      <c r="BL84" s="87">
        <f t="shared" si="55"/>
        <v>0</v>
      </c>
      <c r="BM84" s="87">
        <f t="shared" si="56"/>
        <v>0</v>
      </c>
      <c r="BN84" s="87">
        <f t="shared" si="57"/>
        <v>0</v>
      </c>
      <c r="BO84" s="87">
        <f t="shared" si="58"/>
        <v>0</v>
      </c>
      <c r="BP84" s="87">
        <f t="shared" si="59"/>
        <v>0</v>
      </c>
      <c r="BQ84" s="87">
        <f t="shared" si="60"/>
        <v>0</v>
      </c>
      <c r="BR84" s="87">
        <f t="shared" si="61"/>
        <v>0</v>
      </c>
      <c r="BS84" s="87">
        <f t="shared" si="62"/>
        <v>0</v>
      </c>
      <c r="BT84" s="96">
        <f t="shared" si="63"/>
        <v>0</v>
      </c>
    </row>
    <row r="85" spans="1:72">
      <c r="A85" s="84"/>
      <c r="B85" s="85"/>
      <c r="C85" s="85"/>
      <c r="D85" s="86"/>
      <c r="E85" s="87">
        <f t="shared" si="35"/>
        <v>0</v>
      </c>
      <c r="F85" s="88"/>
      <c r="G85" s="89">
        <f t="shared" si="36"/>
        <v>0</v>
      </c>
      <c r="H85" s="90">
        <f t="shared" si="37"/>
        <v>0</v>
      </c>
      <c r="I85" s="91"/>
      <c r="J85" s="91"/>
      <c r="K85" s="91"/>
      <c r="L85" s="91"/>
      <c r="M85" s="91"/>
      <c r="N85" s="91"/>
      <c r="O85" s="91"/>
      <c r="P85" s="91"/>
      <c r="Q85" s="91"/>
      <c r="R85" s="91"/>
      <c r="S85" s="91"/>
      <c r="T85" s="91"/>
      <c r="U85" s="91"/>
      <c r="V85" s="91"/>
      <c r="W85" s="91"/>
      <c r="X85" s="91"/>
      <c r="Y85" s="91"/>
      <c r="Z85" s="91"/>
      <c r="AA85" s="91"/>
      <c r="AB85" s="91"/>
      <c r="AC85" s="87">
        <f t="shared" si="38"/>
        <v>0</v>
      </c>
      <c r="AD85" s="92"/>
      <c r="AE85" s="92"/>
      <c r="AF85" s="92"/>
      <c r="AG85" s="92"/>
      <c r="AH85" s="92"/>
      <c r="AI85" s="92"/>
      <c r="AJ85" s="92"/>
      <c r="AK85" s="92"/>
      <c r="AL85" s="92"/>
      <c r="AM85" s="92"/>
      <c r="AN85" s="92"/>
      <c r="AO85" s="92"/>
      <c r="AP85" s="92"/>
      <c r="AQ85" s="92"/>
      <c r="AR85" s="92"/>
      <c r="AS85" s="92"/>
      <c r="AT85" s="93"/>
      <c r="AU85" s="94"/>
      <c r="AV85" s="1980">
        <f t="shared" si="39"/>
        <v>0</v>
      </c>
      <c r="AW85" s="1980">
        <f t="shared" si="40"/>
        <v>0</v>
      </c>
      <c r="AX85" s="1980">
        <f t="shared" si="41"/>
        <v>0</v>
      </c>
      <c r="AY85" s="95">
        <f t="shared" si="42"/>
        <v>0</v>
      </c>
      <c r="AZ85" s="87">
        <f t="shared" si="43"/>
        <v>0</v>
      </c>
      <c r="BA85" s="87">
        <f t="shared" si="44"/>
        <v>0</v>
      </c>
      <c r="BB85" s="87">
        <f t="shared" si="45"/>
        <v>0</v>
      </c>
      <c r="BC85" s="87">
        <f t="shared" si="46"/>
        <v>0</v>
      </c>
      <c r="BD85" s="87">
        <f t="shared" si="47"/>
        <v>0</v>
      </c>
      <c r="BE85" s="87">
        <f t="shared" si="48"/>
        <v>0</v>
      </c>
      <c r="BF85" s="87">
        <f t="shared" si="49"/>
        <v>0</v>
      </c>
      <c r="BG85" s="87">
        <f t="shared" si="50"/>
        <v>0</v>
      </c>
      <c r="BH85" s="87">
        <f t="shared" si="51"/>
        <v>0</v>
      </c>
      <c r="BI85" s="87">
        <f t="shared" si="52"/>
        <v>0</v>
      </c>
      <c r="BJ85" s="87">
        <f t="shared" si="53"/>
        <v>0</v>
      </c>
      <c r="BK85" s="87">
        <f t="shared" si="54"/>
        <v>0</v>
      </c>
      <c r="BL85" s="87">
        <f t="shared" si="55"/>
        <v>0</v>
      </c>
      <c r="BM85" s="87">
        <f t="shared" si="56"/>
        <v>0</v>
      </c>
      <c r="BN85" s="87">
        <f t="shared" si="57"/>
        <v>0</v>
      </c>
      <c r="BO85" s="87">
        <f t="shared" si="58"/>
        <v>0</v>
      </c>
      <c r="BP85" s="87">
        <f t="shared" si="59"/>
        <v>0</v>
      </c>
      <c r="BQ85" s="87">
        <f t="shared" si="60"/>
        <v>0</v>
      </c>
      <c r="BR85" s="87">
        <f t="shared" si="61"/>
        <v>0</v>
      </c>
      <c r="BS85" s="87">
        <f t="shared" si="62"/>
        <v>0</v>
      </c>
      <c r="BT85" s="96">
        <f t="shared" si="63"/>
        <v>0</v>
      </c>
    </row>
    <row r="86" spans="1:72">
      <c r="A86" s="84"/>
      <c r="B86" s="85"/>
      <c r="C86" s="85"/>
      <c r="D86" s="86"/>
      <c r="E86" s="87">
        <f t="shared" si="35"/>
        <v>0</v>
      </c>
      <c r="F86" s="88"/>
      <c r="G86" s="89">
        <f t="shared" si="36"/>
        <v>0</v>
      </c>
      <c r="H86" s="90">
        <f t="shared" si="37"/>
        <v>0</v>
      </c>
      <c r="I86" s="91"/>
      <c r="J86" s="91"/>
      <c r="K86" s="91"/>
      <c r="L86" s="91"/>
      <c r="M86" s="91"/>
      <c r="N86" s="91"/>
      <c r="O86" s="91"/>
      <c r="P86" s="91"/>
      <c r="Q86" s="91"/>
      <c r="R86" s="91"/>
      <c r="S86" s="91"/>
      <c r="T86" s="91"/>
      <c r="U86" s="91"/>
      <c r="V86" s="91"/>
      <c r="W86" s="91"/>
      <c r="X86" s="91"/>
      <c r="Y86" s="91"/>
      <c r="Z86" s="91"/>
      <c r="AA86" s="91"/>
      <c r="AB86" s="91"/>
      <c r="AC86" s="87">
        <f t="shared" si="38"/>
        <v>0</v>
      </c>
      <c r="AD86" s="92"/>
      <c r="AE86" s="92"/>
      <c r="AF86" s="92"/>
      <c r="AG86" s="92"/>
      <c r="AH86" s="92"/>
      <c r="AI86" s="92"/>
      <c r="AJ86" s="92"/>
      <c r="AK86" s="92"/>
      <c r="AL86" s="92"/>
      <c r="AM86" s="92"/>
      <c r="AN86" s="92"/>
      <c r="AO86" s="92"/>
      <c r="AP86" s="92"/>
      <c r="AQ86" s="92"/>
      <c r="AR86" s="92"/>
      <c r="AS86" s="92"/>
      <c r="AT86" s="93"/>
      <c r="AU86" s="94"/>
      <c r="AV86" s="1980">
        <f t="shared" si="39"/>
        <v>0</v>
      </c>
      <c r="AW86" s="1980">
        <f t="shared" si="40"/>
        <v>0</v>
      </c>
      <c r="AX86" s="1980">
        <f t="shared" si="41"/>
        <v>0</v>
      </c>
      <c r="AY86" s="95">
        <f t="shared" si="42"/>
        <v>0</v>
      </c>
      <c r="AZ86" s="87">
        <f t="shared" si="43"/>
        <v>0</v>
      </c>
      <c r="BA86" s="87">
        <f t="shared" si="44"/>
        <v>0</v>
      </c>
      <c r="BB86" s="87">
        <f t="shared" si="45"/>
        <v>0</v>
      </c>
      <c r="BC86" s="87">
        <f t="shared" si="46"/>
        <v>0</v>
      </c>
      <c r="BD86" s="87">
        <f t="shared" si="47"/>
        <v>0</v>
      </c>
      <c r="BE86" s="87">
        <f t="shared" si="48"/>
        <v>0</v>
      </c>
      <c r="BF86" s="87">
        <f t="shared" si="49"/>
        <v>0</v>
      </c>
      <c r="BG86" s="87">
        <f t="shared" si="50"/>
        <v>0</v>
      </c>
      <c r="BH86" s="87">
        <f t="shared" si="51"/>
        <v>0</v>
      </c>
      <c r="BI86" s="87">
        <f t="shared" si="52"/>
        <v>0</v>
      </c>
      <c r="BJ86" s="87">
        <f t="shared" si="53"/>
        <v>0</v>
      </c>
      <c r="BK86" s="87">
        <f t="shared" si="54"/>
        <v>0</v>
      </c>
      <c r="BL86" s="87">
        <f t="shared" si="55"/>
        <v>0</v>
      </c>
      <c r="BM86" s="87">
        <f t="shared" si="56"/>
        <v>0</v>
      </c>
      <c r="BN86" s="87">
        <f t="shared" si="57"/>
        <v>0</v>
      </c>
      <c r="BO86" s="87">
        <f t="shared" si="58"/>
        <v>0</v>
      </c>
      <c r="BP86" s="87">
        <f t="shared" si="59"/>
        <v>0</v>
      </c>
      <c r="BQ86" s="87">
        <f t="shared" si="60"/>
        <v>0</v>
      </c>
      <c r="BR86" s="87">
        <f t="shared" si="61"/>
        <v>0</v>
      </c>
      <c r="BS86" s="87">
        <f t="shared" si="62"/>
        <v>0</v>
      </c>
      <c r="BT86" s="96">
        <f t="shared" si="63"/>
        <v>0</v>
      </c>
    </row>
    <row r="87" spans="1:72">
      <c r="A87" s="84"/>
      <c r="B87" s="85"/>
      <c r="C87" s="85"/>
      <c r="D87" s="86"/>
      <c r="E87" s="87">
        <f t="shared" si="35"/>
        <v>0</v>
      </c>
      <c r="F87" s="88"/>
      <c r="G87" s="89">
        <f t="shared" si="36"/>
        <v>0</v>
      </c>
      <c r="H87" s="90">
        <f t="shared" si="37"/>
        <v>0</v>
      </c>
      <c r="I87" s="91"/>
      <c r="J87" s="91"/>
      <c r="K87" s="91"/>
      <c r="L87" s="91"/>
      <c r="M87" s="91"/>
      <c r="N87" s="91"/>
      <c r="O87" s="91"/>
      <c r="P87" s="91"/>
      <c r="Q87" s="91"/>
      <c r="R87" s="91"/>
      <c r="S87" s="91"/>
      <c r="T87" s="91"/>
      <c r="U87" s="91"/>
      <c r="V87" s="91"/>
      <c r="W87" s="91"/>
      <c r="X87" s="91"/>
      <c r="Y87" s="91"/>
      <c r="Z87" s="91"/>
      <c r="AA87" s="91"/>
      <c r="AB87" s="91"/>
      <c r="AC87" s="87">
        <f t="shared" si="38"/>
        <v>0</v>
      </c>
      <c r="AD87" s="92"/>
      <c r="AE87" s="92"/>
      <c r="AF87" s="92"/>
      <c r="AG87" s="92"/>
      <c r="AH87" s="92"/>
      <c r="AI87" s="92"/>
      <c r="AJ87" s="92"/>
      <c r="AK87" s="92"/>
      <c r="AL87" s="92"/>
      <c r="AM87" s="92"/>
      <c r="AN87" s="92"/>
      <c r="AO87" s="92"/>
      <c r="AP87" s="92"/>
      <c r="AQ87" s="92"/>
      <c r="AR87" s="92"/>
      <c r="AS87" s="92"/>
      <c r="AT87" s="93"/>
      <c r="AU87" s="94"/>
      <c r="AV87" s="1980">
        <f t="shared" si="39"/>
        <v>0</v>
      </c>
      <c r="AW87" s="1980">
        <f t="shared" si="40"/>
        <v>0</v>
      </c>
      <c r="AX87" s="1980">
        <f t="shared" si="41"/>
        <v>0</v>
      </c>
      <c r="AY87" s="95">
        <f t="shared" si="42"/>
        <v>0</v>
      </c>
      <c r="AZ87" s="87">
        <f t="shared" si="43"/>
        <v>0</v>
      </c>
      <c r="BA87" s="87">
        <f t="shared" si="44"/>
        <v>0</v>
      </c>
      <c r="BB87" s="87">
        <f t="shared" si="45"/>
        <v>0</v>
      </c>
      <c r="BC87" s="87">
        <f t="shared" si="46"/>
        <v>0</v>
      </c>
      <c r="BD87" s="87">
        <f t="shared" si="47"/>
        <v>0</v>
      </c>
      <c r="BE87" s="87">
        <f t="shared" si="48"/>
        <v>0</v>
      </c>
      <c r="BF87" s="87">
        <f t="shared" si="49"/>
        <v>0</v>
      </c>
      <c r="BG87" s="87">
        <f t="shared" si="50"/>
        <v>0</v>
      </c>
      <c r="BH87" s="87">
        <f t="shared" si="51"/>
        <v>0</v>
      </c>
      <c r="BI87" s="87">
        <f t="shared" si="52"/>
        <v>0</v>
      </c>
      <c r="BJ87" s="87">
        <f t="shared" si="53"/>
        <v>0</v>
      </c>
      <c r="BK87" s="87">
        <f t="shared" si="54"/>
        <v>0</v>
      </c>
      <c r="BL87" s="87">
        <f t="shared" si="55"/>
        <v>0</v>
      </c>
      <c r="BM87" s="87">
        <f t="shared" si="56"/>
        <v>0</v>
      </c>
      <c r="BN87" s="87">
        <f t="shared" si="57"/>
        <v>0</v>
      </c>
      <c r="BO87" s="87">
        <f t="shared" si="58"/>
        <v>0</v>
      </c>
      <c r="BP87" s="87">
        <f t="shared" si="59"/>
        <v>0</v>
      </c>
      <c r="BQ87" s="87">
        <f t="shared" si="60"/>
        <v>0</v>
      </c>
      <c r="BR87" s="87">
        <f t="shared" si="61"/>
        <v>0</v>
      </c>
      <c r="BS87" s="87">
        <f t="shared" si="62"/>
        <v>0</v>
      </c>
      <c r="BT87" s="96">
        <f t="shared" si="63"/>
        <v>0</v>
      </c>
    </row>
    <row r="88" spans="1:72">
      <c r="A88" s="84"/>
      <c r="B88" s="85"/>
      <c r="C88" s="85"/>
      <c r="D88" s="86"/>
      <c r="E88" s="87">
        <f t="shared" si="35"/>
        <v>0</v>
      </c>
      <c r="F88" s="88"/>
      <c r="G88" s="89">
        <f t="shared" si="36"/>
        <v>0</v>
      </c>
      <c r="H88" s="90">
        <f t="shared" si="37"/>
        <v>0</v>
      </c>
      <c r="I88" s="91"/>
      <c r="J88" s="91"/>
      <c r="K88" s="91"/>
      <c r="L88" s="91"/>
      <c r="M88" s="91"/>
      <c r="N88" s="91"/>
      <c r="O88" s="91"/>
      <c r="P88" s="91"/>
      <c r="Q88" s="91"/>
      <c r="R88" s="91"/>
      <c r="S88" s="91"/>
      <c r="T88" s="91"/>
      <c r="U88" s="91"/>
      <c r="V88" s="91"/>
      <c r="W88" s="91"/>
      <c r="X88" s="91"/>
      <c r="Y88" s="91"/>
      <c r="Z88" s="91"/>
      <c r="AA88" s="91"/>
      <c r="AB88" s="91"/>
      <c r="AC88" s="87">
        <f t="shared" si="38"/>
        <v>0</v>
      </c>
      <c r="AD88" s="92"/>
      <c r="AE88" s="92"/>
      <c r="AF88" s="92"/>
      <c r="AG88" s="92"/>
      <c r="AH88" s="92"/>
      <c r="AI88" s="92"/>
      <c r="AJ88" s="92"/>
      <c r="AK88" s="92"/>
      <c r="AL88" s="92"/>
      <c r="AM88" s="92"/>
      <c r="AN88" s="92"/>
      <c r="AO88" s="92"/>
      <c r="AP88" s="92"/>
      <c r="AQ88" s="92"/>
      <c r="AR88" s="92"/>
      <c r="AS88" s="92"/>
      <c r="AT88" s="93"/>
      <c r="AU88" s="94"/>
      <c r="AV88" s="1980">
        <f t="shared" si="39"/>
        <v>0</v>
      </c>
      <c r="AW88" s="1980">
        <f t="shared" si="40"/>
        <v>0</v>
      </c>
      <c r="AX88" s="1980">
        <f t="shared" si="41"/>
        <v>0</v>
      </c>
      <c r="AY88" s="95">
        <f t="shared" si="42"/>
        <v>0</v>
      </c>
      <c r="AZ88" s="87">
        <f t="shared" si="43"/>
        <v>0</v>
      </c>
      <c r="BA88" s="87">
        <f t="shared" si="44"/>
        <v>0</v>
      </c>
      <c r="BB88" s="87">
        <f t="shared" si="45"/>
        <v>0</v>
      </c>
      <c r="BC88" s="87">
        <f t="shared" si="46"/>
        <v>0</v>
      </c>
      <c r="BD88" s="87">
        <f t="shared" si="47"/>
        <v>0</v>
      </c>
      <c r="BE88" s="87">
        <f t="shared" si="48"/>
        <v>0</v>
      </c>
      <c r="BF88" s="87">
        <f t="shared" si="49"/>
        <v>0</v>
      </c>
      <c r="BG88" s="87">
        <f t="shared" si="50"/>
        <v>0</v>
      </c>
      <c r="BH88" s="87">
        <f t="shared" si="51"/>
        <v>0</v>
      </c>
      <c r="BI88" s="87">
        <f t="shared" si="52"/>
        <v>0</v>
      </c>
      <c r="BJ88" s="87">
        <f t="shared" si="53"/>
        <v>0</v>
      </c>
      <c r="BK88" s="87">
        <f t="shared" si="54"/>
        <v>0</v>
      </c>
      <c r="BL88" s="87">
        <f t="shared" si="55"/>
        <v>0</v>
      </c>
      <c r="BM88" s="87">
        <f t="shared" si="56"/>
        <v>0</v>
      </c>
      <c r="BN88" s="87">
        <f t="shared" si="57"/>
        <v>0</v>
      </c>
      <c r="BO88" s="87">
        <f t="shared" si="58"/>
        <v>0</v>
      </c>
      <c r="BP88" s="87">
        <f t="shared" si="59"/>
        <v>0</v>
      </c>
      <c r="BQ88" s="87">
        <f t="shared" si="60"/>
        <v>0</v>
      </c>
      <c r="BR88" s="87">
        <f t="shared" si="61"/>
        <v>0</v>
      </c>
      <c r="BS88" s="87">
        <f t="shared" si="62"/>
        <v>0</v>
      </c>
      <c r="BT88" s="96">
        <f t="shared" si="63"/>
        <v>0</v>
      </c>
    </row>
    <row r="89" spans="1:72">
      <c r="A89" s="84"/>
      <c r="B89" s="85"/>
      <c r="C89" s="85"/>
      <c r="D89" s="86"/>
      <c r="E89" s="87">
        <f t="shared" si="35"/>
        <v>0</v>
      </c>
      <c r="F89" s="88"/>
      <c r="G89" s="89">
        <f t="shared" si="36"/>
        <v>0</v>
      </c>
      <c r="H89" s="90">
        <f t="shared" si="37"/>
        <v>0</v>
      </c>
      <c r="I89" s="91"/>
      <c r="J89" s="91"/>
      <c r="K89" s="91"/>
      <c r="L89" s="91"/>
      <c r="M89" s="91"/>
      <c r="N89" s="91"/>
      <c r="O89" s="91"/>
      <c r="P89" s="91"/>
      <c r="Q89" s="91"/>
      <c r="R89" s="91"/>
      <c r="S89" s="91"/>
      <c r="T89" s="91"/>
      <c r="U89" s="91"/>
      <c r="V89" s="91"/>
      <c r="W89" s="91"/>
      <c r="X89" s="91"/>
      <c r="Y89" s="91"/>
      <c r="Z89" s="91"/>
      <c r="AA89" s="91"/>
      <c r="AB89" s="91"/>
      <c r="AC89" s="87">
        <f t="shared" si="38"/>
        <v>0</v>
      </c>
      <c r="AD89" s="92"/>
      <c r="AE89" s="92"/>
      <c r="AF89" s="92"/>
      <c r="AG89" s="92"/>
      <c r="AH89" s="92"/>
      <c r="AI89" s="92"/>
      <c r="AJ89" s="92"/>
      <c r="AK89" s="92"/>
      <c r="AL89" s="92"/>
      <c r="AM89" s="92"/>
      <c r="AN89" s="92"/>
      <c r="AO89" s="92"/>
      <c r="AP89" s="92"/>
      <c r="AQ89" s="92"/>
      <c r="AR89" s="92"/>
      <c r="AS89" s="92"/>
      <c r="AT89" s="93"/>
      <c r="AU89" s="94"/>
      <c r="AV89" s="1980">
        <f t="shared" si="39"/>
        <v>0</v>
      </c>
      <c r="AW89" s="1980">
        <f t="shared" si="40"/>
        <v>0</v>
      </c>
      <c r="AX89" s="1980">
        <f t="shared" si="41"/>
        <v>0</v>
      </c>
      <c r="AY89" s="95">
        <f t="shared" si="42"/>
        <v>0</v>
      </c>
      <c r="AZ89" s="87">
        <f t="shared" si="43"/>
        <v>0</v>
      </c>
      <c r="BA89" s="87">
        <f t="shared" si="44"/>
        <v>0</v>
      </c>
      <c r="BB89" s="87">
        <f t="shared" si="45"/>
        <v>0</v>
      </c>
      <c r="BC89" s="87">
        <f t="shared" si="46"/>
        <v>0</v>
      </c>
      <c r="BD89" s="87">
        <f t="shared" si="47"/>
        <v>0</v>
      </c>
      <c r="BE89" s="87">
        <f t="shared" si="48"/>
        <v>0</v>
      </c>
      <c r="BF89" s="87">
        <f t="shared" si="49"/>
        <v>0</v>
      </c>
      <c r="BG89" s="87">
        <f t="shared" si="50"/>
        <v>0</v>
      </c>
      <c r="BH89" s="87">
        <f t="shared" si="51"/>
        <v>0</v>
      </c>
      <c r="BI89" s="87">
        <f t="shared" si="52"/>
        <v>0</v>
      </c>
      <c r="BJ89" s="87">
        <f t="shared" si="53"/>
        <v>0</v>
      </c>
      <c r="BK89" s="87">
        <f t="shared" si="54"/>
        <v>0</v>
      </c>
      <c r="BL89" s="87">
        <f t="shared" si="55"/>
        <v>0</v>
      </c>
      <c r="BM89" s="87">
        <f t="shared" si="56"/>
        <v>0</v>
      </c>
      <c r="BN89" s="87">
        <f t="shared" si="57"/>
        <v>0</v>
      </c>
      <c r="BO89" s="87">
        <f t="shared" si="58"/>
        <v>0</v>
      </c>
      <c r="BP89" s="87">
        <f t="shared" si="59"/>
        <v>0</v>
      </c>
      <c r="BQ89" s="87">
        <f t="shared" si="60"/>
        <v>0</v>
      </c>
      <c r="BR89" s="87">
        <f t="shared" si="61"/>
        <v>0</v>
      </c>
      <c r="BS89" s="87">
        <f t="shared" si="62"/>
        <v>0</v>
      </c>
      <c r="BT89" s="96">
        <f t="shared" si="63"/>
        <v>0</v>
      </c>
    </row>
    <row r="90" spans="1:72">
      <c r="A90" s="84"/>
      <c r="B90" s="85"/>
      <c r="C90" s="85"/>
      <c r="D90" s="86"/>
      <c r="E90" s="87">
        <f t="shared" si="35"/>
        <v>0</v>
      </c>
      <c r="F90" s="88"/>
      <c r="G90" s="89">
        <f t="shared" si="36"/>
        <v>0</v>
      </c>
      <c r="H90" s="90">
        <f t="shared" si="37"/>
        <v>0</v>
      </c>
      <c r="I90" s="91"/>
      <c r="J90" s="91"/>
      <c r="K90" s="91"/>
      <c r="L90" s="91"/>
      <c r="M90" s="91"/>
      <c r="N90" s="91"/>
      <c r="O90" s="91"/>
      <c r="P90" s="91"/>
      <c r="Q90" s="91"/>
      <c r="R90" s="91"/>
      <c r="S90" s="91"/>
      <c r="T90" s="91"/>
      <c r="U90" s="91"/>
      <c r="V90" s="91"/>
      <c r="W90" s="91"/>
      <c r="X90" s="91"/>
      <c r="Y90" s="91"/>
      <c r="Z90" s="91"/>
      <c r="AA90" s="91"/>
      <c r="AB90" s="91"/>
      <c r="AC90" s="87">
        <f t="shared" si="38"/>
        <v>0</v>
      </c>
      <c r="AD90" s="92"/>
      <c r="AE90" s="92"/>
      <c r="AF90" s="92"/>
      <c r="AG90" s="92"/>
      <c r="AH90" s="92"/>
      <c r="AI90" s="92"/>
      <c r="AJ90" s="92"/>
      <c r="AK90" s="92"/>
      <c r="AL90" s="92"/>
      <c r="AM90" s="92"/>
      <c r="AN90" s="92"/>
      <c r="AO90" s="92"/>
      <c r="AP90" s="92"/>
      <c r="AQ90" s="92"/>
      <c r="AR90" s="92"/>
      <c r="AS90" s="92"/>
      <c r="AT90" s="93"/>
      <c r="AU90" s="94"/>
      <c r="AV90" s="1980">
        <f t="shared" si="39"/>
        <v>0</v>
      </c>
      <c r="AW90" s="1980">
        <f t="shared" si="40"/>
        <v>0</v>
      </c>
      <c r="AX90" s="1980">
        <f t="shared" si="41"/>
        <v>0</v>
      </c>
      <c r="AY90" s="95">
        <f t="shared" si="42"/>
        <v>0</v>
      </c>
      <c r="AZ90" s="87">
        <f t="shared" si="43"/>
        <v>0</v>
      </c>
      <c r="BA90" s="87">
        <f t="shared" si="44"/>
        <v>0</v>
      </c>
      <c r="BB90" s="87">
        <f t="shared" si="45"/>
        <v>0</v>
      </c>
      <c r="BC90" s="87">
        <f t="shared" si="46"/>
        <v>0</v>
      </c>
      <c r="BD90" s="87">
        <f t="shared" si="47"/>
        <v>0</v>
      </c>
      <c r="BE90" s="87">
        <f t="shared" si="48"/>
        <v>0</v>
      </c>
      <c r="BF90" s="87">
        <f t="shared" si="49"/>
        <v>0</v>
      </c>
      <c r="BG90" s="87">
        <f t="shared" si="50"/>
        <v>0</v>
      </c>
      <c r="BH90" s="87">
        <f t="shared" si="51"/>
        <v>0</v>
      </c>
      <c r="BI90" s="87">
        <f t="shared" si="52"/>
        <v>0</v>
      </c>
      <c r="BJ90" s="87">
        <f t="shared" si="53"/>
        <v>0</v>
      </c>
      <c r="BK90" s="87">
        <f t="shared" si="54"/>
        <v>0</v>
      </c>
      <c r="BL90" s="87">
        <f t="shared" si="55"/>
        <v>0</v>
      </c>
      <c r="BM90" s="87">
        <f t="shared" si="56"/>
        <v>0</v>
      </c>
      <c r="BN90" s="87">
        <f t="shared" si="57"/>
        <v>0</v>
      </c>
      <c r="BO90" s="87">
        <f t="shared" si="58"/>
        <v>0</v>
      </c>
      <c r="BP90" s="87">
        <f t="shared" si="59"/>
        <v>0</v>
      </c>
      <c r="BQ90" s="87">
        <f t="shared" si="60"/>
        <v>0</v>
      </c>
      <c r="BR90" s="87">
        <f t="shared" si="61"/>
        <v>0</v>
      </c>
      <c r="BS90" s="87">
        <f t="shared" si="62"/>
        <v>0</v>
      </c>
      <c r="BT90" s="96">
        <f t="shared" si="63"/>
        <v>0</v>
      </c>
    </row>
    <row r="91" spans="1:72">
      <c r="A91" s="84"/>
      <c r="B91" s="85"/>
      <c r="C91" s="85"/>
      <c r="D91" s="86"/>
      <c r="E91" s="87">
        <f t="shared" si="35"/>
        <v>0</v>
      </c>
      <c r="F91" s="88"/>
      <c r="G91" s="89">
        <f t="shared" si="36"/>
        <v>0</v>
      </c>
      <c r="H91" s="90">
        <f t="shared" si="37"/>
        <v>0</v>
      </c>
      <c r="I91" s="91"/>
      <c r="J91" s="91"/>
      <c r="K91" s="91"/>
      <c r="L91" s="91"/>
      <c r="M91" s="91"/>
      <c r="N91" s="91"/>
      <c r="O91" s="91"/>
      <c r="P91" s="91"/>
      <c r="Q91" s="91"/>
      <c r="R91" s="91"/>
      <c r="S91" s="91"/>
      <c r="T91" s="91"/>
      <c r="U91" s="91"/>
      <c r="V91" s="91"/>
      <c r="W91" s="91"/>
      <c r="X91" s="91"/>
      <c r="Y91" s="91"/>
      <c r="Z91" s="91"/>
      <c r="AA91" s="91"/>
      <c r="AB91" s="91"/>
      <c r="AC91" s="87">
        <f t="shared" si="38"/>
        <v>0</v>
      </c>
      <c r="AD91" s="92"/>
      <c r="AE91" s="92"/>
      <c r="AF91" s="92"/>
      <c r="AG91" s="92"/>
      <c r="AH91" s="92"/>
      <c r="AI91" s="92"/>
      <c r="AJ91" s="92"/>
      <c r="AK91" s="92"/>
      <c r="AL91" s="92"/>
      <c r="AM91" s="92"/>
      <c r="AN91" s="92"/>
      <c r="AO91" s="92"/>
      <c r="AP91" s="92"/>
      <c r="AQ91" s="92"/>
      <c r="AR91" s="92"/>
      <c r="AS91" s="92"/>
      <c r="AT91" s="93"/>
      <c r="AU91" s="94"/>
      <c r="AV91" s="1980">
        <f t="shared" si="39"/>
        <v>0</v>
      </c>
      <c r="AW91" s="1980">
        <f t="shared" si="40"/>
        <v>0</v>
      </c>
      <c r="AX91" s="1980">
        <f t="shared" si="41"/>
        <v>0</v>
      </c>
      <c r="AY91" s="95">
        <f t="shared" si="42"/>
        <v>0</v>
      </c>
      <c r="AZ91" s="87">
        <f t="shared" si="43"/>
        <v>0</v>
      </c>
      <c r="BA91" s="87">
        <f t="shared" si="44"/>
        <v>0</v>
      </c>
      <c r="BB91" s="87">
        <f t="shared" si="45"/>
        <v>0</v>
      </c>
      <c r="BC91" s="87">
        <f t="shared" si="46"/>
        <v>0</v>
      </c>
      <c r="BD91" s="87">
        <f t="shared" si="47"/>
        <v>0</v>
      </c>
      <c r="BE91" s="87">
        <f t="shared" si="48"/>
        <v>0</v>
      </c>
      <c r="BF91" s="87">
        <f t="shared" si="49"/>
        <v>0</v>
      </c>
      <c r="BG91" s="87">
        <f t="shared" si="50"/>
        <v>0</v>
      </c>
      <c r="BH91" s="87">
        <f t="shared" si="51"/>
        <v>0</v>
      </c>
      <c r="BI91" s="87">
        <f t="shared" si="52"/>
        <v>0</v>
      </c>
      <c r="BJ91" s="87">
        <f t="shared" si="53"/>
        <v>0</v>
      </c>
      <c r="BK91" s="87">
        <f t="shared" si="54"/>
        <v>0</v>
      </c>
      <c r="BL91" s="87">
        <f t="shared" si="55"/>
        <v>0</v>
      </c>
      <c r="BM91" s="87">
        <f t="shared" si="56"/>
        <v>0</v>
      </c>
      <c r="BN91" s="87">
        <f t="shared" si="57"/>
        <v>0</v>
      </c>
      <c r="BO91" s="87">
        <f t="shared" si="58"/>
        <v>0</v>
      </c>
      <c r="BP91" s="87">
        <f t="shared" si="59"/>
        <v>0</v>
      </c>
      <c r="BQ91" s="87">
        <f t="shared" si="60"/>
        <v>0</v>
      </c>
      <c r="BR91" s="87">
        <f t="shared" si="61"/>
        <v>0</v>
      </c>
      <c r="BS91" s="87">
        <f t="shared" si="62"/>
        <v>0</v>
      </c>
      <c r="BT91" s="96">
        <f t="shared" si="63"/>
        <v>0</v>
      </c>
    </row>
    <row r="92" spans="1:72">
      <c r="A92" s="84"/>
      <c r="B92" s="85"/>
      <c r="C92" s="85"/>
      <c r="D92" s="86"/>
      <c r="E92" s="87">
        <f t="shared" si="35"/>
        <v>0</v>
      </c>
      <c r="F92" s="88"/>
      <c r="G92" s="89">
        <f t="shared" si="36"/>
        <v>0</v>
      </c>
      <c r="H92" s="90">
        <f t="shared" si="37"/>
        <v>0</v>
      </c>
      <c r="I92" s="91"/>
      <c r="J92" s="91"/>
      <c r="K92" s="91"/>
      <c r="L92" s="91"/>
      <c r="M92" s="91"/>
      <c r="N92" s="91"/>
      <c r="O92" s="91"/>
      <c r="P92" s="91"/>
      <c r="Q92" s="91"/>
      <c r="R92" s="91"/>
      <c r="S92" s="91"/>
      <c r="T92" s="91"/>
      <c r="U92" s="91"/>
      <c r="V92" s="91"/>
      <c r="W92" s="91"/>
      <c r="X92" s="91"/>
      <c r="Y92" s="91"/>
      <c r="Z92" s="91"/>
      <c r="AA92" s="91"/>
      <c r="AB92" s="91"/>
      <c r="AC92" s="87">
        <f t="shared" si="38"/>
        <v>0</v>
      </c>
      <c r="AD92" s="92"/>
      <c r="AE92" s="92"/>
      <c r="AF92" s="92"/>
      <c r="AG92" s="92"/>
      <c r="AH92" s="92"/>
      <c r="AI92" s="92"/>
      <c r="AJ92" s="92"/>
      <c r="AK92" s="92"/>
      <c r="AL92" s="92"/>
      <c r="AM92" s="92"/>
      <c r="AN92" s="92"/>
      <c r="AO92" s="92"/>
      <c r="AP92" s="92"/>
      <c r="AQ92" s="92"/>
      <c r="AR92" s="92"/>
      <c r="AS92" s="92"/>
      <c r="AT92" s="93"/>
      <c r="AU92" s="94"/>
      <c r="AV92" s="1980">
        <f t="shared" si="39"/>
        <v>0</v>
      </c>
      <c r="AW92" s="1980">
        <f t="shared" si="40"/>
        <v>0</v>
      </c>
      <c r="AX92" s="1980">
        <f t="shared" si="41"/>
        <v>0</v>
      </c>
      <c r="AY92" s="95">
        <f t="shared" si="42"/>
        <v>0</v>
      </c>
      <c r="AZ92" s="87">
        <f t="shared" si="43"/>
        <v>0</v>
      </c>
      <c r="BA92" s="87">
        <f t="shared" si="44"/>
        <v>0</v>
      </c>
      <c r="BB92" s="87">
        <f t="shared" si="45"/>
        <v>0</v>
      </c>
      <c r="BC92" s="87">
        <f t="shared" si="46"/>
        <v>0</v>
      </c>
      <c r="BD92" s="87">
        <f t="shared" si="47"/>
        <v>0</v>
      </c>
      <c r="BE92" s="87">
        <f t="shared" si="48"/>
        <v>0</v>
      </c>
      <c r="BF92" s="87">
        <f t="shared" si="49"/>
        <v>0</v>
      </c>
      <c r="BG92" s="87">
        <f t="shared" si="50"/>
        <v>0</v>
      </c>
      <c r="BH92" s="87">
        <f t="shared" si="51"/>
        <v>0</v>
      </c>
      <c r="BI92" s="87">
        <f t="shared" si="52"/>
        <v>0</v>
      </c>
      <c r="BJ92" s="87">
        <f t="shared" si="53"/>
        <v>0</v>
      </c>
      <c r="BK92" s="87">
        <f t="shared" si="54"/>
        <v>0</v>
      </c>
      <c r="BL92" s="87">
        <f t="shared" si="55"/>
        <v>0</v>
      </c>
      <c r="BM92" s="87">
        <f t="shared" si="56"/>
        <v>0</v>
      </c>
      <c r="BN92" s="87">
        <f t="shared" si="57"/>
        <v>0</v>
      </c>
      <c r="BO92" s="87">
        <f t="shared" si="58"/>
        <v>0</v>
      </c>
      <c r="BP92" s="87">
        <f t="shared" si="59"/>
        <v>0</v>
      </c>
      <c r="BQ92" s="87">
        <f t="shared" si="60"/>
        <v>0</v>
      </c>
      <c r="BR92" s="87">
        <f t="shared" si="61"/>
        <v>0</v>
      </c>
      <c r="BS92" s="87">
        <f t="shared" si="62"/>
        <v>0</v>
      </c>
      <c r="BT92" s="96">
        <f t="shared" si="63"/>
        <v>0</v>
      </c>
    </row>
    <row r="93" spans="1:72">
      <c r="A93" s="84"/>
      <c r="B93" s="85"/>
      <c r="C93" s="85"/>
      <c r="D93" s="86"/>
      <c r="E93" s="87">
        <f t="shared" si="35"/>
        <v>0</v>
      </c>
      <c r="F93" s="88"/>
      <c r="G93" s="89">
        <f t="shared" si="36"/>
        <v>0</v>
      </c>
      <c r="H93" s="90">
        <f t="shared" si="37"/>
        <v>0</v>
      </c>
      <c r="I93" s="91"/>
      <c r="J93" s="91"/>
      <c r="K93" s="91"/>
      <c r="L93" s="91"/>
      <c r="M93" s="91"/>
      <c r="N93" s="91"/>
      <c r="O93" s="91"/>
      <c r="P93" s="91"/>
      <c r="Q93" s="91"/>
      <c r="R93" s="91"/>
      <c r="S93" s="91"/>
      <c r="T93" s="91"/>
      <c r="U93" s="91"/>
      <c r="V93" s="91"/>
      <c r="W93" s="91"/>
      <c r="X93" s="91"/>
      <c r="Y93" s="91"/>
      <c r="Z93" s="91"/>
      <c r="AA93" s="91"/>
      <c r="AB93" s="91"/>
      <c r="AC93" s="87">
        <f t="shared" si="38"/>
        <v>0</v>
      </c>
      <c r="AD93" s="92"/>
      <c r="AE93" s="92"/>
      <c r="AF93" s="92"/>
      <c r="AG93" s="92"/>
      <c r="AH93" s="92"/>
      <c r="AI93" s="92"/>
      <c r="AJ93" s="92"/>
      <c r="AK93" s="92"/>
      <c r="AL93" s="92"/>
      <c r="AM93" s="92"/>
      <c r="AN93" s="92"/>
      <c r="AO93" s="92"/>
      <c r="AP93" s="92"/>
      <c r="AQ93" s="92"/>
      <c r="AR93" s="92"/>
      <c r="AS93" s="92"/>
      <c r="AT93" s="93"/>
      <c r="AU93" s="94"/>
      <c r="AV93" s="1980">
        <f t="shared" si="39"/>
        <v>0</v>
      </c>
      <c r="AW93" s="1980">
        <f t="shared" si="40"/>
        <v>0</v>
      </c>
      <c r="AX93" s="1980">
        <f t="shared" si="41"/>
        <v>0</v>
      </c>
      <c r="AY93" s="95">
        <f t="shared" si="42"/>
        <v>0</v>
      </c>
      <c r="AZ93" s="87">
        <f t="shared" si="43"/>
        <v>0</v>
      </c>
      <c r="BA93" s="87">
        <f t="shared" si="44"/>
        <v>0</v>
      </c>
      <c r="BB93" s="87">
        <f t="shared" si="45"/>
        <v>0</v>
      </c>
      <c r="BC93" s="87">
        <f t="shared" si="46"/>
        <v>0</v>
      </c>
      <c r="BD93" s="87">
        <f t="shared" si="47"/>
        <v>0</v>
      </c>
      <c r="BE93" s="87">
        <f t="shared" si="48"/>
        <v>0</v>
      </c>
      <c r="BF93" s="87">
        <f t="shared" si="49"/>
        <v>0</v>
      </c>
      <c r="BG93" s="87">
        <f t="shared" si="50"/>
        <v>0</v>
      </c>
      <c r="BH93" s="87">
        <f t="shared" si="51"/>
        <v>0</v>
      </c>
      <c r="BI93" s="87">
        <f t="shared" si="52"/>
        <v>0</v>
      </c>
      <c r="BJ93" s="87">
        <f t="shared" si="53"/>
        <v>0</v>
      </c>
      <c r="BK93" s="87">
        <f t="shared" si="54"/>
        <v>0</v>
      </c>
      <c r="BL93" s="87">
        <f t="shared" si="55"/>
        <v>0</v>
      </c>
      <c r="BM93" s="87">
        <f t="shared" si="56"/>
        <v>0</v>
      </c>
      <c r="BN93" s="87">
        <f t="shared" si="57"/>
        <v>0</v>
      </c>
      <c r="BO93" s="87">
        <f t="shared" si="58"/>
        <v>0</v>
      </c>
      <c r="BP93" s="87">
        <f t="shared" si="59"/>
        <v>0</v>
      </c>
      <c r="BQ93" s="87">
        <f t="shared" si="60"/>
        <v>0</v>
      </c>
      <c r="BR93" s="87">
        <f t="shared" si="61"/>
        <v>0</v>
      </c>
      <c r="BS93" s="87">
        <f t="shared" si="62"/>
        <v>0</v>
      </c>
      <c r="BT93" s="96">
        <f t="shared" si="63"/>
        <v>0</v>
      </c>
    </row>
    <row r="94" spans="1:72">
      <c r="A94" s="84"/>
      <c r="B94" s="85"/>
      <c r="C94" s="85"/>
      <c r="D94" s="86"/>
      <c r="E94" s="87">
        <f t="shared" si="35"/>
        <v>0</v>
      </c>
      <c r="F94" s="88"/>
      <c r="G94" s="89">
        <f t="shared" si="36"/>
        <v>0</v>
      </c>
      <c r="H94" s="90">
        <f t="shared" si="37"/>
        <v>0</v>
      </c>
      <c r="I94" s="91"/>
      <c r="J94" s="91"/>
      <c r="K94" s="91"/>
      <c r="L94" s="91"/>
      <c r="M94" s="91"/>
      <c r="N94" s="91"/>
      <c r="O94" s="91"/>
      <c r="P94" s="91"/>
      <c r="Q94" s="91"/>
      <c r="R94" s="91"/>
      <c r="S94" s="91"/>
      <c r="T94" s="91"/>
      <c r="U94" s="91"/>
      <c r="V94" s="91"/>
      <c r="W94" s="91"/>
      <c r="X94" s="91"/>
      <c r="Y94" s="91"/>
      <c r="Z94" s="91"/>
      <c r="AA94" s="91"/>
      <c r="AB94" s="91"/>
      <c r="AC94" s="87">
        <f t="shared" si="38"/>
        <v>0</v>
      </c>
      <c r="AD94" s="92"/>
      <c r="AE94" s="92"/>
      <c r="AF94" s="92"/>
      <c r="AG94" s="92"/>
      <c r="AH94" s="92"/>
      <c r="AI94" s="92"/>
      <c r="AJ94" s="92"/>
      <c r="AK94" s="92"/>
      <c r="AL94" s="92"/>
      <c r="AM94" s="92"/>
      <c r="AN94" s="92"/>
      <c r="AO94" s="92"/>
      <c r="AP94" s="92"/>
      <c r="AQ94" s="92"/>
      <c r="AR94" s="92"/>
      <c r="AS94" s="92"/>
      <c r="AT94" s="93"/>
      <c r="AU94" s="94"/>
      <c r="AV94" s="1980">
        <f t="shared" si="39"/>
        <v>0</v>
      </c>
      <c r="AW94" s="1980">
        <f t="shared" si="40"/>
        <v>0</v>
      </c>
      <c r="AX94" s="1980">
        <f t="shared" si="41"/>
        <v>0</v>
      </c>
      <c r="AY94" s="95">
        <f t="shared" si="42"/>
        <v>0</v>
      </c>
      <c r="AZ94" s="87">
        <f t="shared" si="43"/>
        <v>0</v>
      </c>
      <c r="BA94" s="87">
        <f t="shared" si="44"/>
        <v>0</v>
      </c>
      <c r="BB94" s="87">
        <f t="shared" si="45"/>
        <v>0</v>
      </c>
      <c r="BC94" s="87">
        <f t="shared" si="46"/>
        <v>0</v>
      </c>
      <c r="BD94" s="87">
        <f t="shared" si="47"/>
        <v>0</v>
      </c>
      <c r="BE94" s="87">
        <f t="shared" si="48"/>
        <v>0</v>
      </c>
      <c r="BF94" s="87">
        <f t="shared" si="49"/>
        <v>0</v>
      </c>
      <c r="BG94" s="87">
        <f t="shared" si="50"/>
        <v>0</v>
      </c>
      <c r="BH94" s="87">
        <f t="shared" si="51"/>
        <v>0</v>
      </c>
      <c r="BI94" s="87">
        <f t="shared" si="52"/>
        <v>0</v>
      </c>
      <c r="BJ94" s="87">
        <f t="shared" si="53"/>
        <v>0</v>
      </c>
      <c r="BK94" s="87">
        <f t="shared" si="54"/>
        <v>0</v>
      </c>
      <c r="BL94" s="87">
        <f t="shared" si="55"/>
        <v>0</v>
      </c>
      <c r="BM94" s="87">
        <f t="shared" si="56"/>
        <v>0</v>
      </c>
      <c r="BN94" s="87">
        <f t="shared" si="57"/>
        <v>0</v>
      </c>
      <c r="BO94" s="87">
        <f t="shared" si="58"/>
        <v>0</v>
      </c>
      <c r="BP94" s="87">
        <f t="shared" si="59"/>
        <v>0</v>
      </c>
      <c r="BQ94" s="87">
        <f t="shared" si="60"/>
        <v>0</v>
      </c>
      <c r="BR94" s="87">
        <f t="shared" si="61"/>
        <v>0</v>
      </c>
      <c r="BS94" s="87">
        <f t="shared" si="62"/>
        <v>0</v>
      </c>
      <c r="BT94" s="96">
        <f t="shared" si="63"/>
        <v>0</v>
      </c>
    </row>
    <row r="95" spans="1:72">
      <c r="A95" s="84"/>
      <c r="B95" s="85"/>
      <c r="C95" s="85"/>
      <c r="D95" s="86"/>
      <c r="E95" s="87">
        <f t="shared" si="35"/>
        <v>0</v>
      </c>
      <c r="F95" s="88"/>
      <c r="G95" s="89">
        <f t="shared" si="36"/>
        <v>0</v>
      </c>
      <c r="H95" s="90">
        <f t="shared" si="37"/>
        <v>0</v>
      </c>
      <c r="I95" s="91"/>
      <c r="J95" s="91"/>
      <c r="K95" s="91"/>
      <c r="L95" s="91"/>
      <c r="M95" s="91"/>
      <c r="N95" s="91"/>
      <c r="O95" s="91"/>
      <c r="P95" s="91"/>
      <c r="Q95" s="91"/>
      <c r="R95" s="91"/>
      <c r="S95" s="91"/>
      <c r="T95" s="91"/>
      <c r="U95" s="91"/>
      <c r="V95" s="91"/>
      <c r="W95" s="91"/>
      <c r="X95" s="91"/>
      <c r="Y95" s="91"/>
      <c r="Z95" s="91"/>
      <c r="AA95" s="91"/>
      <c r="AB95" s="91"/>
      <c r="AC95" s="87">
        <f t="shared" si="38"/>
        <v>0</v>
      </c>
      <c r="AD95" s="92"/>
      <c r="AE95" s="92"/>
      <c r="AF95" s="92"/>
      <c r="AG95" s="92"/>
      <c r="AH95" s="92"/>
      <c r="AI95" s="92"/>
      <c r="AJ95" s="92"/>
      <c r="AK95" s="92"/>
      <c r="AL95" s="92"/>
      <c r="AM95" s="92"/>
      <c r="AN95" s="92"/>
      <c r="AO95" s="92"/>
      <c r="AP95" s="92"/>
      <c r="AQ95" s="92"/>
      <c r="AR95" s="92"/>
      <c r="AS95" s="92"/>
      <c r="AT95" s="93"/>
      <c r="AU95" s="94"/>
      <c r="AV95" s="1980">
        <f t="shared" si="39"/>
        <v>0</v>
      </c>
      <c r="AW95" s="1980">
        <f t="shared" si="40"/>
        <v>0</v>
      </c>
      <c r="AX95" s="1980">
        <f t="shared" si="41"/>
        <v>0</v>
      </c>
      <c r="AY95" s="95">
        <f t="shared" si="42"/>
        <v>0</v>
      </c>
      <c r="AZ95" s="87">
        <f t="shared" si="43"/>
        <v>0</v>
      </c>
      <c r="BA95" s="87">
        <f t="shared" si="44"/>
        <v>0</v>
      </c>
      <c r="BB95" s="87">
        <f t="shared" si="45"/>
        <v>0</v>
      </c>
      <c r="BC95" s="87">
        <f t="shared" si="46"/>
        <v>0</v>
      </c>
      <c r="BD95" s="87">
        <f t="shared" si="47"/>
        <v>0</v>
      </c>
      <c r="BE95" s="87">
        <f t="shared" si="48"/>
        <v>0</v>
      </c>
      <c r="BF95" s="87">
        <f t="shared" si="49"/>
        <v>0</v>
      </c>
      <c r="BG95" s="87">
        <f t="shared" si="50"/>
        <v>0</v>
      </c>
      <c r="BH95" s="87">
        <f t="shared" si="51"/>
        <v>0</v>
      </c>
      <c r="BI95" s="87">
        <f t="shared" si="52"/>
        <v>0</v>
      </c>
      <c r="BJ95" s="87">
        <f t="shared" si="53"/>
        <v>0</v>
      </c>
      <c r="BK95" s="87">
        <f t="shared" si="54"/>
        <v>0</v>
      </c>
      <c r="BL95" s="87">
        <f t="shared" si="55"/>
        <v>0</v>
      </c>
      <c r="BM95" s="87">
        <f t="shared" si="56"/>
        <v>0</v>
      </c>
      <c r="BN95" s="87">
        <f t="shared" si="57"/>
        <v>0</v>
      </c>
      <c r="BO95" s="87">
        <f t="shared" si="58"/>
        <v>0</v>
      </c>
      <c r="BP95" s="87">
        <f t="shared" si="59"/>
        <v>0</v>
      </c>
      <c r="BQ95" s="87">
        <f t="shared" si="60"/>
        <v>0</v>
      </c>
      <c r="BR95" s="87">
        <f t="shared" si="61"/>
        <v>0</v>
      </c>
      <c r="BS95" s="87">
        <f t="shared" si="62"/>
        <v>0</v>
      </c>
      <c r="BT95" s="96">
        <f t="shared" si="63"/>
        <v>0</v>
      </c>
    </row>
    <row r="96" spans="1:72">
      <c r="A96" s="84"/>
      <c r="B96" s="85"/>
      <c r="C96" s="85"/>
      <c r="D96" s="86"/>
      <c r="E96" s="87">
        <f t="shared" si="35"/>
        <v>0</v>
      </c>
      <c r="F96" s="88"/>
      <c r="G96" s="89">
        <f t="shared" si="36"/>
        <v>0</v>
      </c>
      <c r="H96" s="90">
        <f t="shared" si="37"/>
        <v>0</v>
      </c>
      <c r="I96" s="91"/>
      <c r="J96" s="91"/>
      <c r="K96" s="91"/>
      <c r="L96" s="91"/>
      <c r="M96" s="91"/>
      <c r="N96" s="91"/>
      <c r="O96" s="91"/>
      <c r="P96" s="91"/>
      <c r="Q96" s="91"/>
      <c r="R96" s="91"/>
      <c r="S96" s="91"/>
      <c r="T96" s="91"/>
      <c r="U96" s="91"/>
      <c r="V96" s="91"/>
      <c r="W96" s="91"/>
      <c r="X96" s="91"/>
      <c r="Y96" s="91"/>
      <c r="Z96" s="91"/>
      <c r="AA96" s="91"/>
      <c r="AB96" s="91"/>
      <c r="AC96" s="87">
        <f t="shared" si="38"/>
        <v>0</v>
      </c>
      <c r="AD96" s="92"/>
      <c r="AE96" s="92"/>
      <c r="AF96" s="92"/>
      <c r="AG96" s="92"/>
      <c r="AH96" s="92"/>
      <c r="AI96" s="92"/>
      <c r="AJ96" s="92"/>
      <c r="AK96" s="92"/>
      <c r="AL96" s="92"/>
      <c r="AM96" s="92"/>
      <c r="AN96" s="92"/>
      <c r="AO96" s="92"/>
      <c r="AP96" s="92"/>
      <c r="AQ96" s="92"/>
      <c r="AR96" s="92"/>
      <c r="AS96" s="92"/>
      <c r="AT96" s="93"/>
      <c r="AU96" s="94"/>
      <c r="AV96" s="1980">
        <f t="shared" si="39"/>
        <v>0</v>
      </c>
      <c r="AW96" s="1980">
        <f t="shared" si="40"/>
        <v>0</v>
      </c>
      <c r="AX96" s="1980">
        <f t="shared" si="41"/>
        <v>0</v>
      </c>
      <c r="AY96" s="95">
        <f t="shared" si="42"/>
        <v>0</v>
      </c>
      <c r="AZ96" s="87">
        <f t="shared" si="43"/>
        <v>0</v>
      </c>
      <c r="BA96" s="87">
        <f t="shared" si="44"/>
        <v>0</v>
      </c>
      <c r="BB96" s="87">
        <f t="shared" si="45"/>
        <v>0</v>
      </c>
      <c r="BC96" s="87">
        <f t="shared" si="46"/>
        <v>0</v>
      </c>
      <c r="BD96" s="87">
        <f t="shared" si="47"/>
        <v>0</v>
      </c>
      <c r="BE96" s="87">
        <f t="shared" si="48"/>
        <v>0</v>
      </c>
      <c r="BF96" s="87">
        <f t="shared" si="49"/>
        <v>0</v>
      </c>
      <c r="BG96" s="87">
        <f t="shared" si="50"/>
        <v>0</v>
      </c>
      <c r="BH96" s="87">
        <f t="shared" si="51"/>
        <v>0</v>
      </c>
      <c r="BI96" s="87">
        <f t="shared" si="52"/>
        <v>0</v>
      </c>
      <c r="BJ96" s="87">
        <f t="shared" si="53"/>
        <v>0</v>
      </c>
      <c r="BK96" s="87">
        <f t="shared" si="54"/>
        <v>0</v>
      </c>
      <c r="BL96" s="87">
        <f t="shared" si="55"/>
        <v>0</v>
      </c>
      <c r="BM96" s="87">
        <f t="shared" si="56"/>
        <v>0</v>
      </c>
      <c r="BN96" s="87">
        <f t="shared" si="57"/>
        <v>0</v>
      </c>
      <c r="BO96" s="87">
        <f t="shared" si="58"/>
        <v>0</v>
      </c>
      <c r="BP96" s="87">
        <f t="shared" si="59"/>
        <v>0</v>
      </c>
      <c r="BQ96" s="87">
        <f t="shared" si="60"/>
        <v>0</v>
      </c>
      <c r="BR96" s="87">
        <f t="shared" si="61"/>
        <v>0</v>
      </c>
      <c r="BS96" s="87">
        <f t="shared" si="62"/>
        <v>0</v>
      </c>
      <c r="BT96" s="96">
        <f t="shared" si="63"/>
        <v>0</v>
      </c>
    </row>
    <row r="97" spans="1:72">
      <c r="A97" s="84"/>
      <c r="B97" s="85"/>
      <c r="C97" s="85"/>
      <c r="D97" s="86"/>
      <c r="E97" s="87">
        <f t="shared" si="35"/>
        <v>0</v>
      </c>
      <c r="F97" s="88"/>
      <c r="G97" s="89">
        <f t="shared" si="36"/>
        <v>0</v>
      </c>
      <c r="H97" s="90">
        <f t="shared" si="37"/>
        <v>0</v>
      </c>
      <c r="I97" s="91"/>
      <c r="J97" s="91"/>
      <c r="K97" s="91"/>
      <c r="L97" s="91"/>
      <c r="M97" s="91"/>
      <c r="N97" s="91"/>
      <c r="O97" s="91"/>
      <c r="P97" s="91"/>
      <c r="Q97" s="91"/>
      <c r="R97" s="91"/>
      <c r="S97" s="91"/>
      <c r="T97" s="91"/>
      <c r="U97" s="91"/>
      <c r="V97" s="91"/>
      <c r="W97" s="91"/>
      <c r="X97" s="91"/>
      <c r="Y97" s="91"/>
      <c r="Z97" s="91"/>
      <c r="AA97" s="91"/>
      <c r="AB97" s="91"/>
      <c r="AC97" s="87">
        <f t="shared" si="38"/>
        <v>0</v>
      </c>
      <c r="AD97" s="92"/>
      <c r="AE97" s="92"/>
      <c r="AF97" s="92"/>
      <c r="AG97" s="92"/>
      <c r="AH97" s="92"/>
      <c r="AI97" s="92"/>
      <c r="AJ97" s="92"/>
      <c r="AK97" s="92"/>
      <c r="AL97" s="92"/>
      <c r="AM97" s="92"/>
      <c r="AN97" s="92"/>
      <c r="AO97" s="92"/>
      <c r="AP97" s="92"/>
      <c r="AQ97" s="92"/>
      <c r="AR97" s="92"/>
      <c r="AS97" s="92"/>
      <c r="AT97" s="93"/>
      <c r="AU97" s="94"/>
      <c r="AV97" s="1980">
        <f t="shared" si="39"/>
        <v>0</v>
      </c>
      <c r="AW97" s="1980">
        <f t="shared" si="40"/>
        <v>0</v>
      </c>
      <c r="AX97" s="1980">
        <f t="shared" si="41"/>
        <v>0</v>
      </c>
      <c r="AY97" s="95">
        <f t="shared" si="42"/>
        <v>0</v>
      </c>
      <c r="AZ97" s="87">
        <f t="shared" si="43"/>
        <v>0</v>
      </c>
      <c r="BA97" s="87">
        <f t="shared" si="44"/>
        <v>0</v>
      </c>
      <c r="BB97" s="87">
        <f t="shared" si="45"/>
        <v>0</v>
      </c>
      <c r="BC97" s="87">
        <f t="shared" si="46"/>
        <v>0</v>
      </c>
      <c r="BD97" s="87">
        <f t="shared" si="47"/>
        <v>0</v>
      </c>
      <c r="BE97" s="87">
        <f t="shared" si="48"/>
        <v>0</v>
      </c>
      <c r="BF97" s="87">
        <f t="shared" si="49"/>
        <v>0</v>
      </c>
      <c r="BG97" s="87">
        <f t="shared" si="50"/>
        <v>0</v>
      </c>
      <c r="BH97" s="87">
        <f t="shared" si="51"/>
        <v>0</v>
      </c>
      <c r="BI97" s="87">
        <f t="shared" si="52"/>
        <v>0</v>
      </c>
      <c r="BJ97" s="87">
        <f t="shared" si="53"/>
        <v>0</v>
      </c>
      <c r="BK97" s="87">
        <f t="shared" si="54"/>
        <v>0</v>
      </c>
      <c r="BL97" s="87">
        <f t="shared" si="55"/>
        <v>0</v>
      </c>
      <c r="BM97" s="87">
        <f t="shared" si="56"/>
        <v>0</v>
      </c>
      <c r="BN97" s="87">
        <f t="shared" si="57"/>
        <v>0</v>
      </c>
      <c r="BO97" s="87">
        <f t="shared" si="58"/>
        <v>0</v>
      </c>
      <c r="BP97" s="87">
        <f t="shared" si="59"/>
        <v>0</v>
      </c>
      <c r="BQ97" s="87">
        <f t="shared" si="60"/>
        <v>0</v>
      </c>
      <c r="BR97" s="87">
        <f t="shared" si="61"/>
        <v>0</v>
      </c>
      <c r="BS97" s="87">
        <f t="shared" si="62"/>
        <v>0</v>
      </c>
      <c r="BT97" s="96">
        <f t="shared" si="63"/>
        <v>0</v>
      </c>
    </row>
    <row r="98" spans="1:72">
      <c r="A98" s="84"/>
      <c r="B98" s="85"/>
      <c r="C98" s="85"/>
      <c r="D98" s="86"/>
      <c r="E98" s="87">
        <f t="shared" si="35"/>
        <v>0</v>
      </c>
      <c r="F98" s="88"/>
      <c r="G98" s="89">
        <f t="shared" si="36"/>
        <v>0</v>
      </c>
      <c r="H98" s="90">
        <f t="shared" si="37"/>
        <v>0</v>
      </c>
      <c r="I98" s="91"/>
      <c r="J98" s="91"/>
      <c r="K98" s="91"/>
      <c r="L98" s="91"/>
      <c r="M98" s="91"/>
      <c r="N98" s="91"/>
      <c r="O98" s="91"/>
      <c r="P98" s="91"/>
      <c r="Q98" s="91"/>
      <c r="R98" s="91"/>
      <c r="S98" s="91"/>
      <c r="T98" s="91"/>
      <c r="U98" s="91"/>
      <c r="V98" s="91"/>
      <c r="W98" s="91"/>
      <c r="X98" s="91"/>
      <c r="Y98" s="91"/>
      <c r="Z98" s="91"/>
      <c r="AA98" s="91"/>
      <c r="AB98" s="91"/>
      <c r="AC98" s="87">
        <f t="shared" si="38"/>
        <v>0</v>
      </c>
      <c r="AD98" s="92"/>
      <c r="AE98" s="92"/>
      <c r="AF98" s="92"/>
      <c r="AG98" s="92"/>
      <c r="AH98" s="92"/>
      <c r="AI98" s="92"/>
      <c r="AJ98" s="92"/>
      <c r="AK98" s="92"/>
      <c r="AL98" s="92"/>
      <c r="AM98" s="92"/>
      <c r="AN98" s="92"/>
      <c r="AO98" s="92"/>
      <c r="AP98" s="92"/>
      <c r="AQ98" s="92"/>
      <c r="AR98" s="92"/>
      <c r="AS98" s="92"/>
      <c r="AT98" s="93"/>
      <c r="AU98" s="94"/>
      <c r="AV98" s="1980">
        <f t="shared" si="39"/>
        <v>0</v>
      </c>
      <c r="AW98" s="1980">
        <f t="shared" si="40"/>
        <v>0</v>
      </c>
      <c r="AX98" s="1980">
        <f t="shared" si="41"/>
        <v>0</v>
      </c>
      <c r="AY98" s="95">
        <f t="shared" si="42"/>
        <v>0</v>
      </c>
      <c r="AZ98" s="87">
        <f t="shared" si="43"/>
        <v>0</v>
      </c>
      <c r="BA98" s="87">
        <f t="shared" si="44"/>
        <v>0</v>
      </c>
      <c r="BB98" s="87">
        <f t="shared" si="45"/>
        <v>0</v>
      </c>
      <c r="BC98" s="87">
        <f t="shared" si="46"/>
        <v>0</v>
      </c>
      <c r="BD98" s="87">
        <f t="shared" si="47"/>
        <v>0</v>
      </c>
      <c r="BE98" s="87">
        <f t="shared" si="48"/>
        <v>0</v>
      </c>
      <c r="BF98" s="87">
        <f t="shared" si="49"/>
        <v>0</v>
      </c>
      <c r="BG98" s="87">
        <f t="shared" si="50"/>
        <v>0</v>
      </c>
      <c r="BH98" s="87">
        <f t="shared" si="51"/>
        <v>0</v>
      </c>
      <c r="BI98" s="87">
        <f t="shared" si="52"/>
        <v>0</v>
      </c>
      <c r="BJ98" s="87">
        <f t="shared" si="53"/>
        <v>0</v>
      </c>
      <c r="BK98" s="87">
        <f t="shared" si="54"/>
        <v>0</v>
      </c>
      <c r="BL98" s="87">
        <f t="shared" si="55"/>
        <v>0</v>
      </c>
      <c r="BM98" s="87">
        <f t="shared" si="56"/>
        <v>0</v>
      </c>
      <c r="BN98" s="87">
        <f t="shared" si="57"/>
        <v>0</v>
      </c>
      <c r="BO98" s="87">
        <f t="shared" si="58"/>
        <v>0</v>
      </c>
      <c r="BP98" s="87">
        <f t="shared" si="59"/>
        <v>0</v>
      </c>
      <c r="BQ98" s="87">
        <f t="shared" si="60"/>
        <v>0</v>
      </c>
      <c r="BR98" s="87">
        <f t="shared" si="61"/>
        <v>0</v>
      </c>
      <c r="BS98" s="87">
        <f t="shared" si="62"/>
        <v>0</v>
      </c>
      <c r="BT98" s="96">
        <f t="shared" si="63"/>
        <v>0</v>
      </c>
    </row>
    <row r="99" spans="1:72">
      <c r="A99" s="84"/>
      <c r="B99" s="85"/>
      <c r="C99" s="85"/>
      <c r="D99" s="86"/>
      <c r="E99" s="87">
        <f t="shared" si="35"/>
        <v>0</v>
      </c>
      <c r="F99" s="88"/>
      <c r="G99" s="89">
        <f t="shared" si="36"/>
        <v>0</v>
      </c>
      <c r="H99" s="90">
        <f t="shared" si="37"/>
        <v>0</v>
      </c>
      <c r="I99" s="91"/>
      <c r="J99" s="91"/>
      <c r="K99" s="91"/>
      <c r="L99" s="91"/>
      <c r="M99" s="91"/>
      <c r="N99" s="91"/>
      <c r="O99" s="91"/>
      <c r="P99" s="91"/>
      <c r="Q99" s="91"/>
      <c r="R99" s="91"/>
      <c r="S99" s="91"/>
      <c r="T99" s="91"/>
      <c r="U99" s="91"/>
      <c r="V99" s="91"/>
      <c r="W99" s="91"/>
      <c r="X99" s="91"/>
      <c r="Y99" s="91"/>
      <c r="Z99" s="91"/>
      <c r="AA99" s="91"/>
      <c r="AB99" s="91"/>
      <c r="AC99" s="87">
        <f t="shared" si="38"/>
        <v>0</v>
      </c>
      <c r="AD99" s="92"/>
      <c r="AE99" s="92"/>
      <c r="AF99" s="92"/>
      <c r="AG99" s="92"/>
      <c r="AH99" s="92"/>
      <c r="AI99" s="92"/>
      <c r="AJ99" s="92"/>
      <c r="AK99" s="92"/>
      <c r="AL99" s="92"/>
      <c r="AM99" s="92"/>
      <c r="AN99" s="92"/>
      <c r="AO99" s="92"/>
      <c r="AP99" s="92"/>
      <c r="AQ99" s="92"/>
      <c r="AR99" s="92"/>
      <c r="AS99" s="92"/>
      <c r="AT99" s="93"/>
      <c r="AU99" s="94"/>
      <c r="AV99" s="1980">
        <f t="shared" si="39"/>
        <v>0</v>
      </c>
      <c r="AW99" s="1980">
        <f t="shared" si="40"/>
        <v>0</v>
      </c>
      <c r="AX99" s="1980">
        <f t="shared" si="41"/>
        <v>0</v>
      </c>
      <c r="AY99" s="95">
        <f t="shared" si="42"/>
        <v>0</v>
      </c>
      <c r="AZ99" s="87">
        <f t="shared" si="43"/>
        <v>0</v>
      </c>
      <c r="BA99" s="87">
        <f t="shared" si="44"/>
        <v>0</v>
      </c>
      <c r="BB99" s="87">
        <f t="shared" si="45"/>
        <v>0</v>
      </c>
      <c r="BC99" s="87">
        <f t="shared" si="46"/>
        <v>0</v>
      </c>
      <c r="BD99" s="87">
        <f t="shared" si="47"/>
        <v>0</v>
      </c>
      <c r="BE99" s="87">
        <f t="shared" si="48"/>
        <v>0</v>
      </c>
      <c r="BF99" s="87">
        <f t="shared" si="49"/>
        <v>0</v>
      </c>
      <c r="BG99" s="87">
        <f t="shared" si="50"/>
        <v>0</v>
      </c>
      <c r="BH99" s="87">
        <f t="shared" si="51"/>
        <v>0</v>
      </c>
      <c r="BI99" s="87">
        <f t="shared" si="52"/>
        <v>0</v>
      </c>
      <c r="BJ99" s="87">
        <f t="shared" si="53"/>
        <v>0</v>
      </c>
      <c r="BK99" s="87">
        <f t="shared" si="54"/>
        <v>0</v>
      </c>
      <c r="BL99" s="87">
        <f t="shared" si="55"/>
        <v>0</v>
      </c>
      <c r="BM99" s="87">
        <f t="shared" si="56"/>
        <v>0</v>
      </c>
      <c r="BN99" s="87">
        <f t="shared" si="57"/>
        <v>0</v>
      </c>
      <c r="BO99" s="87">
        <f t="shared" si="58"/>
        <v>0</v>
      </c>
      <c r="BP99" s="87">
        <f t="shared" si="59"/>
        <v>0</v>
      </c>
      <c r="BQ99" s="87">
        <f t="shared" si="60"/>
        <v>0</v>
      </c>
      <c r="BR99" s="87">
        <f t="shared" si="61"/>
        <v>0</v>
      </c>
      <c r="BS99" s="87">
        <f t="shared" si="62"/>
        <v>0</v>
      </c>
      <c r="BT99" s="96">
        <f t="shared" si="63"/>
        <v>0</v>
      </c>
    </row>
    <row r="100" spans="1:72">
      <c r="A100" s="84"/>
      <c r="B100" s="85"/>
      <c r="C100" s="85"/>
      <c r="D100" s="86"/>
      <c r="E100" s="87">
        <f t="shared" si="35"/>
        <v>0</v>
      </c>
      <c r="F100" s="88"/>
      <c r="G100" s="89">
        <f t="shared" si="36"/>
        <v>0</v>
      </c>
      <c r="H100" s="90">
        <f t="shared" si="37"/>
        <v>0</v>
      </c>
      <c r="I100" s="91"/>
      <c r="J100" s="91"/>
      <c r="K100" s="91"/>
      <c r="L100" s="91"/>
      <c r="M100" s="91"/>
      <c r="N100" s="91"/>
      <c r="O100" s="91"/>
      <c r="P100" s="91"/>
      <c r="Q100" s="91"/>
      <c r="R100" s="91"/>
      <c r="S100" s="91"/>
      <c r="T100" s="91"/>
      <c r="U100" s="91"/>
      <c r="V100" s="91"/>
      <c r="W100" s="91"/>
      <c r="X100" s="91"/>
      <c r="Y100" s="91"/>
      <c r="Z100" s="91"/>
      <c r="AA100" s="91"/>
      <c r="AB100" s="91"/>
      <c r="AC100" s="87">
        <f t="shared" si="38"/>
        <v>0</v>
      </c>
      <c r="AD100" s="92"/>
      <c r="AE100" s="92"/>
      <c r="AF100" s="92"/>
      <c r="AG100" s="92"/>
      <c r="AH100" s="92"/>
      <c r="AI100" s="92"/>
      <c r="AJ100" s="92"/>
      <c r="AK100" s="92"/>
      <c r="AL100" s="92"/>
      <c r="AM100" s="92"/>
      <c r="AN100" s="92"/>
      <c r="AO100" s="92"/>
      <c r="AP100" s="92"/>
      <c r="AQ100" s="92"/>
      <c r="AR100" s="92"/>
      <c r="AS100" s="92"/>
      <c r="AT100" s="93"/>
      <c r="AU100" s="94"/>
      <c r="AV100" s="1980">
        <f t="shared" si="39"/>
        <v>0</v>
      </c>
      <c r="AW100" s="1980">
        <f t="shared" si="40"/>
        <v>0</v>
      </c>
      <c r="AX100" s="1980">
        <f t="shared" si="41"/>
        <v>0</v>
      </c>
      <c r="AY100" s="95">
        <f t="shared" si="42"/>
        <v>0</v>
      </c>
      <c r="AZ100" s="87">
        <f t="shared" si="43"/>
        <v>0</v>
      </c>
      <c r="BA100" s="87">
        <f t="shared" si="44"/>
        <v>0</v>
      </c>
      <c r="BB100" s="87">
        <f t="shared" si="45"/>
        <v>0</v>
      </c>
      <c r="BC100" s="87">
        <f t="shared" si="46"/>
        <v>0</v>
      </c>
      <c r="BD100" s="87">
        <f t="shared" si="47"/>
        <v>0</v>
      </c>
      <c r="BE100" s="87">
        <f t="shared" si="48"/>
        <v>0</v>
      </c>
      <c r="BF100" s="87">
        <f t="shared" si="49"/>
        <v>0</v>
      </c>
      <c r="BG100" s="87">
        <f t="shared" si="50"/>
        <v>0</v>
      </c>
      <c r="BH100" s="87">
        <f t="shared" si="51"/>
        <v>0</v>
      </c>
      <c r="BI100" s="87">
        <f t="shared" si="52"/>
        <v>0</v>
      </c>
      <c r="BJ100" s="87">
        <f t="shared" si="53"/>
        <v>0</v>
      </c>
      <c r="BK100" s="87">
        <f t="shared" si="54"/>
        <v>0</v>
      </c>
      <c r="BL100" s="87">
        <f t="shared" si="55"/>
        <v>0</v>
      </c>
      <c r="BM100" s="87">
        <f t="shared" si="56"/>
        <v>0</v>
      </c>
      <c r="BN100" s="87">
        <f t="shared" si="57"/>
        <v>0</v>
      </c>
      <c r="BO100" s="87">
        <f t="shared" si="58"/>
        <v>0</v>
      </c>
      <c r="BP100" s="87">
        <f t="shared" si="59"/>
        <v>0</v>
      </c>
      <c r="BQ100" s="87">
        <f t="shared" si="60"/>
        <v>0</v>
      </c>
      <c r="BR100" s="87">
        <f t="shared" si="61"/>
        <v>0</v>
      </c>
      <c r="BS100" s="87">
        <f t="shared" si="62"/>
        <v>0</v>
      </c>
      <c r="BT100" s="96">
        <f t="shared" si="63"/>
        <v>0</v>
      </c>
    </row>
    <row r="101" spans="1:72">
      <c r="A101" s="84"/>
      <c r="B101" s="85"/>
      <c r="C101" s="85"/>
      <c r="D101" s="86"/>
      <c r="E101" s="87">
        <f t="shared" si="35"/>
        <v>0</v>
      </c>
      <c r="F101" s="88"/>
      <c r="G101" s="89">
        <f t="shared" si="36"/>
        <v>0</v>
      </c>
      <c r="H101" s="90">
        <f t="shared" si="37"/>
        <v>0</v>
      </c>
      <c r="I101" s="91"/>
      <c r="J101" s="91"/>
      <c r="K101" s="91"/>
      <c r="L101" s="91"/>
      <c r="M101" s="91"/>
      <c r="N101" s="91"/>
      <c r="O101" s="91"/>
      <c r="P101" s="91"/>
      <c r="Q101" s="91"/>
      <c r="R101" s="91"/>
      <c r="S101" s="91"/>
      <c r="T101" s="91"/>
      <c r="U101" s="91"/>
      <c r="V101" s="91"/>
      <c r="W101" s="91"/>
      <c r="X101" s="91"/>
      <c r="Y101" s="91"/>
      <c r="Z101" s="91"/>
      <c r="AA101" s="91"/>
      <c r="AB101" s="91"/>
      <c r="AC101" s="87">
        <f t="shared" si="38"/>
        <v>0</v>
      </c>
      <c r="AD101" s="92"/>
      <c r="AE101" s="92"/>
      <c r="AF101" s="92"/>
      <c r="AG101" s="92"/>
      <c r="AH101" s="92"/>
      <c r="AI101" s="92"/>
      <c r="AJ101" s="92"/>
      <c r="AK101" s="92"/>
      <c r="AL101" s="92"/>
      <c r="AM101" s="92"/>
      <c r="AN101" s="92"/>
      <c r="AO101" s="92"/>
      <c r="AP101" s="92"/>
      <c r="AQ101" s="92"/>
      <c r="AR101" s="92"/>
      <c r="AS101" s="92"/>
      <c r="AT101" s="93"/>
      <c r="AU101" s="94"/>
      <c r="AV101" s="1980">
        <f t="shared" si="39"/>
        <v>0</v>
      </c>
      <c r="AW101" s="1980">
        <f t="shared" si="40"/>
        <v>0</v>
      </c>
      <c r="AX101" s="1980">
        <f t="shared" si="41"/>
        <v>0</v>
      </c>
      <c r="AY101" s="95">
        <f t="shared" si="42"/>
        <v>0</v>
      </c>
      <c r="AZ101" s="87">
        <f t="shared" si="43"/>
        <v>0</v>
      </c>
      <c r="BA101" s="87">
        <f t="shared" si="44"/>
        <v>0</v>
      </c>
      <c r="BB101" s="87">
        <f t="shared" si="45"/>
        <v>0</v>
      </c>
      <c r="BC101" s="87">
        <f t="shared" si="46"/>
        <v>0</v>
      </c>
      <c r="BD101" s="87">
        <f t="shared" si="47"/>
        <v>0</v>
      </c>
      <c r="BE101" s="87">
        <f t="shared" si="48"/>
        <v>0</v>
      </c>
      <c r="BF101" s="87">
        <f t="shared" si="49"/>
        <v>0</v>
      </c>
      <c r="BG101" s="87">
        <f t="shared" si="50"/>
        <v>0</v>
      </c>
      <c r="BH101" s="87">
        <f t="shared" si="51"/>
        <v>0</v>
      </c>
      <c r="BI101" s="87">
        <f t="shared" si="52"/>
        <v>0</v>
      </c>
      <c r="BJ101" s="87">
        <f t="shared" si="53"/>
        <v>0</v>
      </c>
      <c r="BK101" s="87">
        <f t="shared" si="54"/>
        <v>0</v>
      </c>
      <c r="BL101" s="87">
        <f t="shared" si="55"/>
        <v>0</v>
      </c>
      <c r="BM101" s="87">
        <f t="shared" si="56"/>
        <v>0</v>
      </c>
      <c r="BN101" s="87">
        <f t="shared" si="57"/>
        <v>0</v>
      </c>
      <c r="BO101" s="87">
        <f t="shared" si="58"/>
        <v>0</v>
      </c>
      <c r="BP101" s="87">
        <f t="shared" si="59"/>
        <v>0</v>
      </c>
      <c r="BQ101" s="87">
        <f t="shared" si="60"/>
        <v>0</v>
      </c>
      <c r="BR101" s="87">
        <f t="shared" si="61"/>
        <v>0</v>
      </c>
      <c r="BS101" s="87">
        <f t="shared" si="62"/>
        <v>0</v>
      </c>
      <c r="BT101" s="96">
        <f t="shared" si="63"/>
        <v>0</v>
      </c>
    </row>
    <row r="102" spans="1:72">
      <c r="A102" s="84"/>
      <c r="B102" s="85"/>
      <c r="C102" s="85"/>
      <c r="D102" s="86"/>
      <c r="E102" s="87">
        <f t="shared" si="35"/>
        <v>0</v>
      </c>
      <c r="F102" s="88"/>
      <c r="G102" s="89">
        <f t="shared" si="36"/>
        <v>0</v>
      </c>
      <c r="H102" s="90">
        <f t="shared" si="37"/>
        <v>0</v>
      </c>
      <c r="I102" s="91"/>
      <c r="J102" s="91"/>
      <c r="K102" s="91"/>
      <c r="L102" s="91"/>
      <c r="M102" s="91"/>
      <c r="N102" s="91"/>
      <c r="O102" s="91"/>
      <c r="P102" s="91"/>
      <c r="Q102" s="91"/>
      <c r="R102" s="91"/>
      <c r="S102" s="91"/>
      <c r="T102" s="91"/>
      <c r="U102" s="91"/>
      <c r="V102" s="91"/>
      <c r="W102" s="91"/>
      <c r="X102" s="91"/>
      <c r="Y102" s="91"/>
      <c r="Z102" s="91"/>
      <c r="AA102" s="91"/>
      <c r="AB102" s="91"/>
      <c r="AC102" s="87">
        <f t="shared" si="38"/>
        <v>0</v>
      </c>
      <c r="AD102" s="92"/>
      <c r="AE102" s="92"/>
      <c r="AF102" s="92"/>
      <c r="AG102" s="92"/>
      <c r="AH102" s="92"/>
      <c r="AI102" s="92"/>
      <c r="AJ102" s="92"/>
      <c r="AK102" s="92"/>
      <c r="AL102" s="92"/>
      <c r="AM102" s="92"/>
      <c r="AN102" s="92"/>
      <c r="AO102" s="92"/>
      <c r="AP102" s="92"/>
      <c r="AQ102" s="92"/>
      <c r="AR102" s="92"/>
      <c r="AS102" s="92"/>
      <c r="AT102" s="93"/>
      <c r="AU102" s="94"/>
      <c r="AV102" s="1980">
        <f t="shared" si="39"/>
        <v>0</v>
      </c>
      <c r="AW102" s="1980">
        <f t="shared" si="40"/>
        <v>0</v>
      </c>
      <c r="AX102" s="1980">
        <f t="shared" si="41"/>
        <v>0</v>
      </c>
      <c r="AY102" s="95">
        <f t="shared" si="42"/>
        <v>0</v>
      </c>
      <c r="AZ102" s="87">
        <f t="shared" si="43"/>
        <v>0</v>
      </c>
      <c r="BA102" s="87">
        <f t="shared" si="44"/>
        <v>0</v>
      </c>
      <c r="BB102" s="87">
        <f t="shared" si="45"/>
        <v>0</v>
      </c>
      <c r="BC102" s="87">
        <f t="shared" si="46"/>
        <v>0</v>
      </c>
      <c r="BD102" s="87">
        <f t="shared" si="47"/>
        <v>0</v>
      </c>
      <c r="BE102" s="87">
        <f t="shared" si="48"/>
        <v>0</v>
      </c>
      <c r="BF102" s="87">
        <f t="shared" si="49"/>
        <v>0</v>
      </c>
      <c r="BG102" s="87">
        <f t="shared" si="50"/>
        <v>0</v>
      </c>
      <c r="BH102" s="87">
        <f t="shared" si="51"/>
        <v>0</v>
      </c>
      <c r="BI102" s="87">
        <f t="shared" si="52"/>
        <v>0</v>
      </c>
      <c r="BJ102" s="87">
        <f t="shared" si="53"/>
        <v>0</v>
      </c>
      <c r="BK102" s="87">
        <f t="shared" si="54"/>
        <v>0</v>
      </c>
      <c r="BL102" s="87">
        <f t="shared" si="55"/>
        <v>0</v>
      </c>
      <c r="BM102" s="87">
        <f t="shared" si="56"/>
        <v>0</v>
      </c>
      <c r="BN102" s="87">
        <f t="shared" si="57"/>
        <v>0</v>
      </c>
      <c r="BO102" s="87">
        <f t="shared" si="58"/>
        <v>0</v>
      </c>
      <c r="BP102" s="87">
        <f t="shared" si="59"/>
        <v>0</v>
      </c>
      <c r="BQ102" s="87">
        <f t="shared" si="60"/>
        <v>0</v>
      </c>
      <c r="BR102" s="87">
        <f t="shared" si="61"/>
        <v>0</v>
      </c>
      <c r="BS102" s="87">
        <f t="shared" si="62"/>
        <v>0</v>
      </c>
      <c r="BT102" s="96">
        <f t="shared" si="63"/>
        <v>0</v>
      </c>
    </row>
    <row r="103" spans="1:72">
      <c r="A103" s="84"/>
      <c r="B103" s="85"/>
      <c r="C103" s="85"/>
      <c r="D103" s="86"/>
      <c r="E103" s="87">
        <f t="shared" si="35"/>
        <v>0</v>
      </c>
      <c r="F103" s="88"/>
      <c r="G103" s="89">
        <f t="shared" si="36"/>
        <v>0</v>
      </c>
      <c r="H103" s="90">
        <f t="shared" si="37"/>
        <v>0</v>
      </c>
      <c r="I103" s="91"/>
      <c r="J103" s="91"/>
      <c r="K103" s="91"/>
      <c r="L103" s="91"/>
      <c r="M103" s="91"/>
      <c r="N103" s="91"/>
      <c r="O103" s="91"/>
      <c r="P103" s="91"/>
      <c r="Q103" s="91"/>
      <c r="R103" s="91"/>
      <c r="S103" s="91"/>
      <c r="T103" s="91"/>
      <c r="U103" s="91"/>
      <c r="V103" s="91"/>
      <c r="W103" s="91"/>
      <c r="X103" s="91"/>
      <c r="Y103" s="91"/>
      <c r="Z103" s="91"/>
      <c r="AA103" s="91"/>
      <c r="AB103" s="91"/>
      <c r="AC103" s="87">
        <f t="shared" si="38"/>
        <v>0</v>
      </c>
      <c r="AD103" s="92"/>
      <c r="AE103" s="92"/>
      <c r="AF103" s="92"/>
      <c r="AG103" s="92"/>
      <c r="AH103" s="92"/>
      <c r="AI103" s="92"/>
      <c r="AJ103" s="92"/>
      <c r="AK103" s="92"/>
      <c r="AL103" s="92"/>
      <c r="AM103" s="92"/>
      <c r="AN103" s="92"/>
      <c r="AO103" s="92"/>
      <c r="AP103" s="92"/>
      <c r="AQ103" s="92"/>
      <c r="AR103" s="92"/>
      <c r="AS103" s="92"/>
      <c r="AT103" s="93"/>
      <c r="AU103" s="94"/>
      <c r="AV103" s="1980">
        <f t="shared" si="39"/>
        <v>0</v>
      </c>
      <c r="AW103" s="1980">
        <f t="shared" si="40"/>
        <v>0</v>
      </c>
      <c r="AX103" s="1980">
        <f t="shared" si="41"/>
        <v>0</v>
      </c>
      <c r="AY103" s="95">
        <f t="shared" si="42"/>
        <v>0</v>
      </c>
      <c r="AZ103" s="87">
        <f t="shared" si="43"/>
        <v>0</v>
      </c>
      <c r="BA103" s="87">
        <f t="shared" si="44"/>
        <v>0</v>
      </c>
      <c r="BB103" s="87">
        <f t="shared" si="45"/>
        <v>0</v>
      </c>
      <c r="BC103" s="87">
        <f t="shared" si="46"/>
        <v>0</v>
      </c>
      <c r="BD103" s="87">
        <f t="shared" si="47"/>
        <v>0</v>
      </c>
      <c r="BE103" s="87">
        <f t="shared" si="48"/>
        <v>0</v>
      </c>
      <c r="BF103" s="87">
        <f t="shared" si="49"/>
        <v>0</v>
      </c>
      <c r="BG103" s="87">
        <f t="shared" si="50"/>
        <v>0</v>
      </c>
      <c r="BH103" s="87">
        <f t="shared" si="51"/>
        <v>0</v>
      </c>
      <c r="BI103" s="87">
        <f t="shared" si="52"/>
        <v>0</v>
      </c>
      <c r="BJ103" s="87">
        <f t="shared" si="53"/>
        <v>0</v>
      </c>
      <c r="BK103" s="87">
        <f t="shared" si="54"/>
        <v>0</v>
      </c>
      <c r="BL103" s="87">
        <f t="shared" si="55"/>
        <v>0</v>
      </c>
      <c r="BM103" s="87">
        <f t="shared" si="56"/>
        <v>0</v>
      </c>
      <c r="BN103" s="87">
        <f t="shared" si="57"/>
        <v>0</v>
      </c>
      <c r="BO103" s="87">
        <f t="shared" si="58"/>
        <v>0</v>
      </c>
      <c r="BP103" s="87">
        <f t="shared" si="59"/>
        <v>0</v>
      </c>
      <c r="BQ103" s="87">
        <f t="shared" si="60"/>
        <v>0</v>
      </c>
      <c r="BR103" s="87">
        <f t="shared" si="61"/>
        <v>0</v>
      </c>
      <c r="BS103" s="87">
        <f t="shared" si="62"/>
        <v>0</v>
      </c>
      <c r="BT103" s="96">
        <f t="shared" si="63"/>
        <v>0</v>
      </c>
    </row>
    <row r="104" spans="1:72">
      <c r="A104" s="84"/>
      <c r="B104" s="85"/>
      <c r="C104" s="85"/>
      <c r="D104" s="86"/>
      <c r="E104" s="87">
        <f t="shared" si="35"/>
        <v>0</v>
      </c>
      <c r="F104" s="88"/>
      <c r="G104" s="89">
        <f t="shared" si="36"/>
        <v>0</v>
      </c>
      <c r="H104" s="90">
        <f t="shared" si="37"/>
        <v>0</v>
      </c>
      <c r="I104" s="91"/>
      <c r="J104" s="91"/>
      <c r="K104" s="91"/>
      <c r="L104" s="91"/>
      <c r="M104" s="91"/>
      <c r="N104" s="91"/>
      <c r="O104" s="91"/>
      <c r="P104" s="91"/>
      <c r="Q104" s="91"/>
      <c r="R104" s="91"/>
      <c r="S104" s="91"/>
      <c r="T104" s="91"/>
      <c r="U104" s="91"/>
      <c r="V104" s="91"/>
      <c r="W104" s="91"/>
      <c r="X104" s="91"/>
      <c r="Y104" s="91"/>
      <c r="Z104" s="91"/>
      <c r="AA104" s="91"/>
      <c r="AB104" s="91"/>
      <c r="AC104" s="87">
        <f t="shared" si="38"/>
        <v>0</v>
      </c>
      <c r="AD104" s="92"/>
      <c r="AE104" s="92"/>
      <c r="AF104" s="92"/>
      <c r="AG104" s="92"/>
      <c r="AH104" s="92"/>
      <c r="AI104" s="92"/>
      <c r="AJ104" s="92"/>
      <c r="AK104" s="92"/>
      <c r="AL104" s="92"/>
      <c r="AM104" s="92"/>
      <c r="AN104" s="92"/>
      <c r="AO104" s="92"/>
      <c r="AP104" s="92"/>
      <c r="AQ104" s="92"/>
      <c r="AR104" s="92"/>
      <c r="AS104" s="92"/>
      <c r="AT104" s="93"/>
      <c r="AU104" s="94"/>
      <c r="AV104" s="1980">
        <f t="shared" si="39"/>
        <v>0</v>
      </c>
      <c r="AW104" s="1980">
        <f t="shared" si="40"/>
        <v>0</v>
      </c>
      <c r="AX104" s="1980">
        <f t="shared" si="41"/>
        <v>0</v>
      </c>
      <c r="AY104" s="95">
        <f t="shared" si="42"/>
        <v>0</v>
      </c>
      <c r="AZ104" s="87">
        <f t="shared" si="43"/>
        <v>0</v>
      </c>
      <c r="BA104" s="87">
        <f t="shared" si="44"/>
        <v>0</v>
      </c>
      <c r="BB104" s="87">
        <f t="shared" si="45"/>
        <v>0</v>
      </c>
      <c r="BC104" s="87">
        <f t="shared" si="46"/>
        <v>0</v>
      </c>
      <c r="BD104" s="87">
        <f t="shared" si="47"/>
        <v>0</v>
      </c>
      <c r="BE104" s="87">
        <f t="shared" si="48"/>
        <v>0</v>
      </c>
      <c r="BF104" s="87">
        <f t="shared" si="49"/>
        <v>0</v>
      </c>
      <c r="BG104" s="87">
        <f t="shared" si="50"/>
        <v>0</v>
      </c>
      <c r="BH104" s="87">
        <f t="shared" si="51"/>
        <v>0</v>
      </c>
      <c r="BI104" s="87">
        <f t="shared" si="52"/>
        <v>0</v>
      </c>
      <c r="BJ104" s="87">
        <f t="shared" si="53"/>
        <v>0</v>
      </c>
      <c r="BK104" s="87">
        <f t="shared" si="54"/>
        <v>0</v>
      </c>
      <c r="BL104" s="87">
        <f t="shared" si="55"/>
        <v>0</v>
      </c>
      <c r="BM104" s="87">
        <f t="shared" si="56"/>
        <v>0</v>
      </c>
      <c r="BN104" s="87">
        <f t="shared" si="57"/>
        <v>0</v>
      </c>
      <c r="BO104" s="87">
        <f t="shared" si="58"/>
        <v>0</v>
      </c>
      <c r="BP104" s="87">
        <f t="shared" si="59"/>
        <v>0</v>
      </c>
      <c r="BQ104" s="87">
        <f t="shared" si="60"/>
        <v>0</v>
      </c>
      <c r="BR104" s="87">
        <f t="shared" si="61"/>
        <v>0</v>
      </c>
      <c r="BS104" s="87">
        <f t="shared" si="62"/>
        <v>0</v>
      </c>
      <c r="BT104" s="96">
        <f t="shared" si="63"/>
        <v>0</v>
      </c>
    </row>
    <row r="105" spans="1:72">
      <c r="A105" s="84"/>
      <c r="B105" s="85"/>
      <c r="C105" s="85"/>
      <c r="D105" s="86"/>
      <c r="E105" s="87">
        <f t="shared" si="35"/>
        <v>0</v>
      </c>
      <c r="F105" s="88"/>
      <c r="G105" s="89">
        <f t="shared" si="36"/>
        <v>0</v>
      </c>
      <c r="H105" s="90">
        <f t="shared" si="37"/>
        <v>0</v>
      </c>
      <c r="I105" s="91"/>
      <c r="J105" s="91"/>
      <c r="K105" s="91"/>
      <c r="L105" s="91"/>
      <c r="M105" s="91"/>
      <c r="N105" s="91"/>
      <c r="O105" s="91"/>
      <c r="P105" s="91"/>
      <c r="Q105" s="91"/>
      <c r="R105" s="91"/>
      <c r="S105" s="91"/>
      <c r="T105" s="91"/>
      <c r="U105" s="91"/>
      <c r="V105" s="91"/>
      <c r="W105" s="91"/>
      <c r="X105" s="91"/>
      <c r="Y105" s="91"/>
      <c r="Z105" s="91"/>
      <c r="AA105" s="91"/>
      <c r="AB105" s="91"/>
      <c r="AC105" s="87">
        <f t="shared" si="38"/>
        <v>0</v>
      </c>
      <c r="AD105" s="92"/>
      <c r="AE105" s="92"/>
      <c r="AF105" s="92"/>
      <c r="AG105" s="92"/>
      <c r="AH105" s="92"/>
      <c r="AI105" s="92"/>
      <c r="AJ105" s="92"/>
      <c r="AK105" s="92"/>
      <c r="AL105" s="92"/>
      <c r="AM105" s="92"/>
      <c r="AN105" s="92"/>
      <c r="AO105" s="92"/>
      <c r="AP105" s="92"/>
      <c r="AQ105" s="92"/>
      <c r="AR105" s="92"/>
      <c r="AS105" s="92"/>
      <c r="AT105" s="93"/>
      <c r="AU105" s="94"/>
      <c r="AV105" s="1980">
        <f t="shared" si="39"/>
        <v>0</v>
      </c>
      <c r="AW105" s="1980">
        <f t="shared" si="40"/>
        <v>0</v>
      </c>
      <c r="AX105" s="1980">
        <f t="shared" si="41"/>
        <v>0</v>
      </c>
      <c r="AY105" s="95">
        <f t="shared" si="42"/>
        <v>0</v>
      </c>
      <c r="AZ105" s="87">
        <f t="shared" si="43"/>
        <v>0</v>
      </c>
      <c r="BA105" s="87">
        <f t="shared" si="44"/>
        <v>0</v>
      </c>
      <c r="BB105" s="87">
        <f t="shared" si="45"/>
        <v>0</v>
      </c>
      <c r="BC105" s="87">
        <f t="shared" si="46"/>
        <v>0</v>
      </c>
      <c r="BD105" s="87">
        <f t="shared" si="47"/>
        <v>0</v>
      </c>
      <c r="BE105" s="87">
        <f t="shared" si="48"/>
        <v>0</v>
      </c>
      <c r="BF105" s="87">
        <f t="shared" si="49"/>
        <v>0</v>
      </c>
      <c r="BG105" s="87">
        <f t="shared" si="50"/>
        <v>0</v>
      </c>
      <c r="BH105" s="87">
        <f t="shared" si="51"/>
        <v>0</v>
      </c>
      <c r="BI105" s="87">
        <f t="shared" si="52"/>
        <v>0</v>
      </c>
      <c r="BJ105" s="87">
        <f t="shared" si="53"/>
        <v>0</v>
      </c>
      <c r="BK105" s="87">
        <f t="shared" si="54"/>
        <v>0</v>
      </c>
      <c r="BL105" s="87">
        <f t="shared" si="55"/>
        <v>0</v>
      </c>
      <c r="BM105" s="87">
        <f t="shared" si="56"/>
        <v>0</v>
      </c>
      <c r="BN105" s="87">
        <f t="shared" si="57"/>
        <v>0</v>
      </c>
      <c r="BO105" s="87">
        <f t="shared" si="58"/>
        <v>0</v>
      </c>
      <c r="BP105" s="87">
        <f t="shared" si="59"/>
        <v>0</v>
      </c>
      <c r="BQ105" s="87">
        <f t="shared" si="60"/>
        <v>0</v>
      </c>
      <c r="BR105" s="87">
        <f t="shared" si="61"/>
        <v>0</v>
      </c>
      <c r="BS105" s="87">
        <f t="shared" si="62"/>
        <v>0</v>
      </c>
      <c r="BT105" s="96">
        <f t="shared" si="63"/>
        <v>0</v>
      </c>
    </row>
    <row r="106" spans="1:72">
      <c r="A106" s="84"/>
      <c r="B106" s="85"/>
      <c r="C106" s="85"/>
      <c r="D106" s="86"/>
      <c r="E106" s="87">
        <f t="shared" si="35"/>
        <v>0</v>
      </c>
      <c r="F106" s="88"/>
      <c r="G106" s="89">
        <f t="shared" si="36"/>
        <v>0</v>
      </c>
      <c r="H106" s="90">
        <f t="shared" si="37"/>
        <v>0</v>
      </c>
      <c r="I106" s="91"/>
      <c r="J106" s="91"/>
      <c r="K106" s="91"/>
      <c r="L106" s="91"/>
      <c r="M106" s="91"/>
      <c r="N106" s="91"/>
      <c r="O106" s="91"/>
      <c r="P106" s="91"/>
      <c r="Q106" s="91"/>
      <c r="R106" s="91"/>
      <c r="S106" s="91"/>
      <c r="T106" s="91"/>
      <c r="U106" s="91"/>
      <c r="V106" s="91"/>
      <c r="W106" s="91"/>
      <c r="X106" s="91"/>
      <c r="Y106" s="91"/>
      <c r="Z106" s="91"/>
      <c r="AA106" s="91"/>
      <c r="AB106" s="91"/>
      <c r="AC106" s="87">
        <f t="shared" si="38"/>
        <v>0</v>
      </c>
      <c r="AD106" s="92"/>
      <c r="AE106" s="92"/>
      <c r="AF106" s="92"/>
      <c r="AG106" s="92"/>
      <c r="AH106" s="92"/>
      <c r="AI106" s="92"/>
      <c r="AJ106" s="92"/>
      <c r="AK106" s="92"/>
      <c r="AL106" s="92"/>
      <c r="AM106" s="92"/>
      <c r="AN106" s="92"/>
      <c r="AO106" s="92"/>
      <c r="AP106" s="92"/>
      <c r="AQ106" s="92"/>
      <c r="AR106" s="92"/>
      <c r="AS106" s="92"/>
      <c r="AT106" s="93"/>
      <c r="AU106" s="94"/>
      <c r="AV106" s="1980">
        <f t="shared" si="39"/>
        <v>0</v>
      </c>
      <c r="AW106" s="1980">
        <f t="shared" si="40"/>
        <v>0</v>
      </c>
      <c r="AX106" s="1980">
        <f t="shared" si="41"/>
        <v>0</v>
      </c>
      <c r="AY106" s="95">
        <f t="shared" si="42"/>
        <v>0</v>
      </c>
      <c r="AZ106" s="87">
        <f t="shared" si="43"/>
        <v>0</v>
      </c>
      <c r="BA106" s="87">
        <f t="shared" si="44"/>
        <v>0</v>
      </c>
      <c r="BB106" s="87">
        <f t="shared" si="45"/>
        <v>0</v>
      </c>
      <c r="BC106" s="87">
        <f t="shared" si="46"/>
        <v>0</v>
      </c>
      <c r="BD106" s="87">
        <f t="shared" si="47"/>
        <v>0</v>
      </c>
      <c r="BE106" s="87">
        <f t="shared" si="48"/>
        <v>0</v>
      </c>
      <c r="BF106" s="87">
        <f t="shared" si="49"/>
        <v>0</v>
      </c>
      <c r="BG106" s="87">
        <f t="shared" si="50"/>
        <v>0</v>
      </c>
      <c r="BH106" s="87">
        <f t="shared" si="51"/>
        <v>0</v>
      </c>
      <c r="BI106" s="87">
        <f t="shared" si="52"/>
        <v>0</v>
      </c>
      <c r="BJ106" s="87">
        <f t="shared" si="53"/>
        <v>0</v>
      </c>
      <c r="BK106" s="87">
        <f t="shared" si="54"/>
        <v>0</v>
      </c>
      <c r="BL106" s="87">
        <f t="shared" si="55"/>
        <v>0</v>
      </c>
      <c r="BM106" s="87">
        <f t="shared" si="56"/>
        <v>0</v>
      </c>
      <c r="BN106" s="87">
        <f t="shared" si="57"/>
        <v>0</v>
      </c>
      <c r="BO106" s="87">
        <f t="shared" si="58"/>
        <v>0</v>
      </c>
      <c r="BP106" s="87">
        <f t="shared" si="59"/>
        <v>0</v>
      </c>
      <c r="BQ106" s="87">
        <f t="shared" si="60"/>
        <v>0</v>
      </c>
      <c r="BR106" s="87">
        <f t="shared" si="61"/>
        <v>0</v>
      </c>
      <c r="BS106" s="87">
        <f t="shared" si="62"/>
        <v>0</v>
      </c>
      <c r="BT106" s="96">
        <f t="shared" si="63"/>
        <v>0</v>
      </c>
    </row>
    <row r="107" spans="1:72">
      <c r="A107" s="84"/>
      <c r="B107" s="85"/>
      <c r="C107" s="85"/>
      <c r="D107" s="86"/>
      <c r="E107" s="87">
        <f t="shared" si="35"/>
        <v>0</v>
      </c>
      <c r="F107" s="88"/>
      <c r="G107" s="89">
        <f t="shared" si="36"/>
        <v>0</v>
      </c>
      <c r="H107" s="90">
        <f t="shared" si="37"/>
        <v>0</v>
      </c>
      <c r="I107" s="91"/>
      <c r="J107" s="91"/>
      <c r="K107" s="91"/>
      <c r="L107" s="91"/>
      <c r="M107" s="91"/>
      <c r="N107" s="91"/>
      <c r="O107" s="91"/>
      <c r="P107" s="91"/>
      <c r="Q107" s="91"/>
      <c r="R107" s="91"/>
      <c r="S107" s="91"/>
      <c r="T107" s="91"/>
      <c r="U107" s="91"/>
      <c r="V107" s="91"/>
      <c r="W107" s="91"/>
      <c r="X107" s="91"/>
      <c r="Y107" s="91"/>
      <c r="Z107" s="91"/>
      <c r="AA107" s="91"/>
      <c r="AB107" s="91"/>
      <c r="AC107" s="87">
        <f t="shared" si="38"/>
        <v>0</v>
      </c>
      <c r="AD107" s="92"/>
      <c r="AE107" s="92"/>
      <c r="AF107" s="92"/>
      <c r="AG107" s="92"/>
      <c r="AH107" s="92"/>
      <c r="AI107" s="92"/>
      <c r="AJ107" s="92"/>
      <c r="AK107" s="92"/>
      <c r="AL107" s="92"/>
      <c r="AM107" s="92"/>
      <c r="AN107" s="92"/>
      <c r="AO107" s="92"/>
      <c r="AP107" s="92"/>
      <c r="AQ107" s="92"/>
      <c r="AR107" s="92"/>
      <c r="AS107" s="92"/>
      <c r="AT107" s="93"/>
      <c r="AU107" s="94"/>
      <c r="AV107" s="1980">
        <f t="shared" si="39"/>
        <v>0</v>
      </c>
      <c r="AW107" s="1980">
        <f t="shared" si="40"/>
        <v>0</v>
      </c>
      <c r="AX107" s="1980">
        <f t="shared" si="41"/>
        <v>0</v>
      </c>
      <c r="AY107" s="95">
        <f t="shared" si="42"/>
        <v>0</v>
      </c>
      <c r="AZ107" s="87">
        <f t="shared" si="43"/>
        <v>0</v>
      </c>
      <c r="BA107" s="87">
        <f t="shared" si="44"/>
        <v>0</v>
      </c>
      <c r="BB107" s="87">
        <f t="shared" si="45"/>
        <v>0</v>
      </c>
      <c r="BC107" s="87">
        <f t="shared" si="46"/>
        <v>0</v>
      </c>
      <c r="BD107" s="87">
        <f t="shared" si="47"/>
        <v>0</v>
      </c>
      <c r="BE107" s="87">
        <f t="shared" si="48"/>
        <v>0</v>
      </c>
      <c r="BF107" s="87">
        <f t="shared" si="49"/>
        <v>0</v>
      </c>
      <c r="BG107" s="87">
        <f t="shared" si="50"/>
        <v>0</v>
      </c>
      <c r="BH107" s="87">
        <f t="shared" si="51"/>
        <v>0</v>
      </c>
      <c r="BI107" s="87">
        <f t="shared" si="52"/>
        <v>0</v>
      </c>
      <c r="BJ107" s="87">
        <f t="shared" si="53"/>
        <v>0</v>
      </c>
      <c r="BK107" s="87">
        <f t="shared" si="54"/>
        <v>0</v>
      </c>
      <c r="BL107" s="87">
        <f t="shared" si="55"/>
        <v>0</v>
      </c>
      <c r="BM107" s="87">
        <f t="shared" si="56"/>
        <v>0</v>
      </c>
      <c r="BN107" s="87">
        <f t="shared" si="57"/>
        <v>0</v>
      </c>
      <c r="BO107" s="87">
        <f t="shared" si="58"/>
        <v>0</v>
      </c>
      <c r="BP107" s="87">
        <f t="shared" si="59"/>
        <v>0</v>
      </c>
      <c r="BQ107" s="87">
        <f t="shared" si="60"/>
        <v>0</v>
      </c>
      <c r="BR107" s="87">
        <f t="shared" si="61"/>
        <v>0</v>
      </c>
      <c r="BS107" s="87">
        <f t="shared" si="62"/>
        <v>0</v>
      </c>
      <c r="BT107" s="96">
        <f t="shared" si="63"/>
        <v>0</v>
      </c>
    </row>
    <row r="108" spans="1:72">
      <c r="A108" s="84"/>
      <c r="B108" s="85"/>
      <c r="C108" s="85"/>
      <c r="D108" s="86"/>
      <c r="E108" s="87">
        <f t="shared" si="35"/>
        <v>0</v>
      </c>
      <c r="F108" s="88"/>
      <c r="G108" s="89">
        <f t="shared" si="36"/>
        <v>0</v>
      </c>
      <c r="H108" s="90">
        <f t="shared" si="37"/>
        <v>0</v>
      </c>
      <c r="I108" s="91"/>
      <c r="J108" s="91"/>
      <c r="K108" s="91"/>
      <c r="L108" s="91"/>
      <c r="M108" s="91"/>
      <c r="N108" s="91"/>
      <c r="O108" s="91"/>
      <c r="P108" s="91"/>
      <c r="Q108" s="91"/>
      <c r="R108" s="91"/>
      <c r="S108" s="91"/>
      <c r="T108" s="91"/>
      <c r="U108" s="91"/>
      <c r="V108" s="91"/>
      <c r="W108" s="91"/>
      <c r="X108" s="91"/>
      <c r="Y108" s="91"/>
      <c r="Z108" s="91"/>
      <c r="AA108" s="91"/>
      <c r="AB108" s="91"/>
      <c r="AC108" s="87">
        <f t="shared" si="38"/>
        <v>0</v>
      </c>
      <c r="AD108" s="92"/>
      <c r="AE108" s="92"/>
      <c r="AF108" s="92"/>
      <c r="AG108" s="92"/>
      <c r="AH108" s="92"/>
      <c r="AI108" s="92"/>
      <c r="AJ108" s="92"/>
      <c r="AK108" s="92"/>
      <c r="AL108" s="92"/>
      <c r="AM108" s="92"/>
      <c r="AN108" s="92"/>
      <c r="AO108" s="92"/>
      <c r="AP108" s="92"/>
      <c r="AQ108" s="92"/>
      <c r="AR108" s="92"/>
      <c r="AS108" s="92"/>
      <c r="AT108" s="93"/>
      <c r="AU108" s="94"/>
      <c r="AV108" s="1980">
        <f t="shared" si="39"/>
        <v>0</v>
      </c>
      <c r="AW108" s="1980">
        <f t="shared" si="40"/>
        <v>0</v>
      </c>
      <c r="AX108" s="1980">
        <f t="shared" si="41"/>
        <v>0</v>
      </c>
      <c r="AY108" s="95">
        <f t="shared" si="42"/>
        <v>0</v>
      </c>
      <c r="AZ108" s="87">
        <f t="shared" si="43"/>
        <v>0</v>
      </c>
      <c r="BA108" s="87">
        <f t="shared" si="44"/>
        <v>0</v>
      </c>
      <c r="BB108" s="87">
        <f t="shared" si="45"/>
        <v>0</v>
      </c>
      <c r="BC108" s="87">
        <f t="shared" si="46"/>
        <v>0</v>
      </c>
      <c r="BD108" s="87">
        <f t="shared" si="47"/>
        <v>0</v>
      </c>
      <c r="BE108" s="87">
        <f t="shared" si="48"/>
        <v>0</v>
      </c>
      <c r="BF108" s="87">
        <f t="shared" si="49"/>
        <v>0</v>
      </c>
      <c r="BG108" s="87">
        <f t="shared" si="50"/>
        <v>0</v>
      </c>
      <c r="BH108" s="87">
        <f t="shared" si="51"/>
        <v>0</v>
      </c>
      <c r="BI108" s="87">
        <f t="shared" si="52"/>
        <v>0</v>
      </c>
      <c r="BJ108" s="87">
        <f t="shared" si="53"/>
        <v>0</v>
      </c>
      <c r="BK108" s="87">
        <f t="shared" si="54"/>
        <v>0</v>
      </c>
      <c r="BL108" s="87">
        <f t="shared" si="55"/>
        <v>0</v>
      </c>
      <c r="BM108" s="87">
        <f t="shared" si="56"/>
        <v>0</v>
      </c>
      <c r="BN108" s="87">
        <f t="shared" si="57"/>
        <v>0</v>
      </c>
      <c r="BO108" s="87">
        <f t="shared" si="58"/>
        <v>0</v>
      </c>
      <c r="BP108" s="87">
        <f t="shared" si="59"/>
        <v>0</v>
      </c>
      <c r="BQ108" s="87">
        <f t="shared" si="60"/>
        <v>0</v>
      </c>
      <c r="BR108" s="87">
        <f t="shared" si="61"/>
        <v>0</v>
      </c>
      <c r="BS108" s="87">
        <f t="shared" si="62"/>
        <v>0</v>
      </c>
      <c r="BT108" s="96">
        <f t="shared" si="63"/>
        <v>0</v>
      </c>
    </row>
    <row r="109" spans="1:72">
      <c r="A109" s="84"/>
      <c r="B109" s="85"/>
      <c r="C109" s="85"/>
      <c r="D109" s="86"/>
      <c r="E109" s="87">
        <f t="shared" si="35"/>
        <v>0</v>
      </c>
      <c r="F109" s="88"/>
      <c r="G109" s="89">
        <f t="shared" si="36"/>
        <v>0</v>
      </c>
      <c r="H109" s="90">
        <f t="shared" si="37"/>
        <v>0</v>
      </c>
      <c r="I109" s="91"/>
      <c r="J109" s="91"/>
      <c r="K109" s="91"/>
      <c r="L109" s="91"/>
      <c r="M109" s="91"/>
      <c r="N109" s="91"/>
      <c r="O109" s="91"/>
      <c r="P109" s="91"/>
      <c r="Q109" s="91"/>
      <c r="R109" s="91"/>
      <c r="S109" s="91"/>
      <c r="T109" s="91"/>
      <c r="U109" s="91"/>
      <c r="V109" s="91"/>
      <c r="W109" s="91"/>
      <c r="X109" s="91"/>
      <c r="Y109" s="91"/>
      <c r="Z109" s="91"/>
      <c r="AA109" s="91"/>
      <c r="AB109" s="91"/>
      <c r="AC109" s="87">
        <f t="shared" si="38"/>
        <v>0</v>
      </c>
      <c r="AD109" s="92"/>
      <c r="AE109" s="92"/>
      <c r="AF109" s="92"/>
      <c r="AG109" s="92"/>
      <c r="AH109" s="92"/>
      <c r="AI109" s="92"/>
      <c r="AJ109" s="92"/>
      <c r="AK109" s="92"/>
      <c r="AL109" s="92"/>
      <c r="AM109" s="92"/>
      <c r="AN109" s="92"/>
      <c r="AO109" s="92"/>
      <c r="AP109" s="92"/>
      <c r="AQ109" s="92"/>
      <c r="AR109" s="92"/>
      <c r="AS109" s="92"/>
      <c r="AT109" s="93"/>
      <c r="AU109" s="94"/>
      <c r="AV109" s="1980">
        <f t="shared" si="39"/>
        <v>0</v>
      </c>
      <c r="AW109" s="1980">
        <f t="shared" si="40"/>
        <v>0</v>
      </c>
      <c r="AX109" s="1980">
        <f t="shared" si="41"/>
        <v>0</v>
      </c>
      <c r="AY109" s="95">
        <f t="shared" si="42"/>
        <v>0</v>
      </c>
      <c r="AZ109" s="87">
        <f t="shared" si="43"/>
        <v>0</v>
      </c>
      <c r="BA109" s="87">
        <f t="shared" si="44"/>
        <v>0</v>
      </c>
      <c r="BB109" s="87">
        <f t="shared" si="45"/>
        <v>0</v>
      </c>
      <c r="BC109" s="87">
        <f t="shared" si="46"/>
        <v>0</v>
      </c>
      <c r="BD109" s="87">
        <f t="shared" si="47"/>
        <v>0</v>
      </c>
      <c r="BE109" s="87">
        <f t="shared" si="48"/>
        <v>0</v>
      </c>
      <c r="BF109" s="87">
        <f t="shared" si="49"/>
        <v>0</v>
      </c>
      <c r="BG109" s="87">
        <f t="shared" si="50"/>
        <v>0</v>
      </c>
      <c r="BH109" s="87">
        <f t="shared" si="51"/>
        <v>0</v>
      </c>
      <c r="BI109" s="87">
        <f t="shared" si="52"/>
        <v>0</v>
      </c>
      <c r="BJ109" s="87">
        <f t="shared" si="53"/>
        <v>0</v>
      </c>
      <c r="BK109" s="87">
        <f t="shared" si="54"/>
        <v>0</v>
      </c>
      <c r="BL109" s="87">
        <f t="shared" si="55"/>
        <v>0</v>
      </c>
      <c r="BM109" s="87">
        <f t="shared" si="56"/>
        <v>0</v>
      </c>
      <c r="BN109" s="87">
        <f t="shared" si="57"/>
        <v>0</v>
      </c>
      <c r="BO109" s="87">
        <f t="shared" si="58"/>
        <v>0</v>
      </c>
      <c r="BP109" s="87">
        <f t="shared" si="59"/>
        <v>0</v>
      </c>
      <c r="BQ109" s="87">
        <f t="shared" si="60"/>
        <v>0</v>
      </c>
      <c r="BR109" s="87">
        <f t="shared" si="61"/>
        <v>0</v>
      </c>
      <c r="BS109" s="87">
        <f t="shared" si="62"/>
        <v>0</v>
      </c>
      <c r="BT109" s="96">
        <f t="shared" si="63"/>
        <v>0</v>
      </c>
    </row>
    <row r="110" spans="1:72">
      <c r="A110" s="84"/>
      <c r="B110" s="84"/>
      <c r="C110" s="84"/>
      <c r="D110" s="86"/>
      <c r="E110" s="87">
        <f t="shared" si="35"/>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9"/>
        <v>0</v>
      </c>
      <c r="AW110" s="1980">
        <f t="shared" si="40"/>
        <v>0</v>
      </c>
      <c r="AX110" s="1980">
        <f t="shared" si="41"/>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5"/>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980">
        <f t="shared" si="39"/>
        <v>0</v>
      </c>
      <c r="AW111" s="1980">
        <f t="shared" si="40"/>
        <v>0</v>
      </c>
      <c r="AX111" s="1980">
        <f t="shared" si="41"/>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5"/>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980">
        <f t="shared" si="39"/>
        <v>0</v>
      </c>
      <c r="AW112" s="1980">
        <f t="shared" si="40"/>
        <v>0</v>
      </c>
      <c r="AX112" s="1980">
        <f t="shared" si="41"/>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94"/>
      <c r="C113" s="1395"/>
      <c r="D113" s="80"/>
      <c r="E113" s="87">
        <f t="shared" ref="E113:E144" si="89">IF($C$3="是",ROUND($A$3*G113/$B$3,2),ROUND($A$3*(G113-AT113)/$B$3,2))</f>
        <v>0</v>
      </c>
      <c r="F113" s="88"/>
      <c r="G113" s="89">
        <f t="shared" si="64"/>
        <v>0</v>
      </c>
      <c r="H113" s="90">
        <f t="shared" si="65"/>
        <v>0</v>
      </c>
      <c r="I113" s="1397"/>
      <c r="J113" s="91"/>
      <c r="K113" s="1397"/>
      <c r="L113" s="91"/>
      <c r="M113" s="91"/>
      <c r="N113" s="91"/>
      <c r="O113" s="91"/>
      <c r="P113" s="91"/>
      <c r="Q113" s="91"/>
      <c r="R113" s="91"/>
      <c r="S113" s="91"/>
      <c r="T113" s="91"/>
      <c r="U113" s="91"/>
      <c r="V113" s="91"/>
      <c r="W113" s="91"/>
      <c r="X113" s="91"/>
      <c r="Y113" s="91"/>
      <c r="Z113" s="91"/>
      <c r="AA113" s="91"/>
      <c r="AB113" s="91"/>
      <c r="AC113" s="87">
        <f t="shared" si="66"/>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90">A113</f>
        <v>0</v>
      </c>
      <c r="AW113" s="1980">
        <f t="shared" ref="AW113:AW144" si="91">B113</f>
        <v>0</v>
      </c>
      <c r="AX113" s="1980">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94"/>
      <c r="C114" s="1395"/>
      <c r="D114" s="80"/>
      <c r="E114" s="87">
        <f t="shared" si="89"/>
        <v>0</v>
      </c>
      <c r="F114" s="88"/>
      <c r="G114" s="89">
        <f t="shared" si="64"/>
        <v>0</v>
      </c>
      <c r="H114" s="90">
        <f t="shared" si="65"/>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6"/>
        <v>0</v>
      </c>
      <c r="AD114" s="1364"/>
      <c r="AE114" s="92"/>
      <c r="AF114" s="1398"/>
      <c r="AG114" s="92"/>
      <c r="AH114" s="92"/>
      <c r="AI114" s="92"/>
      <c r="AJ114" s="92"/>
      <c r="AK114" s="92"/>
      <c r="AL114" s="1364"/>
      <c r="AM114" s="92"/>
      <c r="AN114" s="1364"/>
      <c r="AO114" s="92"/>
      <c r="AP114" s="92"/>
      <c r="AQ114" s="92"/>
      <c r="AR114" s="92"/>
      <c r="AS114" s="92"/>
      <c r="AT114" s="93"/>
      <c r="AU114" s="94"/>
      <c r="AV114" s="1980">
        <f t="shared" si="90"/>
        <v>0</v>
      </c>
      <c r="AW114" s="1980">
        <f t="shared" si="91"/>
        <v>0</v>
      </c>
      <c r="AX114" s="1980">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94"/>
      <c r="C115" s="1395"/>
      <c r="D115" s="80"/>
      <c r="E115" s="87">
        <f t="shared" si="89"/>
        <v>0</v>
      </c>
      <c r="F115" s="88"/>
      <c r="G115" s="89">
        <f t="shared" si="64"/>
        <v>0</v>
      </c>
      <c r="H115" s="90">
        <f t="shared" si="65"/>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6"/>
        <v>0</v>
      </c>
      <c r="AD115" s="92"/>
      <c r="AE115" s="92"/>
      <c r="AF115" s="1398"/>
      <c r="AG115" s="92"/>
      <c r="AH115" s="92"/>
      <c r="AI115" s="92"/>
      <c r="AJ115" s="92"/>
      <c r="AK115" s="92"/>
      <c r="AL115" s="1364"/>
      <c r="AM115" s="92"/>
      <c r="AN115" s="1364"/>
      <c r="AO115" s="92"/>
      <c r="AP115" s="92"/>
      <c r="AQ115" s="92"/>
      <c r="AR115" s="92"/>
      <c r="AS115" s="92"/>
      <c r="AT115" s="93"/>
      <c r="AU115" s="94"/>
      <c r="AV115" s="1980">
        <f t="shared" si="90"/>
        <v>0</v>
      </c>
      <c r="AW115" s="1980">
        <f t="shared" si="91"/>
        <v>0</v>
      </c>
      <c r="AX115" s="1980">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94"/>
      <c r="C116" s="1395"/>
      <c r="D116" s="80"/>
      <c r="E116" s="87">
        <f t="shared" si="89"/>
        <v>0</v>
      </c>
      <c r="F116" s="88"/>
      <c r="G116" s="89">
        <f t="shared" si="64"/>
        <v>0</v>
      </c>
      <c r="H116" s="90">
        <f t="shared" si="65"/>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6"/>
        <v>0</v>
      </c>
      <c r="AD116" s="92"/>
      <c r="AE116" s="92"/>
      <c r="AF116" s="1398"/>
      <c r="AG116" s="92"/>
      <c r="AH116" s="92"/>
      <c r="AI116" s="92"/>
      <c r="AJ116" s="92"/>
      <c r="AK116" s="92"/>
      <c r="AL116" s="92"/>
      <c r="AM116" s="92"/>
      <c r="AN116" s="1364"/>
      <c r="AO116" s="92"/>
      <c r="AP116" s="92"/>
      <c r="AQ116" s="92"/>
      <c r="AR116" s="92"/>
      <c r="AS116" s="92"/>
      <c r="AT116" s="93"/>
      <c r="AU116" s="94"/>
      <c r="AV116" s="1980">
        <f t="shared" si="90"/>
        <v>0</v>
      </c>
      <c r="AW116" s="1980">
        <f t="shared" si="91"/>
        <v>0</v>
      </c>
      <c r="AX116" s="1980">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94"/>
      <c r="C117" s="1395"/>
      <c r="D117" s="80"/>
      <c r="E117" s="87">
        <f t="shared" si="89"/>
        <v>0</v>
      </c>
      <c r="F117" s="88"/>
      <c r="G117" s="89">
        <f t="shared" si="64"/>
        <v>0</v>
      </c>
      <c r="H117" s="90">
        <f t="shared" si="65"/>
        <v>0</v>
      </c>
      <c r="I117" s="1397"/>
      <c r="J117" s="91"/>
      <c r="K117" s="1397"/>
      <c r="L117" s="91"/>
      <c r="M117" s="91"/>
      <c r="N117" s="91"/>
      <c r="O117" s="91"/>
      <c r="P117" s="91"/>
      <c r="Q117" s="91"/>
      <c r="R117" s="91"/>
      <c r="S117" s="91"/>
      <c r="T117" s="91"/>
      <c r="U117" s="91"/>
      <c r="V117" s="91"/>
      <c r="W117" s="91"/>
      <c r="X117" s="91"/>
      <c r="Y117" s="91"/>
      <c r="Z117" s="91"/>
      <c r="AA117" s="91"/>
      <c r="AB117" s="91"/>
      <c r="AC117" s="87">
        <f t="shared" si="66"/>
        <v>0</v>
      </c>
      <c r="AD117" s="92"/>
      <c r="AE117" s="92"/>
      <c r="AF117" s="1398"/>
      <c r="AG117" s="92"/>
      <c r="AH117" s="92"/>
      <c r="AI117" s="92"/>
      <c r="AJ117" s="92"/>
      <c r="AK117" s="92"/>
      <c r="AL117" s="92"/>
      <c r="AM117" s="92"/>
      <c r="AN117" s="92"/>
      <c r="AO117" s="92"/>
      <c r="AP117" s="92"/>
      <c r="AQ117" s="92"/>
      <c r="AR117" s="92"/>
      <c r="AS117" s="92"/>
      <c r="AT117" s="93"/>
      <c r="AU117" s="94"/>
      <c r="AV117" s="1980">
        <f t="shared" si="90"/>
        <v>0</v>
      </c>
      <c r="AW117" s="1980">
        <f t="shared" si="91"/>
        <v>0</v>
      </c>
      <c r="AX117" s="1980">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94"/>
      <c r="C118" s="1395"/>
      <c r="D118" s="80"/>
      <c r="E118" s="87">
        <f t="shared" si="89"/>
        <v>0</v>
      </c>
      <c r="F118" s="88"/>
      <c r="G118" s="89">
        <f t="shared" si="64"/>
        <v>0</v>
      </c>
      <c r="H118" s="90">
        <f t="shared" si="65"/>
        <v>0</v>
      </c>
      <c r="I118" s="1397"/>
      <c r="J118" s="91"/>
      <c r="K118" s="1397"/>
      <c r="L118" s="91"/>
      <c r="M118" s="91"/>
      <c r="N118" s="91"/>
      <c r="O118" s="91"/>
      <c r="P118" s="91"/>
      <c r="Q118" s="91"/>
      <c r="R118" s="91"/>
      <c r="S118" s="91"/>
      <c r="T118" s="91"/>
      <c r="U118" s="91"/>
      <c r="V118" s="91"/>
      <c r="W118" s="91"/>
      <c r="X118" s="91"/>
      <c r="Y118" s="91"/>
      <c r="Z118" s="91"/>
      <c r="AA118" s="91"/>
      <c r="AB118" s="91"/>
      <c r="AC118" s="87">
        <f t="shared" si="66"/>
        <v>0</v>
      </c>
      <c r="AD118" s="92"/>
      <c r="AE118" s="92"/>
      <c r="AF118" s="1398"/>
      <c r="AG118" s="92"/>
      <c r="AH118" s="92"/>
      <c r="AI118" s="92"/>
      <c r="AJ118" s="92"/>
      <c r="AK118" s="92"/>
      <c r="AL118" s="92"/>
      <c r="AM118" s="92"/>
      <c r="AN118" s="92"/>
      <c r="AO118" s="92"/>
      <c r="AP118" s="92"/>
      <c r="AQ118" s="92"/>
      <c r="AR118" s="92"/>
      <c r="AS118" s="92"/>
      <c r="AT118" s="93"/>
      <c r="AU118" s="94"/>
      <c r="AV118" s="1980">
        <f t="shared" si="90"/>
        <v>0</v>
      </c>
      <c r="AW118" s="1980">
        <f t="shared" si="91"/>
        <v>0</v>
      </c>
      <c r="AX118" s="1980">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94"/>
      <c r="C119" s="1395"/>
      <c r="D119" s="80"/>
      <c r="E119" s="87">
        <f t="shared" si="89"/>
        <v>0</v>
      </c>
      <c r="F119" s="88"/>
      <c r="G119" s="89">
        <f t="shared" si="64"/>
        <v>0</v>
      </c>
      <c r="H119" s="90">
        <f t="shared" si="65"/>
        <v>0</v>
      </c>
      <c r="I119" s="1397"/>
      <c r="J119" s="91"/>
      <c r="K119" s="1397"/>
      <c r="L119" s="91"/>
      <c r="M119" s="91"/>
      <c r="N119" s="91"/>
      <c r="O119" s="91"/>
      <c r="P119" s="91"/>
      <c r="Q119" s="91"/>
      <c r="R119" s="91"/>
      <c r="S119" s="91"/>
      <c r="T119" s="91"/>
      <c r="U119" s="91"/>
      <c r="V119" s="91"/>
      <c r="W119" s="91"/>
      <c r="X119" s="91"/>
      <c r="Y119" s="91"/>
      <c r="Z119" s="91"/>
      <c r="AA119" s="91"/>
      <c r="AB119" s="91"/>
      <c r="AC119" s="87">
        <f t="shared" si="66"/>
        <v>0</v>
      </c>
      <c r="AD119" s="92"/>
      <c r="AE119" s="92"/>
      <c r="AF119" s="1398"/>
      <c r="AG119" s="92"/>
      <c r="AH119" s="92"/>
      <c r="AI119" s="92"/>
      <c r="AJ119" s="92"/>
      <c r="AK119" s="92"/>
      <c r="AL119" s="92"/>
      <c r="AM119" s="92"/>
      <c r="AN119" s="92"/>
      <c r="AO119" s="92"/>
      <c r="AP119" s="92"/>
      <c r="AQ119" s="92"/>
      <c r="AR119" s="92"/>
      <c r="AS119" s="92"/>
      <c r="AT119" s="93"/>
      <c r="AU119" s="94"/>
      <c r="AV119" s="1980">
        <f t="shared" si="90"/>
        <v>0</v>
      </c>
      <c r="AW119" s="1980">
        <f t="shared" si="91"/>
        <v>0</v>
      </c>
      <c r="AX119" s="1980">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94"/>
      <c r="C120" s="1395"/>
      <c r="D120" s="80"/>
      <c r="E120" s="87">
        <f t="shared" si="89"/>
        <v>0</v>
      </c>
      <c r="F120" s="88"/>
      <c r="G120" s="89">
        <f t="shared" si="64"/>
        <v>0</v>
      </c>
      <c r="H120" s="90">
        <f t="shared" si="65"/>
        <v>0</v>
      </c>
      <c r="I120" s="1397"/>
      <c r="J120" s="91"/>
      <c r="K120" s="1397"/>
      <c r="L120" s="91"/>
      <c r="M120" s="91"/>
      <c r="N120" s="91"/>
      <c r="O120" s="91"/>
      <c r="P120" s="91"/>
      <c r="Q120" s="91"/>
      <c r="R120" s="91"/>
      <c r="S120" s="91"/>
      <c r="T120" s="91"/>
      <c r="U120" s="91"/>
      <c r="V120" s="91"/>
      <c r="W120" s="91"/>
      <c r="X120" s="91"/>
      <c r="Y120" s="91"/>
      <c r="Z120" s="91"/>
      <c r="AA120" s="91"/>
      <c r="AB120" s="91"/>
      <c r="AC120" s="87">
        <f t="shared" si="66"/>
        <v>0</v>
      </c>
      <c r="AD120" s="92"/>
      <c r="AE120" s="92"/>
      <c r="AF120" s="1397"/>
      <c r="AG120" s="92"/>
      <c r="AH120" s="92"/>
      <c r="AI120" s="92"/>
      <c r="AJ120" s="92"/>
      <c r="AK120" s="92"/>
      <c r="AL120" s="92"/>
      <c r="AM120" s="92"/>
      <c r="AN120" s="92"/>
      <c r="AO120" s="92"/>
      <c r="AP120" s="92"/>
      <c r="AQ120" s="92"/>
      <c r="AR120" s="92"/>
      <c r="AS120" s="92"/>
      <c r="AT120" s="93"/>
      <c r="AU120" s="94"/>
      <c r="AV120" s="1980">
        <f t="shared" si="90"/>
        <v>0</v>
      </c>
      <c r="AW120" s="1980">
        <f t="shared" si="91"/>
        <v>0</v>
      </c>
      <c r="AX120" s="1980">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96"/>
      <c r="C121" s="1397"/>
      <c r="D121" s="80"/>
      <c r="E121" s="87">
        <f t="shared" si="89"/>
        <v>0</v>
      </c>
      <c r="F121" s="88"/>
      <c r="G121" s="89">
        <f t="shared" si="64"/>
        <v>0</v>
      </c>
      <c r="H121" s="90">
        <f t="shared" si="65"/>
        <v>0</v>
      </c>
      <c r="I121" s="1397"/>
      <c r="J121" s="91"/>
      <c r="K121" s="1397"/>
      <c r="L121" s="91"/>
      <c r="M121" s="91"/>
      <c r="N121" s="91"/>
      <c r="O121" s="91"/>
      <c r="P121" s="91"/>
      <c r="Q121" s="91"/>
      <c r="R121" s="91"/>
      <c r="S121" s="91"/>
      <c r="T121" s="91"/>
      <c r="U121" s="91"/>
      <c r="V121" s="91"/>
      <c r="W121" s="91"/>
      <c r="X121" s="91"/>
      <c r="Y121" s="91"/>
      <c r="Z121" s="91"/>
      <c r="AA121" s="91"/>
      <c r="AB121" s="91"/>
      <c r="AC121" s="87">
        <f t="shared" si="66"/>
        <v>0</v>
      </c>
      <c r="AD121" s="92"/>
      <c r="AE121" s="92"/>
      <c r="AF121" s="1397"/>
      <c r="AG121" s="92"/>
      <c r="AH121" s="92"/>
      <c r="AI121" s="92"/>
      <c r="AJ121" s="92"/>
      <c r="AK121" s="92"/>
      <c r="AL121" s="92"/>
      <c r="AM121" s="92"/>
      <c r="AN121" s="92"/>
      <c r="AO121" s="92"/>
      <c r="AP121" s="92"/>
      <c r="AQ121" s="92"/>
      <c r="AR121" s="92"/>
      <c r="AS121" s="92"/>
      <c r="AT121" s="93"/>
      <c r="AU121" s="94"/>
      <c r="AV121" s="1980">
        <f t="shared" si="90"/>
        <v>0</v>
      </c>
      <c r="AW121" s="1980">
        <f t="shared" si="91"/>
        <v>0</v>
      </c>
      <c r="AX121" s="1980">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94"/>
      <c r="C122" s="1395"/>
      <c r="D122" s="80"/>
      <c r="E122" s="87">
        <f t="shared" si="89"/>
        <v>0</v>
      </c>
      <c r="F122" s="88"/>
      <c r="G122" s="89">
        <f t="shared" si="64"/>
        <v>0</v>
      </c>
      <c r="H122" s="90">
        <f t="shared" si="65"/>
        <v>0</v>
      </c>
      <c r="I122" s="1397"/>
      <c r="J122" s="91"/>
      <c r="K122" s="1397"/>
      <c r="L122" s="91"/>
      <c r="M122" s="91"/>
      <c r="N122" s="91"/>
      <c r="O122" s="91"/>
      <c r="P122" s="91"/>
      <c r="Q122" s="91"/>
      <c r="R122" s="91"/>
      <c r="S122" s="91"/>
      <c r="T122" s="91"/>
      <c r="U122" s="91"/>
      <c r="V122" s="91"/>
      <c r="W122" s="91"/>
      <c r="X122" s="91"/>
      <c r="Y122" s="91"/>
      <c r="Z122" s="91"/>
      <c r="AA122" s="91"/>
      <c r="AB122" s="91"/>
      <c r="AC122" s="87">
        <f t="shared" si="66"/>
        <v>0</v>
      </c>
      <c r="AD122" s="92"/>
      <c r="AE122" s="92"/>
      <c r="AF122" s="1397"/>
      <c r="AG122" s="92"/>
      <c r="AH122" s="92"/>
      <c r="AI122" s="92"/>
      <c r="AJ122" s="92"/>
      <c r="AK122" s="92"/>
      <c r="AL122" s="92"/>
      <c r="AM122" s="92"/>
      <c r="AN122" s="92"/>
      <c r="AO122" s="92"/>
      <c r="AP122" s="92"/>
      <c r="AQ122" s="92"/>
      <c r="AR122" s="92"/>
      <c r="AS122" s="92"/>
      <c r="AT122" s="93"/>
      <c r="AU122" s="94"/>
      <c r="AV122" s="1980">
        <f t="shared" si="90"/>
        <v>0</v>
      </c>
      <c r="AW122" s="1980">
        <f t="shared" si="91"/>
        <v>0</v>
      </c>
      <c r="AX122" s="1980">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94"/>
      <c r="C123" s="1395"/>
      <c r="D123" s="80"/>
      <c r="E123" s="87">
        <f t="shared" si="89"/>
        <v>0</v>
      </c>
      <c r="F123" s="88"/>
      <c r="G123" s="89">
        <f t="shared" si="64"/>
        <v>0</v>
      </c>
      <c r="H123" s="90">
        <f t="shared" si="65"/>
        <v>0</v>
      </c>
      <c r="I123" s="1397"/>
      <c r="J123" s="91"/>
      <c r="K123" s="1397"/>
      <c r="L123" s="91"/>
      <c r="M123" s="91"/>
      <c r="N123" s="91"/>
      <c r="O123" s="91"/>
      <c r="P123" s="91"/>
      <c r="Q123" s="91"/>
      <c r="R123" s="91"/>
      <c r="S123" s="91"/>
      <c r="T123" s="91"/>
      <c r="U123" s="91"/>
      <c r="V123" s="91"/>
      <c r="W123" s="91"/>
      <c r="X123" s="91"/>
      <c r="Y123" s="91"/>
      <c r="Z123" s="91"/>
      <c r="AA123" s="91"/>
      <c r="AB123" s="91"/>
      <c r="AC123" s="87">
        <f t="shared" si="66"/>
        <v>0</v>
      </c>
      <c r="AD123" s="92"/>
      <c r="AE123" s="92"/>
      <c r="AF123" s="1397"/>
      <c r="AG123" s="92"/>
      <c r="AH123" s="92"/>
      <c r="AI123" s="92"/>
      <c r="AJ123" s="92"/>
      <c r="AK123" s="92"/>
      <c r="AL123" s="92"/>
      <c r="AM123" s="92"/>
      <c r="AN123" s="92"/>
      <c r="AO123" s="92"/>
      <c r="AP123" s="92"/>
      <c r="AQ123" s="92"/>
      <c r="AR123" s="92"/>
      <c r="AS123" s="92"/>
      <c r="AT123" s="93"/>
      <c r="AU123" s="94"/>
      <c r="AV123" s="1980">
        <f t="shared" si="90"/>
        <v>0</v>
      </c>
      <c r="AW123" s="1980">
        <f t="shared" si="91"/>
        <v>0</v>
      </c>
      <c r="AX123" s="1980">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94"/>
      <c r="C124" s="1395"/>
      <c r="D124" s="80"/>
      <c r="E124" s="87">
        <f t="shared" si="89"/>
        <v>0</v>
      </c>
      <c r="F124" s="88"/>
      <c r="G124" s="89">
        <f t="shared" si="64"/>
        <v>0</v>
      </c>
      <c r="H124" s="90">
        <f t="shared" si="65"/>
        <v>0</v>
      </c>
      <c r="I124" s="1397"/>
      <c r="J124" s="91"/>
      <c r="K124" s="1397"/>
      <c r="L124" s="91"/>
      <c r="M124" s="91"/>
      <c r="N124" s="91"/>
      <c r="O124" s="91"/>
      <c r="P124" s="91"/>
      <c r="Q124" s="91"/>
      <c r="R124" s="91"/>
      <c r="S124" s="91"/>
      <c r="T124" s="91"/>
      <c r="U124" s="91"/>
      <c r="V124" s="91"/>
      <c r="W124" s="91"/>
      <c r="X124" s="91"/>
      <c r="Y124" s="91"/>
      <c r="Z124" s="91"/>
      <c r="AA124" s="91"/>
      <c r="AB124" s="91"/>
      <c r="AC124" s="87">
        <f t="shared" si="66"/>
        <v>0</v>
      </c>
      <c r="AD124" s="92"/>
      <c r="AE124" s="92"/>
      <c r="AF124" s="1397"/>
      <c r="AG124" s="92"/>
      <c r="AH124" s="92"/>
      <c r="AI124" s="92"/>
      <c r="AJ124" s="92"/>
      <c r="AK124" s="92"/>
      <c r="AL124" s="92"/>
      <c r="AM124" s="92"/>
      <c r="AN124" s="92"/>
      <c r="AO124" s="92"/>
      <c r="AP124" s="92"/>
      <c r="AQ124" s="92"/>
      <c r="AR124" s="92"/>
      <c r="AS124" s="92"/>
      <c r="AT124" s="93"/>
      <c r="AU124" s="94"/>
      <c r="AV124" s="1980">
        <f t="shared" si="90"/>
        <v>0</v>
      </c>
      <c r="AW124" s="1980">
        <f t="shared" si="91"/>
        <v>0</v>
      </c>
      <c r="AX124" s="1980">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94"/>
      <c r="C125" s="1395"/>
      <c r="D125" s="80"/>
      <c r="E125" s="87">
        <f t="shared" si="89"/>
        <v>0</v>
      </c>
      <c r="F125" s="88"/>
      <c r="G125" s="89">
        <f t="shared" si="64"/>
        <v>0</v>
      </c>
      <c r="H125" s="90">
        <f t="shared" si="65"/>
        <v>0</v>
      </c>
      <c r="I125" s="1397"/>
      <c r="J125" s="91"/>
      <c r="K125" s="1397"/>
      <c r="L125" s="91"/>
      <c r="M125" s="91"/>
      <c r="N125" s="91"/>
      <c r="O125" s="91"/>
      <c r="P125" s="91"/>
      <c r="Q125" s="91"/>
      <c r="R125" s="91"/>
      <c r="S125" s="91"/>
      <c r="T125" s="91"/>
      <c r="U125" s="91"/>
      <c r="V125" s="91"/>
      <c r="W125" s="91"/>
      <c r="X125" s="91"/>
      <c r="Y125" s="91"/>
      <c r="Z125" s="91"/>
      <c r="AA125" s="91"/>
      <c r="AB125" s="91"/>
      <c r="AC125" s="87">
        <f t="shared" si="66"/>
        <v>0</v>
      </c>
      <c r="AD125" s="92"/>
      <c r="AE125" s="92"/>
      <c r="AF125" s="1397"/>
      <c r="AG125" s="92"/>
      <c r="AH125" s="92"/>
      <c r="AI125" s="92"/>
      <c r="AJ125" s="92"/>
      <c r="AK125" s="92"/>
      <c r="AL125" s="92"/>
      <c r="AM125" s="92"/>
      <c r="AN125" s="92"/>
      <c r="AO125" s="92"/>
      <c r="AP125" s="92"/>
      <c r="AQ125" s="92"/>
      <c r="AR125" s="92"/>
      <c r="AS125" s="92"/>
      <c r="AT125" s="93"/>
      <c r="AU125" s="94"/>
      <c r="AV125" s="1980">
        <f t="shared" si="90"/>
        <v>0</v>
      </c>
      <c r="AW125" s="1980">
        <f t="shared" si="91"/>
        <v>0</v>
      </c>
      <c r="AX125" s="1980">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94"/>
      <c r="C126" s="1395"/>
      <c r="D126" s="80"/>
      <c r="E126" s="87">
        <f t="shared" si="89"/>
        <v>0</v>
      </c>
      <c r="F126" s="88"/>
      <c r="G126" s="89">
        <f t="shared" si="64"/>
        <v>0</v>
      </c>
      <c r="H126" s="90">
        <f t="shared" si="65"/>
        <v>0</v>
      </c>
      <c r="I126" s="1397"/>
      <c r="J126" s="91"/>
      <c r="K126" s="1397"/>
      <c r="L126" s="91"/>
      <c r="M126" s="91"/>
      <c r="N126" s="91"/>
      <c r="O126" s="91"/>
      <c r="P126" s="91"/>
      <c r="Q126" s="91"/>
      <c r="R126" s="91"/>
      <c r="S126" s="91"/>
      <c r="T126" s="91"/>
      <c r="U126" s="91"/>
      <c r="V126" s="91"/>
      <c r="W126" s="91"/>
      <c r="X126" s="91"/>
      <c r="Y126" s="91"/>
      <c r="Z126" s="91"/>
      <c r="AA126" s="91"/>
      <c r="AB126" s="91"/>
      <c r="AC126" s="87">
        <f t="shared" si="66"/>
        <v>0</v>
      </c>
      <c r="AD126" s="92"/>
      <c r="AE126" s="92"/>
      <c r="AF126" s="1397"/>
      <c r="AG126" s="92"/>
      <c r="AH126" s="92"/>
      <c r="AI126" s="92"/>
      <c r="AJ126" s="92"/>
      <c r="AK126" s="92"/>
      <c r="AL126" s="92"/>
      <c r="AM126" s="92"/>
      <c r="AN126" s="92"/>
      <c r="AO126" s="92"/>
      <c r="AP126" s="92"/>
      <c r="AQ126" s="92"/>
      <c r="AR126" s="92"/>
      <c r="AS126" s="92"/>
      <c r="AT126" s="93"/>
      <c r="AU126" s="94"/>
      <c r="AV126" s="1980">
        <f t="shared" si="90"/>
        <v>0</v>
      </c>
      <c r="AW126" s="1980">
        <f t="shared" si="91"/>
        <v>0</v>
      </c>
      <c r="AX126" s="1980">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94"/>
      <c r="C127" s="1395"/>
      <c r="D127" s="80"/>
      <c r="E127" s="87">
        <f t="shared" si="89"/>
        <v>0</v>
      </c>
      <c r="F127" s="88"/>
      <c r="G127" s="89">
        <f t="shared" si="64"/>
        <v>0</v>
      </c>
      <c r="H127" s="90">
        <f t="shared" si="65"/>
        <v>0</v>
      </c>
      <c r="I127" s="1397"/>
      <c r="J127" s="91"/>
      <c r="K127" s="1397"/>
      <c r="L127" s="91"/>
      <c r="M127" s="91"/>
      <c r="N127" s="91"/>
      <c r="O127" s="91"/>
      <c r="P127" s="91"/>
      <c r="Q127" s="91"/>
      <c r="R127" s="91"/>
      <c r="S127" s="91"/>
      <c r="T127" s="91"/>
      <c r="U127" s="91"/>
      <c r="V127" s="91"/>
      <c r="W127" s="91"/>
      <c r="X127" s="91"/>
      <c r="Y127" s="91"/>
      <c r="Z127" s="91"/>
      <c r="AA127" s="91"/>
      <c r="AB127" s="91"/>
      <c r="AC127" s="87">
        <f t="shared" si="66"/>
        <v>0</v>
      </c>
      <c r="AD127" s="92"/>
      <c r="AE127" s="92"/>
      <c r="AF127" s="1397"/>
      <c r="AG127" s="92"/>
      <c r="AH127" s="92"/>
      <c r="AI127" s="92"/>
      <c r="AJ127" s="92"/>
      <c r="AK127" s="92"/>
      <c r="AL127" s="92"/>
      <c r="AM127" s="92"/>
      <c r="AN127" s="92"/>
      <c r="AO127" s="92"/>
      <c r="AP127" s="92"/>
      <c r="AQ127" s="92"/>
      <c r="AR127" s="92"/>
      <c r="AS127" s="92"/>
      <c r="AT127" s="93"/>
      <c r="AU127" s="94"/>
      <c r="AV127" s="1980">
        <f t="shared" si="90"/>
        <v>0</v>
      </c>
      <c r="AW127" s="1980">
        <f t="shared" si="91"/>
        <v>0</v>
      </c>
      <c r="AX127" s="1980">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94"/>
      <c r="C128" s="1395"/>
      <c r="D128" s="80"/>
      <c r="E128" s="87">
        <f t="shared" si="89"/>
        <v>0</v>
      </c>
      <c r="F128" s="88"/>
      <c r="G128" s="89">
        <f t="shared" si="64"/>
        <v>0</v>
      </c>
      <c r="H128" s="90">
        <f t="shared" si="65"/>
        <v>0</v>
      </c>
      <c r="I128" s="1397"/>
      <c r="J128" s="91"/>
      <c r="K128" s="1397"/>
      <c r="L128" s="91"/>
      <c r="M128" s="91"/>
      <c r="N128" s="91"/>
      <c r="O128" s="91"/>
      <c r="P128" s="91"/>
      <c r="Q128" s="91"/>
      <c r="R128" s="91"/>
      <c r="S128" s="91"/>
      <c r="T128" s="91"/>
      <c r="U128" s="91"/>
      <c r="V128" s="91"/>
      <c r="W128" s="91"/>
      <c r="X128" s="91"/>
      <c r="Y128" s="91"/>
      <c r="Z128" s="91"/>
      <c r="AA128" s="91"/>
      <c r="AB128" s="91"/>
      <c r="AC128" s="87">
        <f t="shared" si="66"/>
        <v>0</v>
      </c>
      <c r="AD128" s="92"/>
      <c r="AE128" s="92"/>
      <c r="AF128" s="1397"/>
      <c r="AG128" s="92"/>
      <c r="AH128" s="92"/>
      <c r="AI128" s="92"/>
      <c r="AJ128" s="92"/>
      <c r="AK128" s="92"/>
      <c r="AL128" s="92"/>
      <c r="AM128" s="92"/>
      <c r="AN128" s="92"/>
      <c r="AO128" s="92"/>
      <c r="AP128" s="92"/>
      <c r="AQ128" s="92"/>
      <c r="AR128" s="92"/>
      <c r="AS128" s="92"/>
      <c r="AT128" s="93"/>
      <c r="AU128" s="94"/>
      <c r="AV128" s="1980">
        <f t="shared" si="90"/>
        <v>0</v>
      </c>
      <c r="AW128" s="1980">
        <f t="shared" si="91"/>
        <v>0</v>
      </c>
      <c r="AX128" s="1980">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94"/>
      <c r="C129" s="1395"/>
      <c r="D129" s="80"/>
      <c r="E129" s="87">
        <f t="shared" si="89"/>
        <v>0</v>
      </c>
      <c r="F129" s="88"/>
      <c r="G129" s="89">
        <f t="shared" si="64"/>
        <v>0</v>
      </c>
      <c r="H129" s="90">
        <f t="shared" si="65"/>
        <v>0</v>
      </c>
      <c r="I129" s="1397"/>
      <c r="J129" s="91"/>
      <c r="K129" s="1397"/>
      <c r="L129" s="91"/>
      <c r="M129" s="91"/>
      <c r="N129" s="91"/>
      <c r="O129" s="91"/>
      <c r="P129" s="91"/>
      <c r="Q129" s="91"/>
      <c r="R129" s="91"/>
      <c r="S129" s="91"/>
      <c r="T129" s="91"/>
      <c r="U129" s="91"/>
      <c r="V129" s="91"/>
      <c r="W129" s="91"/>
      <c r="X129" s="91"/>
      <c r="Y129" s="91"/>
      <c r="Z129" s="91"/>
      <c r="AA129" s="91"/>
      <c r="AB129" s="91"/>
      <c r="AC129" s="87">
        <f t="shared" si="66"/>
        <v>0</v>
      </c>
      <c r="AD129" s="92"/>
      <c r="AE129" s="92"/>
      <c r="AF129" s="1397"/>
      <c r="AG129" s="92"/>
      <c r="AH129" s="92"/>
      <c r="AI129" s="92"/>
      <c r="AJ129" s="92"/>
      <c r="AK129" s="92"/>
      <c r="AL129" s="92"/>
      <c r="AM129" s="92"/>
      <c r="AN129" s="92"/>
      <c r="AO129" s="92"/>
      <c r="AP129" s="92"/>
      <c r="AQ129" s="92"/>
      <c r="AR129" s="92"/>
      <c r="AS129" s="92"/>
      <c r="AT129" s="93"/>
      <c r="AU129" s="94"/>
      <c r="AV129" s="1980">
        <f t="shared" si="90"/>
        <v>0</v>
      </c>
      <c r="AW129" s="1980">
        <f t="shared" si="91"/>
        <v>0</v>
      </c>
      <c r="AX129" s="1980">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94"/>
      <c r="C130" s="1395"/>
      <c r="D130" s="80"/>
      <c r="E130" s="87">
        <f t="shared" si="89"/>
        <v>0</v>
      </c>
      <c r="F130" s="88"/>
      <c r="G130" s="89">
        <f t="shared" si="64"/>
        <v>0</v>
      </c>
      <c r="H130" s="90">
        <f t="shared" si="65"/>
        <v>0</v>
      </c>
      <c r="I130" s="1397"/>
      <c r="J130" s="91"/>
      <c r="K130" s="1397"/>
      <c r="L130" s="91"/>
      <c r="M130" s="91"/>
      <c r="N130" s="91"/>
      <c r="O130" s="91"/>
      <c r="P130" s="91"/>
      <c r="Q130" s="91"/>
      <c r="R130" s="91"/>
      <c r="S130" s="91"/>
      <c r="T130" s="91"/>
      <c r="U130" s="91"/>
      <c r="V130" s="91"/>
      <c r="W130" s="91"/>
      <c r="X130" s="91"/>
      <c r="Y130" s="91"/>
      <c r="Z130" s="91"/>
      <c r="AA130" s="91"/>
      <c r="AB130" s="91"/>
      <c r="AC130" s="87">
        <f t="shared" si="66"/>
        <v>0</v>
      </c>
      <c r="AD130" s="92"/>
      <c r="AE130" s="92"/>
      <c r="AF130" s="1397"/>
      <c r="AG130" s="92"/>
      <c r="AH130" s="92"/>
      <c r="AI130" s="92"/>
      <c r="AJ130" s="92"/>
      <c r="AK130" s="92"/>
      <c r="AL130" s="92"/>
      <c r="AM130" s="92"/>
      <c r="AN130" s="92"/>
      <c r="AO130" s="92"/>
      <c r="AP130" s="92"/>
      <c r="AQ130" s="92"/>
      <c r="AR130" s="92"/>
      <c r="AS130" s="92"/>
      <c r="AT130" s="93"/>
      <c r="AU130" s="94"/>
      <c r="AV130" s="1980">
        <f t="shared" si="90"/>
        <v>0</v>
      </c>
      <c r="AW130" s="1980">
        <f t="shared" si="91"/>
        <v>0</v>
      </c>
      <c r="AX130" s="1980">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94"/>
      <c r="C131" s="1395"/>
      <c r="D131" s="80"/>
      <c r="E131" s="87">
        <f t="shared" si="89"/>
        <v>0</v>
      </c>
      <c r="F131" s="88"/>
      <c r="G131" s="89">
        <f t="shared" si="64"/>
        <v>0</v>
      </c>
      <c r="H131" s="90">
        <f t="shared" si="65"/>
        <v>0</v>
      </c>
      <c r="I131" s="1397"/>
      <c r="J131" s="91"/>
      <c r="K131" s="1397"/>
      <c r="L131" s="91"/>
      <c r="M131" s="91"/>
      <c r="N131" s="91"/>
      <c r="O131" s="91"/>
      <c r="P131" s="91"/>
      <c r="Q131" s="91"/>
      <c r="R131" s="91"/>
      <c r="S131" s="91"/>
      <c r="T131" s="91"/>
      <c r="U131" s="91"/>
      <c r="V131" s="91"/>
      <c r="W131" s="91"/>
      <c r="X131" s="91"/>
      <c r="Y131" s="91"/>
      <c r="Z131" s="91"/>
      <c r="AA131" s="91"/>
      <c r="AB131" s="91"/>
      <c r="AC131" s="87">
        <f t="shared" si="66"/>
        <v>0</v>
      </c>
      <c r="AD131" s="92"/>
      <c r="AE131" s="92"/>
      <c r="AF131" s="1397"/>
      <c r="AG131" s="92"/>
      <c r="AH131" s="92"/>
      <c r="AI131" s="92"/>
      <c r="AJ131" s="92"/>
      <c r="AK131" s="92"/>
      <c r="AL131" s="92"/>
      <c r="AM131" s="92"/>
      <c r="AN131" s="92"/>
      <c r="AO131" s="92"/>
      <c r="AP131" s="92"/>
      <c r="AQ131" s="92"/>
      <c r="AR131" s="92"/>
      <c r="AS131" s="92"/>
      <c r="AT131" s="93"/>
      <c r="AU131" s="94"/>
      <c r="AV131" s="1980">
        <f t="shared" si="90"/>
        <v>0</v>
      </c>
      <c r="AW131" s="1980">
        <f t="shared" si="91"/>
        <v>0</v>
      </c>
      <c r="AX131" s="1980">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94"/>
      <c r="C132" s="1395"/>
      <c r="D132" s="80"/>
      <c r="E132" s="87">
        <f t="shared" si="89"/>
        <v>0</v>
      </c>
      <c r="F132" s="88"/>
      <c r="G132" s="89">
        <f t="shared" si="64"/>
        <v>0</v>
      </c>
      <c r="H132" s="90">
        <f t="shared" si="65"/>
        <v>0</v>
      </c>
      <c r="I132" s="1397"/>
      <c r="J132" s="91"/>
      <c r="K132" s="1397"/>
      <c r="L132" s="91"/>
      <c r="M132" s="91"/>
      <c r="N132" s="91"/>
      <c r="O132" s="91"/>
      <c r="P132" s="91"/>
      <c r="Q132" s="91"/>
      <c r="R132" s="91"/>
      <c r="S132" s="91"/>
      <c r="T132" s="91"/>
      <c r="U132" s="91"/>
      <c r="V132" s="91"/>
      <c r="W132" s="91"/>
      <c r="X132" s="91"/>
      <c r="Y132" s="91"/>
      <c r="Z132" s="91"/>
      <c r="AA132" s="91"/>
      <c r="AB132" s="91"/>
      <c r="AC132" s="87">
        <f t="shared" si="66"/>
        <v>0</v>
      </c>
      <c r="AD132" s="92"/>
      <c r="AE132" s="92"/>
      <c r="AF132" s="1397"/>
      <c r="AG132" s="92"/>
      <c r="AH132" s="92"/>
      <c r="AI132" s="92"/>
      <c r="AJ132" s="92"/>
      <c r="AK132" s="92"/>
      <c r="AL132" s="92"/>
      <c r="AM132" s="92"/>
      <c r="AN132" s="92"/>
      <c r="AO132" s="92"/>
      <c r="AP132" s="92"/>
      <c r="AQ132" s="92"/>
      <c r="AR132" s="92"/>
      <c r="AS132" s="92"/>
      <c r="AT132" s="93"/>
      <c r="AU132" s="94"/>
      <c r="AV132" s="1980">
        <f t="shared" si="90"/>
        <v>0</v>
      </c>
      <c r="AW132" s="1980">
        <f t="shared" si="91"/>
        <v>0</v>
      </c>
      <c r="AX132" s="1980">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94"/>
      <c r="C133" s="1395"/>
      <c r="D133" s="80"/>
      <c r="E133" s="87">
        <f t="shared" si="89"/>
        <v>0</v>
      </c>
      <c r="F133" s="88"/>
      <c r="G133" s="89">
        <f t="shared" si="64"/>
        <v>0</v>
      </c>
      <c r="H133" s="90">
        <f t="shared" si="65"/>
        <v>0</v>
      </c>
      <c r="I133" s="1397"/>
      <c r="J133" s="91"/>
      <c r="K133" s="1397"/>
      <c r="L133" s="91"/>
      <c r="M133" s="91"/>
      <c r="N133" s="91"/>
      <c r="O133" s="91"/>
      <c r="P133" s="91"/>
      <c r="Q133" s="91"/>
      <c r="R133" s="91"/>
      <c r="S133" s="91"/>
      <c r="T133" s="91"/>
      <c r="U133" s="91"/>
      <c r="V133" s="91"/>
      <c r="W133" s="91"/>
      <c r="X133" s="91"/>
      <c r="Y133" s="91"/>
      <c r="Z133" s="91"/>
      <c r="AA133" s="91"/>
      <c r="AB133" s="91"/>
      <c r="AC133" s="87">
        <f t="shared" si="66"/>
        <v>0</v>
      </c>
      <c r="AD133" s="92"/>
      <c r="AE133" s="92"/>
      <c r="AF133" s="1397"/>
      <c r="AG133" s="92"/>
      <c r="AH133" s="92"/>
      <c r="AI133" s="92"/>
      <c r="AJ133" s="92"/>
      <c r="AK133" s="92"/>
      <c r="AL133" s="92"/>
      <c r="AM133" s="92"/>
      <c r="AN133" s="92"/>
      <c r="AO133" s="92"/>
      <c r="AP133" s="92"/>
      <c r="AQ133" s="92"/>
      <c r="AR133" s="92"/>
      <c r="AS133" s="92"/>
      <c r="AT133" s="93"/>
      <c r="AU133" s="94"/>
      <c r="AV133" s="1980">
        <f t="shared" si="90"/>
        <v>0</v>
      </c>
      <c r="AW133" s="1980">
        <f t="shared" si="91"/>
        <v>0</v>
      </c>
      <c r="AX133" s="1980">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94"/>
      <c r="C134" s="1395"/>
      <c r="D134" s="80"/>
      <c r="E134" s="87">
        <f t="shared" si="89"/>
        <v>0</v>
      </c>
      <c r="F134" s="88"/>
      <c r="G134" s="89">
        <f t="shared" si="64"/>
        <v>0</v>
      </c>
      <c r="H134" s="90">
        <f t="shared" si="65"/>
        <v>0</v>
      </c>
      <c r="I134" s="1397"/>
      <c r="J134" s="91"/>
      <c r="K134" s="1397"/>
      <c r="L134" s="91"/>
      <c r="M134" s="91"/>
      <c r="N134" s="91"/>
      <c r="O134" s="91"/>
      <c r="P134" s="91"/>
      <c r="Q134" s="91"/>
      <c r="R134" s="91"/>
      <c r="S134" s="91"/>
      <c r="T134" s="91"/>
      <c r="U134" s="91"/>
      <c r="V134" s="91"/>
      <c r="W134" s="91"/>
      <c r="X134" s="91"/>
      <c r="Y134" s="91"/>
      <c r="Z134" s="91"/>
      <c r="AA134" s="91"/>
      <c r="AB134" s="91"/>
      <c r="AC134" s="87">
        <f t="shared" si="66"/>
        <v>0</v>
      </c>
      <c r="AD134" s="92"/>
      <c r="AE134" s="92"/>
      <c r="AF134" s="1397"/>
      <c r="AG134" s="92"/>
      <c r="AH134" s="92"/>
      <c r="AI134" s="92"/>
      <c r="AJ134" s="92"/>
      <c r="AK134" s="92"/>
      <c r="AL134" s="92"/>
      <c r="AM134" s="92"/>
      <c r="AN134" s="92"/>
      <c r="AO134" s="92"/>
      <c r="AP134" s="92"/>
      <c r="AQ134" s="92"/>
      <c r="AR134" s="92"/>
      <c r="AS134" s="92"/>
      <c r="AT134" s="93"/>
      <c r="AU134" s="94"/>
      <c r="AV134" s="1980">
        <f t="shared" si="90"/>
        <v>0</v>
      </c>
      <c r="AW134" s="1980">
        <f t="shared" si="91"/>
        <v>0</v>
      </c>
      <c r="AX134" s="1980">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94"/>
      <c r="C135" s="1395"/>
      <c r="D135" s="80"/>
      <c r="E135" s="87">
        <f t="shared" si="89"/>
        <v>0</v>
      </c>
      <c r="F135" s="88"/>
      <c r="G135" s="89">
        <f t="shared" si="64"/>
        <v>0</v>
      </c>
      <c r="H135" s="90">
        <f t="shared" si="65"/>
        <v>0</v>
      </c>
      <c r="I135" s="1397"/>
      <c r="J135" s="91"/>
      <c r="K135" s="1397"/>
      <c r="L135" s="91"/>
      <c r="M135" s="91"/>
      <c r="N135" s="91"/>
      <c r="O135" s="91"/>
      <c r="P135" s="91"/>
      <c r="Q135" s="91"/>
      <c r="R135" s="91"/>
      <c r="S135" s="91"/>
      <c r="T135" s="91"/>
      <c r="U135" s="91"/>
      <c r="V135" s="91"/>
      <c r="W135" s="91"/>
      <c r="X135" s="91"/>
      <c r="Y135" s="91"/>
      <c r="Z135" s="91"/>
      <c r="AA135" s="91"/>
      <c r="AB135" s="91"/>
      <c r="AC135" s="87">
        <f t="shared" si="66"/>
        <v>0</v>
      </c>
      <c r="AD135" s="92"/>
      <c r="AE135" s="92"/>
      <c r="AF135" s="1397"/>
      <c r="AG135" s="92"/>
      <c r="AH135" s="92"/>
      <c r="AI135" s="92"/>
      <c r="AJ135" s="92"/>
      <c r="AK135" s="92"/>
      <c r="AL135" s="92"/>
      <c r="AM135" s="92"/>
      <c r="AN135" s="92"/>
      <c r="AO135" s="92"/>
      <c r="AP135" s="92"/>
      <c r="AQ135" s="92"/>
      <c r="AR135" s="92"/>
      <c r="AS135" s="92"/>
      <c r="AT135" s="93"/>
      <c r="AU135" s="94"/>
      <c r="AV135" s="1980">
        <f t="shared" si="90"/>
        <v>0</v>
      </c>
      <c r="AW135" s="1980">
        <f t="shared" si="91"/>
        <v>0</v>
      </c>
      <c r="AX135" s="1980">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94"/>
      <c r="C136" s="1395"/>
      <c r="D136" s="80"/>
      <c r="E136" s="87">
        <f t="shared" si="89"/>
        <v>0</v>
      </c>
      <c r="F136" s="88"/>
      <c r="G136" s="89">
        <f t="shared" si="64"/>
        <v>0</v>
      </c>
      <c r="H136" s="90">
        <f t="shared" si="65"/>
        <v>0</v>
      </c>
      <c r="I136" s="1397"/>
      <c r="J136" s="91"/>
      <c r="K136" s="1397"/>
      <c r="L136" s="91"/>
      <c r="M136" s="91"/>
      <c r="N136" s="91"/>
      <c r="O136" s="91"/>
      <c r="P136" s="91"/>
      <c r="Q136" s="91"/>
      <c r="R136" s="91"/>
      <c r="S136" s="91"/>
      <c r="T136" s="91"/>
      <c r="U136" s="91"/>
      <c r="V136" s="91"/>
      <c r="W136" s="91"/>
      <c r="X136" s="91"/>
      <c r="Y136" s="91"/>
      <c r="Z136" s="91"/>
      <c r="AA136" s="91"/>
      <c r="AB136" s="91"/>
      <c r="AC136" s="87">
        <f t="shared" si="66"/>
        <v>0</v>
      </c>
      <c r="AD136" s="92"/>
      <c r="AE136" s="92"/>
      <c r="AF136" s="1397"/>
      <c r="AG136" s="92"/>
      <c r="AH136" s="92"/>
      <c r="AI136" s="92"/>
      <c r="AJ136" s="92"/>
      <c r="AK136" s="92"/>
      <c r="AL136" s="92"/>
      <c r="AM136" s="92"/>
      <c r="AN136" s="92"/>
      <c r="AO136" s="92"/>
      <c r="AP136" s="92"/>
      <c r="AQ136" s="92"/>
      <c r="AR136" s="92"/>
      <c r="AS136" s="92"/>
      <c r="AT136" s="93"/>
      <c r="AU136" s="94"/>
      <c r="AV136" s="1980">
        <f t="shared" si="90"/>
        <v>0</v>
      </c>
      <c r="AW136" s="1980">
        <f t="shared" si="91"/>
        <v>0</v>
      </c>
      <c r="AX136" s="1980">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94"/>
      <c r="C137" s="1395"/>
      <c r="D137" s="80"/>
      <c r="E137" s="87">
        <f t="shared" si="89"/>
        <v>0</v>
      </c>
      <c r="F137" s="88"/>
      <c r="G137" s="89">
        <f t="shared" si="64"/>
        <v>0</v>
      </c>
      <c r="H137" s="90">
        <f t="shared" si="65"/>
        <v>0</v>
      </c>
      <c r="I137" s="1397"/>
      <c r="J137" s="91"/>
      <c r="K137" s="1397"/>
      <c r="L137" s="91"/>
      <c r="M137" s="91"/>
      <c r="N137" s="91"/>
      <c r="O137" s="91"/>
      <c r="P137" s="91"/>
      <c r="Q137" s="91"/>
      <c r="R137" s="91"/>
      <c r="S137" s="91"/>
      <c r="T137" s="91"/>
      <c r="U137" s="91"/>
      <c r="V137" s="91"/>
      <c r="W137" s="91"/>
      <c r="X137" s="91"/>
      <c r="Y137" s="91"/>
      <c r="Z137" s="91"/>
      <c r="AA137" s="91"/>
      <c r="AB137" s="91"/>
      <c r="AC137" s="87">
        <f t="shared" si="66"/>
        <v>0</v>
      </c>
      <c r="AD137" s="92"/>
      <c r="AE137" s="92"/>
      <c r="AF137" s="1397"/>
      <c r="AG137" s="92"/>
      <c r="AH137" s="92"/>
      <c r="AI137" s="92"/>
      <c r="AJ137" s="92"/>
      <c r="AK137" s="92"/>
      <c r="AL137" s="92"/>
      <c r="AM137" s="92"/>
      <c r="AN137" s="92"/>
      <c r="AO137" s="92"/>
      <c r="AP137" s="92"/>
      <c r="AQ137" s="92"/>
      <c r="AR137" s="92"/>
      <c r="AS137" s="92"/>
      <c r="AT137" s="93"/>
      <c r="AU137" s="94"/>
      <c r="AV137" s="1980">
        <f t="shared" si="90"/>
        <v>0</v>
      </c>
      <c r="AW137" s="1980">
        <f t="shared" si="91"/>
        <v>0</v>
      </c>
      <c r="AX137" s="1980">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94"/>
      <c r="C138" s="1395"/>
      <c r="D138" s="80"/>
      <c r="E138" s="87">
        <f t="shared" si="89"/>
        <v>0</v>
      </c>
      <c r="F138" s="88"/>
      <c r="G138" s="89">
        <f t="shared" si="64"/>
        <v>0</v>
      </c>
      <c r="H138" s="90">
        <f t="shared" si="65"/>
        <v>0</v>
      </c>
      <c r="I138" s="1397"/>
      <c r="J138" s="91"/>
      <c r="K138" s="1397"/>
      <c r="L138" s="91"/>
      <c r="M138" s="91"/>
      <c r="N138" s="91"/>
      <c r="O138" s="91"/>
      <c r="P138" s="91"/>
      <c r="Q138" s="91"/>
      <c r="R138" s="91"/>
      <c r="S138" s="91"/>
      <c r="T138" s="91"/>
      <c r="U138" s="91"/>
      <c r="V138" s="91"/>
      <c r="W138" s="91"/>
      <c r="X138" s="91"/>
      <c r="Y138" s="91"/>
      <c r="Z138" s="91"/>
      <c r="AA138" s="91"/>
      <c r="AB138" s="91"/>
      <c r="AC138" s="87">
        <f t="shared" si="66"/>
        <v>0</v>
      </c>
      <c r="AD138" s="92"/>
      <c r="AE138" s="92"/>
      <c r="AF138" s="1397"/>
      <c r="AG138" s="92"/>
      <c r="AH138" s="92"/>
      <c r="AI138" s="92"/>
      <c r="AJ138" s="92"/>
      <c r="AK138" s="92"/>
      <c r="AL138" s="92"/>
      <c r="AM138" s="92"/>
      <c r="AN138" s="92"/>
      <c r="AO138" s="92"/>
      <c r="AP138" s="92"/>
      <c r="AQ138" s="92"/>
      <c r="AR138" s="92"/>
      <c r="AS138" s="92"/>
      <c r="AT138" s="93"/>
      <c r="AU138" s="94"/>
      <c r="AV138" s="1980">
        <f t="shared" si="90"/>
        <v>0</v>
      </c>
      <c r="AW138" s="1980">
        <f t="shared" si="91"/>
        <v>0</v>
      </c>
      <c r="AX138" s="1980">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94"/>
      <c r="C139" s="1395"/>
      <c r="D139" s="80"/>
      <c r="E139" s="87">
        <f t="shared" si="89"/>
        <v>0</v>
      </c>
      <c r="F139" s="88"/>
      <c r="G139" s="89">
        <f t="shared" si="64"/>
        <v>0</v>
      </c>
      <c r="H139" s="90">
        <f t="shared" si="65"/>
        <v>0</v>
      </c>
      <c r="I139" s="1397"/>
      <c r="J139" s="91"/>
      <c r="K139" s="1397"/>
      <c r="L139" s="91"/>
      <c r="M139" s="91"/>
      <c r="N139" s="91"/>
      <c r="O139" s="91"/>
      <c r="P139" s="91"/>
      <c r="Q139" s="91"/>
      <c r="R139" s="91"/>
      <c r="S139" s="91"/>
      <c r="T139" s="91"/>
      <c r="U139" s="91"/>
      <c r="V139" s="91"/>
      <c r="W139" s="91"/>
      <c r="X139" s="91"/>
      <c r="Y139" s="91"/>
      <c r="Z139" s="91"/>
      <c r="AA139" s="91"/>
      <c r="AB139" s="91"/>
      <c r="AC139" s="87">
        <f t="shared" si="66"/>
        <v>0</v>
      </c>
      <c r="AD139" s="92"/>
      <c r="AE139" s="92"/>
      <c r="AF139" s="1395"/>
      <c r="AG139" s="92"/>
      <c r="AH139" s="92"/>
      <c r="AI139" s="92"/>
      <c r="AJ139" s="92"/>
      <c r="AK139" s="92"/>
      <c r="AL139" s="92"/>
      <c r="AM139" s="92"/>
      <c r="AN139" s="92"/>
      <c r="AO139" s="92"/>
      <c r="AP139" s="92"/>
      <c r="AQ139" s="92"/>
      <c r="AR139" s="92"/>
      <c r="AS139" s="92"/>
      <c r="AT139" s="93"/>
      <c r="AU139" s="94"/>
      <c r="AV139" s="1980">
        <f t="shared" si="90"/>
        <v>0</v>
      </c>
      <c r="AW139" s="1980">
        <f t="shared" si="91"/>
        <v>0</v>
      </c>
      <c r="AX139" s="1980">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94"/>
      <c r="C140" s="1395"/>
      <c r="D140" s="80"/>
      <c r="E140" s="87">
        <f t="shared" si="89"/>
        <v>0</v>
      </c>
      <c r="F140" s="88"/>
      <c r="G140" s="89">
        <f t="shared" si="64"/>
        <v>0</v>
      </c>
      <c r="H140" s="90">
        <f t="shared" si="65"/>
        <v>0</v>
      </c>
      <c r="I140" s="1395"/>
      <c r="J140" s="91"/>
      <c r="K140" s="1395"/>
      <c r="L140" s="91"/>
      <c r="M140" s="91"/>
      <c r="N140" s="91"/>
      <c r="O140" s="91"/>
      <c r="P140" s="91"/>
      <c r="Q140" s="91"/>
      <c r="R140" s="91"/>
      <c r="S140" s="91"/>
      <c r="T140" s="91"/>
      <c r="U140" s="91"/>
      <c r="V140" s="91"/>
      <c r="W140" s="91"/>
      <c r="X140" s="91"/>
      <c r="Y140" s="91"/>
      <c r="Z140" s="91"/>
      <c r="AA140" s="91"/>
      <c r="AB140" s="91"/>
      <c r="AC140" s="87">
        <f t="shared" si="66"/>
        <v>0</v>
      </c>
      <c r="AD140" s="92"/>
      <c r="AE140" s="92"/>
      <c r="AF140" s="1395"/>
      <c r="AG140" s="92"/>
      <c r="AH140" s="92"/>
      <c r="AI140" s="92"/>
      <c r="AJ140" s="92"/>
      <c r="AK140" s="92"/>
      <c r="AL140" s="92"/>
      <c r="AM140" s="92"/>
      <c r="AN140" s="92"/>
      <c r="AO140" s="92"/>
      <c r="AP140" s="92"/>
      <c r="AQ140" s="92"/>
      <c r="AR140" s="92"/>
      <c r="AS140" s="92"/>
      <c r="AT140" s="93"/>
      <c r="AU140" s="94"/>
      <c r="AV140" s="1980">
        <f t="shared" si="90"/>
        <v>0</v>
      </c>
      <c r="AW140" s="1980">
        <f t="shared" si="91"/>
        <v>0</v>
      </c>
      <c r="AX140" s="1980">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94"/>
      <c r="C141" s="1395"/>
      <c r="D141" s="80"/>
      <c r="E141" s="87">
        <f t="shared" si="89"/>
        <v>0</v>
      </c>
      <c r="F141" s="88"/>
      <c r="G141" s="89">
        <f t="shared" si="64"/>
        <v>0</v>
      </c>
      <c r="H141" s="90">
        <f t="shared" si="65"/>
        <v>0</v>
      </c>
      <c r="I141" s="1395"/>
      <c r="J141" s="91"/>
      <c r="K141" s="1395"/>
      <c r="L141" s="91"/>
      <c r="M141" s="91"/>
      <c r="N141" s="91"/>
      <c r="O141" s="91"/>
      <c r="P141" s="91"/>
      <c r="Q141" s="91"/>
      <c r="R141" s="91"/>
      <c r="S141" s="91"/>
      <c r="T141" s="91"/>
      <c r="U141" s="91"/>
      <c r="V141" s="91"/>
      <c r="W141" s="91"/>
      <c r="X141" s="91"/>
      <c r="Y141" s="91"/>
      <c r="Z141" s="91"/>
      <c r="AA141" s="91"/>
      <c r="AB141" s="91"/>
      <c r="AC141" s="87">
        <f t="shared" si="66"/>
        <v>0</v>
      </c>
      <c r="AD141" s="92"/>
      <c r="AE141" s="92"/>
      <c r="AF141" s="1395"/>
      <c r="AG141" s="92"/>
      <c r="AH141" s="92"/>
      <c r="AI141" s="92"/>
      <c r="AJ141" s="92"/>
      <c r="AK141" s="92"/>
      <c r="AL141" s="92"/>
      <c r="AM141" s="92"/>
      <c r="AN141" s="92"/>
      <c r="AO141" s="92"/>
      <c r="AP141" s="92"/>
      <c r="AQ141" s="92"/>
      <c r="AR141" s="92"/>
      <c r="AS141" s="92"/>
      <c r="AT141" s="93"/>
      <c r="AU141" s="94"/>
      <c r="AV141" s="1980">
        <f t="shared" si="90"/>
        <v>0</v>
      </c>
      <c r="AW141" s="1980">
        <f t="shared" si="91"/>
        <v>0</v>
      </c>
      <c r="AX141" s="1980">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94"/>
      <c r="C142" s="1395"/>
      <c r="D142" s="80"/>
      <c r="E142" s="87">
        <f t="shared" si="89"/>
        <v>0</v>
      </c>
      <c r="F142" s="88"/>
      <c r="G142" s="89">
        <f t="shared" ref="G142:G173" si="93">H142+AC142+AT142</f>
        <v>0</v>
      </c>
      <c r="H142" s="90">
        <f t="shared" ref="H142:H173" si="94">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90"/>
        <v>0</v>
      </c>
      <c r="AW142" s="1980">
        <f t="shared" si="91"/>
        <v>0</v>
      </c>
      <c r="AX142" s="1980">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94"/>
      <c r="C143" s="1395"/>
      <c r="D143" s="80"/>
      <c r="E143" s="87">
        <f t="shared" si="89"/>
        <v>0</v>
      </c>
      <c r="F143" s="88"/>
      <c r="G143" s="89">
        <f t="shared" si="93"/>
        <v>0</v>
      </c>
      <c r="H143" s="90">
        <f t="shared" si="94"/>
        <v>0</v>
      </c>
      <c r="I143" s="1395"/>
      <c r="J143" s="91"/>
      <c r="K143" s="1395"/>
      <c r="L143" s="91"/>
      <c r="M143" s="91"/>
      <c r="N143" s="91"/>
      <c r="O143" s="91"/>
      <c r="P143" s="91"/>
      <c r="Q143" s="91"/>
      <c r="R143" s="91"/>
      <c r="S143" s="91"/>
      <c r="T143" s="91"/>
      <c r="U143" s="91"/>
      <c r="V143" s="91"/>
      <c r="W143" s="91"/>
      <c r="X143" s="91"/>
      <c r="Y143" s="91"/>
      <c r="Z143" s="91"/>
      <c r="AA143" s="91"/>
      <c r="AB143" s="91"/>
      <c r="AC143" s="87">
        <f t="shared" si="95"/>
        <v>0</v>
      </c>
      <c r="AD143" s="92"/>
      <c r="AE143" s="92"/>
      <c r="AF143" s="1395"/>
      <c r="AG143" s="92"/>
      <c r="AH143" s="92"/>
      <c r="AI143" s="92"/>
      <c r="AJ143" s="92"/>
      <c r="AK143" s="92"/>
      <c r="AL143" s="92"/>
      <c r="AM143" s="92"/>
      <c r="AN143" s="92"/>
      <c r="AO143" s="92"/>
      <c r="AP143" s="92"/>
      <c r="AQ143" s="92"/>
      <c r="AR143" s="92"/>
      <c r="AS143" s="92"/>
      <c r="AT143" s="93"/>
      <c r="AU143" s="94"/>
      <c r="AV143" s="1980">
        <f t="shared" si="90"/>
        <v>0</v>
      </c>
      <c r="AW143" s="1980">
        <f t="shared" si="91"/>
        <v>0</v>
      </c>
      <c r="AX143" s="1980">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94"/>
      <c r="C144" s="1395"/>
      <c r="D144" s="80"/>
      <c r="E144" s="87">
        <f t="shared" si="89"/>
        <v>0</v>
      </c>
      <c r="F144" s="88"/>
      <c r="G144" s="89">
        <f t="shared" si="93"/>
        <v>0</v>
      </c>
      <c r="H144" s="90">
        <f t="shared" si="94"/>
        <v>0</v>
      </c>
      <c r="I144" s="1395"/>
      <c r="J144" s="91"/>
      <c r="K144" s="1395"/>
      <c r="L144" s="91"/>
      <c r="M144" s="91"/>
      <c r="N144" s="91"/>
      <c r="O144" s="91"/>
      <c r="P144" s="91"/>
      <c r="Q144" s="91"/>
      <c r="R144" s="91"/>
      <c r="S144" s="91"/>
      <c r="T144" s="91"/>
      <c r="U144" s="91"/>
      <c r="V144" s="91"/>
      <c r="W144" s="91"/>
      <c r="X144" s="91"/>
      <c r="Y144" s="91"/>
      <c r="Z144" s="91"/>
      <c r="AA144" s="91"/>
      <c r="AB144" s="91"/>
      <c r="AC144" s="87">
        <f t="shared" si="95"/>
        <v>0</v>
      </c>
      <c r="AD144" s="92"/>
      <c r="AE144" s="92"/>
      <c r="AF144" s="1395"/>
      <c r="AG144" s="92"/>
      <c r="AH144" s="92"/>
      <c r="AI144" s="92"/>
      <c r="AJ144" s="92"/>
      <c r="AK144" s="92"/>
      <c r="AL144" s="92"/>
      <c r="AM144" s="92"/>
      <c r="AN144" s="92"/>
      <c r="AO144" s="92"/>
      <c r="AP144" s="92"/>
      <c r="AQ144" s="92"/>
      <c r="AR144" s="92"/>
      <c r="AS144" s="92"/>
      <c r="AT144" s="93"/>
      <c r="AU144" s="94"/>
      <c r="AV144" s="1980">
        <f t="shared" si="90"/>
        <v>0</v>
      </c>
      <c r="AW144" s="1980">
        <f t="shared" si="91"/>
        <v>0</v>
      </c>
      <c r="AX144" s="1980">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94"/>
      <c r="C145" s="1395"/>
      <c r="D145" s="80"/>
      <c r="E145" s="87">
        <f t="shared" ref="E145:E176" si="118">IF($C$3="是",ROUND($A$3*G145/$B$3,2),ROUND($A$3*(G145-AT145)/$B$3,2))</f>
        <v>0</v>
      </c>
      <c r="F145" s="88"/>
      <c r="G145" s="89">
        <f t="shared" si="93"/>
        <v>0</v>
      </c>
      <c r="H145" s="90">
        <f t="shared" si="94"/>
        <v>0</v>
      </c>
      <c r="I145" s="1395"/>
      <c r="J145" s="91"/>
      <c r="K145" s="1395"/>
      <c r="L145" s="91"/>
      <c r="M145" s="91"/>
      <c r="N145" s="91"/>
      <c r="O145" s="91"/>
      <c r="P145" s="91"/>
      <c r="Q145" s="91"/>
      <c r="R145" s="91"/>
      <c r="S145" s="91"/>
      <c r="T145" s="91"/>
      <c r="U145" s="91"/>
      <c r="V145" s="91"/>
      <c r="W145" s="91"/>
      <c r="X145" s="91"/>
      <c r="Y145" s="91"/>
      <c r="Z145" s="91"/>
      <c r="AA145" s="91"/>
      <c r="AB145" s="91"/>
      <c r="AC145" s="87">
        <f t="shared" si="95"/>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9">A145</f>
        <v>0</v>
      </c>
      <c r="AW145" s="1980">
        <f t="shared" ref="AW145:AW176" si="120">B145</f>
        <v>0</v>
      </c>
      <c r="AX145" s="1980">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94"/>
      <c r="C146" s="1395"/>
      <c r="D146" s="80"/>
      <c r="E146" s="87">
        <f t="shared" si="118"/>
        <v>0</v>
      </c>
      <c r="F146" s="88"/>
      <c r="G146" s="89">
        <f t="shared" si="93"/>
        <v>0</v>
      </c>
      <c r="H146" s="90">
        <f t="shared" si="94"/>
        <v>0</v>
      </c>
      <c r="I146" s="1395"/>
      <c r="J146" s="91"/>
      <c r="K146" s="1395"/>
      <c r="L146" s="91"/>
      <c r="M146" s="91"/>
      <c r="N146" s="91"/>
      <c r="O146" s="91"/>
      <c r="P146" s="91"/>
      <c r="Q146" s="91"/>
      <c r="R146" s="91"/>
      <c r="S146" s="91"/>
      <c r="T146" s="91"/>
      <c r="U146" s="91"/>
      <c r="V146" s="91"/>
      <c r="W146" s="91"/>
      <c r="X146" s="91"/>
      <c r="Y146" s="91"/>
      <c r="Z146" s="91"/>
      <c r="AA146" s="91"/>
      <c r="AB146" s="91"/>
      <c r="AC146" s="87">
        <f t="shared" si="95"/>
        <v>0</v>
      </c>
      <c r="AD146" s="92"/>
      <c r="AE146" s="92"/>
      <c r="AF146" s="1395"/>
      <c r="AG146" s="92"/>
      <c r="AH146" s="92"/>
      <c r="AI146" s="92"/>
      <c r="AJ146" s="92"/>
      <c r="AK146" s="92"/>
      <c r="AL146" s="92"/>
      <c r="AM146" s="92"/>
      <c r="AN146" s="92"/>
      <c r="AO146" s="92"/>
      <c r="AP146" s="92"/>
      <c r="AQ146" s="92"/>
      <c r="AR146" s="92"/>
      <c r="AS146" s="92"/>
      <c r="AT146" s="93"/>
      <c r="AU146" s="94"/>
      <c r="AV146" s="1980">
        <f t="shared" si="119"/>
        <v>0</v>
      </c>
      <c r="AW146" s="1980">
        <f t="shared" si="120"/>
        <v>0</v>
      </c>
      <c r="AX146" s="1980">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96"/>
      <c r="C147" s="1397"/>
      <c r="D147" s="80"/>
      <c r="E147" s="87">
        <f t="shared" si="118"/>
        <v>0</v>
      </c>
      <c r="F147" s="88"/>
      <c r="G147" s="89">
        <f t="shared" si="93"/>
        <v>0</v>
      </c>
      <c r="H147" s="90">
        <f t="shared" si="94"/>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5"/>
        <v>0</v>
      </c>
      <c r="AD147" s="92"/>
      <c r="AE147" s="92"/>
      <c r="AF147" s="1395"/>
      <c r="AG147" s="92"/>
      <c r="AH147" s="92"/>
      <c r="AI147" s="92"/>
      <c r="AJ147" s="92"/>
      <c r="AK147" s="92"/>
      <c r="AL147" s="92"/>
      <c r="AM147" s="92"/>
      <c r="AN147" s="92"/>
      <c r="AO147" s="92"/>
      <c r="AP147" s="92"/>
      <c r="AQ147" s="92"/>
      <c r="AR147" s="92"/>
      <c r="AS147" s="92"/>
      <c r="AT147" s="93"/>
      <c r="AU147" s="94"/>
      <c r="AV147" s="1980">
        <f t="shared" si="119"/>
        <v>0</v>
      </c>
      <c r="AW147" s="1980">
        <f t="shared" si="120"/>
        <v>0</v>
      </c>
      <c r="AX147" s="1980">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980">
        <f t="shared" si="119"/>
        <v>0</v>
      </c>
      <c r="AW148" s="1980">
        <f t="shared" si="120"/>
        <v>0</v>
      </c>
      <c r="AX148" s="1980">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980">
        <f t="shared" si="119"/>
        <v>0</v>
      </c>
      <c r="AW149" s="1980">
        <f t="shared" si="120"/>
        <v>0</v>
      </c>
      <c r="AX149" s="1980">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980">
        <f t="shared" si="119"/>
        <v>0</v>
      </c>
      <c r="AW150" s="1980">
        <f t="shared" si="120"/>
        <v>0</v>
      </c>
      <c r="AX150" s="1980">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980">
        <f t="shared" si="119"/>
        <v>0</v>
      </c>
      <c r="AW151" s="1980">
        <f t="shared" si="120"/>
        <v>0</v>
      </c>
      <c r="AX151" s="1980">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980">
        <f t="shared" si="119"/>
        <v>0</v>
      </c>
      <c r="AW152" s="1980">
        <f t="shared" si="120"/>
        <v>0</v>
      </c>
      <c r="AX152" s="1980">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980">
        <f t="shared" si="119"/>
        <v>0</v>
      </c>
      <c r="AW153" s="1980">
        <f t="shared" si="120"/>
        <v>0</v>
      </c>
      <c r="AX153" s="1980">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980">
        <f t="shared" si="119"/>
        <v>0</v>
      </c>
      <c r="AW154" s="1980">
        <f t="shared" si="120"/>
        <v>0</v>
      </c>
      <c r="AX154" s="1980">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980">
        <f t="shared" si="119"/>
        <v>0</v>
      </c>
      <c r="AW155" s="1980">
        <f t="shared" si="120"/>
        <v>0</v>
      </c>
      <c r="AX155" s="1980">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980">
        <f t="shared" si="119"/>
        <v>0</v>
      </c>
      <c r="AW156" s="1980">
        <f t="shared" si="120"/>
        <v>0</v>
      </c>
      <c r="AX156" s="1980">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980">
        <f t="shared" si="119"/>
        <v>0</v>
      </c>
      <c r="AW157" s="1980">
        <f t="shared" si="120"/>
        <v>0</v>
      </c>
      <c r="AX157" s="1980">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980">
        <f t="shared" si="119"/>
        <v>0</v>
      </c>
      <c r="AW158" s="1980">
        <f t="shared" si="120"/>
        <v>0</v>
      </c>
      <c r="AX158" s="1980">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980">
        <f t="shared" si="119"/>
        <v>0</v>
      </c>
      <c r="AW159" s="1980">
        <f t="shared" si="120"/>
        <v>0</v>
      </c>
      <c r="AX159" s="1980">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980">
        <f t="shared" si="119"/>
        <v>0</v>
      </c>
      <c r="AW160" s="1980">
        <f t="shared" si="120"/>
        <v>0</v>
      </c>
      <c r="AX160" s="1980">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980">
        <f t="shared" si="119"/>
        <v>0</v>
      </c>
      <c r="AW161" s="1980">
        <f t="shared" si="120"/>
        <v>0</v>
      </c>
      <c r="AX161" s="1980">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980">
        <f t="shared" si="119"/>
        <v>0</v>
      </c>
      <c r="AW162" s="1980">
        <f t="shared" si="120"/>
        <v>0</v>
      </c>
      <c r="AX162" s="1980">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980">
        <f t="shared" si="119"/>
        <v>0</v>
      </c>
      <c r="AW163" s="1980">
        <f t="shared" si="120"/>
        <v>0</v>
      </c>
      <c r="AX163" s="1980">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980">
        <f t="shared" si="119"/>
        <v>0</v>
      </c>
      <c r="AW164" s="1980">
        <f t="shared" si="120"/>
        <v>0</v>
      </c>
      <c r="AX164" s="1980">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980">
        <f t="shared" si="119"/>
        <v>0</v>
      </c>
      <c r="AW165" s="1980">
        <f t="shared" si="120"/>
        <v>0</v>
      </c>
      <c r="AX165" s="1980">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980">
        <f t="shared" si="119"/>
        <v>0</v>
      </c>
      <c r="AW166" s="1980">
        <f t="shared" si="120"/>
        <v>0</v>
      </c>
      <c r="AX166" s="1980">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980">
        <f t="shared" si="119"/>
        <v>0</v>
      </c>
      <c r="AW167" s="1980">
        <f t="shared" si="120"/>
        <v>0</v>
      </c>
      <c r="AX167" s="1980">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980">
        <f t="shared" si="119"/>
        <v>0</v>
      </c>
      <c r="AW168" s="1980">
        <f t="shared" si="120"/>
        <v>0</v>
      </c>
      <c r="AX168" s="1980">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980">
        <f t="shared" si="119"/>
        <v>0</v>
      </c>
      <c r="AW169" s="1980">
        <f t="shared" si="120"/>
        <v>0</v>
      </c>
      <c r="AX169" s="1980">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980">
        <f t="shared" si="119"/>
        <v>0</v>
      </c>
      <c r="AW170" s="1980">
        <f t="shared" si="120"/>
        <v>0</v>
      </c>
      <c r="AX170" s="1980">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980">
        <f t="shared" si="119"/>
        <v>0</v>
      </c>
      <c r="AW171" s="1980">
        <f t="shared" si="120"/>
        <v>0</v>
      </c>
      <c r="AX171" s="1980">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980">
        <f t="shared" si="119"/>
        <v>0</v>
      </c>
      <c r="AW172" s="1980">
        <f t="shared" si="120"/>
        <v>0</v>
      </c>
      <c r="AX172" s="1980">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980">
        <f t="shared" si="119"/>
        <v>0</v>
      </c>
      <c r="AW173" s="1980">
        <f t="shared" si="120"/>
        <v>0</v>
      </c>
      <c r="AX173" s="1980">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9"/>
        <v>0</v>
      </c>
      <c r="AW174" s="1980">
        <f t="shared" si="120"/>
        <v>0</v>
      </c>
      <c r="AX174" s="1980">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980">
        <f t="shared" si="119"/>
        <v>0</v>
      </c>
      <c r="AW175" s="1980">
        <f t="shared" si="120"/>
        <v>0</v>
      </c>
      <c r="AX175" s="1980">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980">
        <f t="shared" si="119"/>
        <v>0</v>
      </c>
      <c r="AW176" s="1980">
        <f t="shared" si="120"/>
        <v>0</v>
      </c>
      <c r="AX176" s="1980">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8">A177</f>
        <v>0</v>
      </c>
      <c r="AW177" s="1980">
        <f t="shared" ref="AW177:AW204" si="149">B177</f>
        <v>0</v>
      </c>
      <c r="AX177" s="1980">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980">
        <f t="shared" si="148"/>
        <v>0</v>
      </c>
      <c r="AW178" s="1980">
        <f t="shared" si="149"/>
        <v>0</v>
      </c>
      <c r="AX178" s="1980">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980">
        <f t="shared" si="148"/>
        <v>0</v>
      </c>
      <c r="AW179" s="1980">
        <f t="shared" si="149"/>
        <v>0</v>
      </c>
      <c r="AX179" s="1980">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980">
        <f t="shared" si="148"/>
        <v>0</v>
      </c>
      <c r="AW180" s="1980">
        <f t="shared" si="149"/>
        <v>0</v>
      </c>
      <c r="AX180" s="1980">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980">
        <f t="shared" si="148"/>
        <v>0</v>
      </c>
      <c r="AW181" s="1980">
        <f t="shared" si="149"/>
        <v>0</v>
      </c>
      <c r="AX181" s="1980">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980">
        <f t="shared" si="148"/>
        <v>0</v>
      </c>
      <c r="AW182" s="1980">
        <f t="shared" si="149"/>
        <v>0</v>
      </c>
      <c r="AX182" s="1980">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980">
        <f t="shared" si="148"/>
        <v>0</v>
      </c>
      <c r="AW183" s="1980">
        <f t="shared" si="149"/>
        <v>0</v>
      </c>
      <c r="AX183" s="1980">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980">
        <f t="shared" si="148"/>
        <v>0</v>
      </c>
      <c r="AW184" s="1980">
        <f t="shared" si="149"/>
        <v>0</v>
      </c>
      <c r="AX184" s="1980">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980">
        <f t="shared" si="148"/>
        <v>0</v>
      </c>
      <c r="AW185" s="1980">
        <f t="shared" si="149"/>
        <v>0</v>
      </c>
      <c r="AX185" s="1980">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980">
        <f t="shared" si="148"/>
        <v>0</v>
      </c>
      <c r="AW186" s="1980">
        <f t="shared" si="149"/>
        <v>0</v>
      </c>
      <c r="AX186" s="1980">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980">
        <f t="shared" si="148"/>
        <v>0</v>
      </c>
      <c r="AW187" s="1980">
        <f t="shared" si="149"/>
        <v>0</v>
      </c>
      <c r="AX187" s="1980">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980">
        <f t="shared" si="148"/>
        <v>0</v>
      </c>
      <c r="AW188" s="1980">
        <f t="shared" si="149"/>
        <v>0</v>
      </c>
      <c r="AX188" s="1980">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980">
        <f t="shared" si="148"/>
        <v>0</v>
      </c>
      <c r="AW189" s="1980">
        <f t="shared" si="149"/>
        <v>0</v>
      </c>
      <c r="AX189" s="1980">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980">
        <f t="shared" si="148"/>
        <v>0</v>
      </c>
      <c r="AW190" s="1980">
        <f t="shared" si="149"/>
        <v>0</v>
      </c>
      <c r="AX190" s="1980">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980">
        <f t="shared" si="148"/>
        <v>0</v>
      </c>
      <c r="AW191" s="1980">
        <f t="shared" si="149"/>
        <v>0</v>
      </c>
      <c r="AX191" s="1980">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980">
        <f t="shared" si="148"/>
        <v>0</v>
      </c>
      <c r="AW192" s="1980">
        <f t="shared" si="149"/>
        <v>0</v>
      </c>
      <c r="AX192" s="1980">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980">
        <f t="shared" si="148"/>
        <v>0</v>
      </c>
      <c r="AW193" s="1980">
        <f t="shared" si="149"/>
        <v>0</v>
      </c>
      <c r="AX193" s="1980">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980">
        <f t="shared" si="148"/>
        <v>0</v>
      </c>
      <c r="AW194" s="1980">
        <f t="shared" si="149"/>
        <v>0</v>
      </c>
      <c r="AX194" s="1980">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980">
        <f t="shared" si="148"/>
        <v>0</v>
      </c>
      <c r="AW195" s="1980">
        <f t="shared" si="149"/>
        <v>0</v>
      </c>
      <c r="AX195" s="1980">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980">
        <f t="shared" si="148"/>
        <v>0</v>
      </c>
      <c r="AW196" s="1980">
        <f t="shared" si="149"/>
        <v>0</v>
      </c>
      <c r="AX196" s="1980">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980">
        <f t="shared" si="148"/>
        <v>0</v>
      </c>
      <c r="AW197" s="1980">
        <f t="shared" si="149"/>
        <v>0</v>
      </c>
      <c r="AX197" s="1980">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980">
        <f t="shared" si="148"/>
        <v>0</v>
      </c>
      <c r="AW198" s="1980">
        <f t="shared" si="149"/>
        <v>0</v>
      </c>
      <c r="AX198" s="1980">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980">
        <f t="shared" si="148"/>
        <v>0</v>
      </c>
      <c r="AW199" s="1980">
        <f t="shared" si="149"/>
        <v>0</v>
      </c>
      <c r="AX199" s="1980">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980">
        <f t="shared" si="148"/>
        <v>0</v>
      </c>
      <c r="AW200" s="1980">
        <f t="shared" si="149"/>
        <v>0</v>
      </c>
      <c r="AX200" s="1980">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980">
        <f t="shared" si="148"/>
        <v>0</v>
      </c>
      <c r="AW201" s="1980">
        <f t="shared" si="149"/>
        <v>0</v>
      </c>
      <c r="AX201" s="1980">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980">
        <f t="shared" si="148"/>
        <v>0</v>
      </c>
      <c r="AW202" s="1980">
        <f t="shared" si="149"/>
        <v>0</v>
      </c>
      <c r="AX202" s="1980">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980">
        <f t="shared" si="148"/>
        <v>0</v>
      </c>
      <c r="AW203" s="1980">
        <f t="shared" si="149"/>
        <v>0</v>
      </c>
      <c r="AX203" s="1980">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980">
        <f t="shared" si="148"/>
        <v>0</v>
      </c>
      <c r="AW204" s="1980">
        <f t="shared" si="149"/>
        <v>0</v>
      </c>
      <c r="AX204" s="1980">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94"/>
      <c r="C205" s="1395"/>
      <c r="D205" s="80"/>
      <c r="E205" s="87">
        <f t="shared" ref="E205:E296" si="151">IF($C$3="是",ROUND($A$3*G205/$B$3,2),ROUND($A$3*(G205-AT205)/$B$3,2))</f>
        <v>0</v>
      </c>
      <c r="F205" s="88"/>
      <c r="G205" s="89">
        <f t="shared" ref="G205:G293" si="152">H205+AC205+AT205</f>
        <v>0</v>
      </c>
      <c r="H205" s="90">
        <f t="shared" ref="H205:H293" si="153">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5">A205</f>
        <v>0</v>
      </c>
      <c r="AW205" s="1980">
        <f t="shared" ref="AW205:AW296" si="156">B205</f>
        <v>0</v>
      </c>
      <c r="AX205" s="1980">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94"/>
      <c r="C206" s="1395"/>
      <c r="D206" s="80"/>
      <c r="E206" s="87">
        <f t="shared" si="151"/>
        <v>0</v>
      </c>
      <c r="F206" s="88"/>
      <c r="G206" s="89">
        <f t="shared" si="152"/>
        <v>0</v>
      </c>
      <c r="H206" s="90">
        <f t="shared" si="153"/>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4"/>
        <v>0</v>
      </c>
      <c r="AD206" s="1364"/>
      <c r="AE206" s="92"/>
      <c r="AF206" s="1398"/>
      <c r="AG206" s="92"/>
      <c r="AH206" s="92"/>
      <c r="AI206" s="92"/>
      <c r="AJ206" s="92"/>
      <c r="AK206" s="92"/>
      <c r="AL206" s="1364"/>
      <c r="AM206" s="92"/>
      <c r="AN206" s="1364"/>
      <c r="AO206" s="92"/>
      <c r="AP206" s="92"/>
      <c r="AQ206" s="92"/>
      <c r="AR206" s="92"/>
      <c r="AS206" s="92"/>
      <c r="AT206" s="93"/>
      <c r="AU206" s="94"/>
      <c r="AV206" s="1980">
        <f t="shared" si="155"/>
        <v>0</v>
      </c>
      <c r="AW206" s="1980">
        <f t="shared" si="156"/>
        <v>0</v>
      </c>
      <c r="AX206" s="1980">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94"/>
      <c r="C207" s="1395"/>
      <c r="D207" s="80"/>
      <c r="E207" s="87">
        <f t="shared" si="151"/>
        <v>0</v>
      </c>
      <c r="F207" s="88"/>
      <c r="G207" s="89">
        <f t="shared" si="152"/>
        <v>0</v>
      </c>
      <c r="H207" s="90">
        <f t="shared" si="153"/>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4"/>
        <v>0</v>
      </c>
      <c r="AD207" s="92"/>
      <c r="AE207" s="92"/>
      <c r="AF207" s="1398"/>
      <c r="AG207" s="92"/>
      <c r="AH207" s="92"/>
      <c r="AI207" s="92"/>
      <c r="AJ207" s="92"/>
      <c r="AK207" s="92"/>
      <c r="AL207" s="1364"/>
      <c r="AM207" s="92"/>
      <c r="AN207" s="1364"/>
      <c r="AO207" s="92"/>
      <c r="AP207" s="92"/>
      <c r="AQ207" s="92"/>
      <c r="AR207" s="92"/>
      <c r="AS207" s="92"/>
      <c r="AT207" s="93"/>
      <c r="AU207" s="94"/>
      <c r="AV207" s="1980">
        <f t="shared" si="155"/>
        <v>0</v>
      </c>
      <c r="AW207" s="1980">
        <f t="shared" si="156"/>
        <v>0</v>
      </c>
      <c r="AX207" s="1980">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94"/>
      <c r="C208" s="1395"/>
      <c r="D208" s="80"/>
      <c r="E208" s="87">
        <f t="shared" si="151"/>
        <v>0</v>
      </c>
      <c r="F208" s="88"/>
      <c r="G208" s="89">
        <f t="shared" si="152"/>
        <v>0</v>
      </c>
      <c r="H208" s="90">
        <f t="shared" si="153"/>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4"/>
        <v>0</v>
      </c>
      <c r="AD208" s="92"/>
      <c r="AE208" s="92"/>
      <c r="AF208" s="1398"/>
      <c r="AG208" s="92"/>
      <c r="AH208" s="92"/>
      <c r="AI208" s="92"/>
      <c r="AJ208" s="92"/>
      <c r="AK208" s="92"/>
      <c r="AL208" s="92"/>
      <c r="AM208" s="92"/>
      <c r="AN208" s="1364"/>
      <c r="AO208" s="92"/>
      <c r="AP208" s="92"/>
      <c r="AQ208" s="92"/>
      <c r="AR208" s="92"/>
      <c r="AS208" s="92"/>
      <c r="AT208" s="93"/>
      <c r="AU208" s="94"/>
      <c r="AV208" s="1980">
        <f t="shared" si="155"/>
        <v>0</v>
      </c>
      <c r="AW208" s="1980">
        <f t="shared" si="156"/>
        <v>0</v>
      </c>
      <c r="AX208" s="1980">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94"/>
      <c r="C209" s="1395"/>
      <c r="D209" s="80"/>
      <c r="E209" s="87">
        <f t="shared" si="151"/>
        <v>0</v>
      </c>
      <c r="F209" s="88"/>
      <c r="G209" s="89">
        <f t="shared" si="152"/>
        <v>0</v>
      </c>
      <c r="H209" s="90">
        <f t="shared" si="153"/>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98"/>
      <c r="AG209" s="92"/>
      <c r="AH209" s="92"/>
      <c r="AI209" s="92"/>
      <c r="AJ209" s="92"/>
      <c r="AK209" s="92"/>
      <c r="AL209" s="92"/>
      <c r="AM209" s="92"/>
      <c r="AN209" s="92"/>
      <c r="AO209" s="92"/>
      <c r="AP209" s="92"/>
      <c r="AQ209" s="92"/>
      <c r="AR209" s="92"/>
      <c r="AS209" s="92"/>
      <c r="AT209" s="93"/>
      <c r="AU209" s="94"/>
      <c r="AV209" s="1980">
        <f t="shared" si="155"/>
        <v>0</v>
      </c>
      <c r="AW209" s="1980">
        <f t="shared" si="156"/>
        <v>0</v>
      </c>
      <c r="AX209" s="1980">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94"/>
      <c r="C210" s="1395"/>
      <c r="D210" s="80"/>
      <c r="E210" s="87">
        <f t="shared" si="151"/>
        <v>0</v>
      </c>
      <c r="F210" s="88"/>
      <c r="G210" s="89">
        <f t="shared" si="152"/>
        <v>0</v>
      </c>
      <c r="H210" s="90">
        <f t="shared" si="153"/>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98"/>
      <c r="AG210" s="92"/>
      <c r="AH210" s="92"/>
      <c r="AI210" s="92"/>
      <c r="AJ210" s="92"/>
      <c r="AK210" s="92"/>
      <c r="AL210" s="92"/>
      <c r="AM210" s="92"/>
      <c r="AN210" s="92"/>
      <c r="AO210" s="92"/>
      <c r="AP210" s="92"/>
      <c r="AQ210" s="92"/>
      <c r="AR210" s="92"/>
      <c r="AS210" s="92"/>
      <c r="AT210" s="93"/>
      <c r="AU210" s="94"/>
      <c r="AV210" s="1980">
        <f t="shared" si="155"/>
        <v>0</v>
      </c>
      <c r="AW210" s="1980">
        <f t="shared" si="156"/>
        <v>0</v>
      </c>
      <c r="AX210" s="1980">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94"/>
      <c r="C211" s="1395"/>
      <c r="D211" s="80"/>
      <c r="E211" s="87">
        <f t="shared" si="151"/>
        <v>0</v>
      </c>
      <c r="F211" s="88"/>
      <c r="G211" s="89">
        <f t="shared" si="152"/>
        <v>0</v>
      </c>
      <c r="H211" s="90">
        <f t="shared" si="153"/>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98"/>
      <c r="AG211" s="92"/>
      <c r="AH211" s="92"/>
      <c r="AI211" s="92"/>
      <c r="AJ211" s="92"/>
      <c r="AK211" s="92"/>
      <c r="AL211" s="92"/>
      <c r="AM211" s="92"/>
      <c r="AN211" s="92"/>
      <c r="AO211" s="92"/>
      <c r="AP211" s="92"/>
      <c r="AQ211" s="92"/>
      <c r="AR211" s="92"/>
      <c r="AS211" s="92"/>
      <c r="AT211" s="93"/>
      <c r="AU211" s="94"/>
      <c r="AV211" s="1980">
        <f t="shared" si="155"/>
        <v>0</v>
      </c>
      <c r="AW211" s="1980">
        <f t="shared" si="156"/>
        <v>0</v>
      </c>
      <c r="AX211" s="1980">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94"/>
      <c r="C212" s="1395"/>
      <c r="D212" s="80"/>
      <c r="E212" s="87">
        <f t="shared" si="151"/>
        <v>0</v>
      </c>
      <c r="F212" s="88"/>
      <c r="G212" s="89">
        <f t="shared" si="152"/>
        <v>0</v>
      </c>
      <c r="H212" s="90">
        <f t="shared" si="153"/>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97"/>
      <c r="AG212" s="92"/>
      <c r="AH212" s="92"/>
      <c r="AI212" s="92"/>
      <c r="AJ212" s="92"/>
      <c r="AK212" s="92"/>
      <c r="AL212" s="92"/>
      <c r="AM212" s="92"/>
      <c r="AN212" s="92"/>
      <c r="AO212" s="92"/>
      <c r="AP212" s="92"/>
      <c r="AQ212" s="92"/>
      <c r="AR212" s="92"/>
      <c r="AS212" s="92"/>
      <c r="AT212" s="93"/>
      <c r="AU212" s="94"/>
      <c r="AV212" s="1980">
        <f t="shared" si="155"/>
        <v>0</v>
      </c>
      <c r="AW212" s="1980">
        <f t="shared" si="156"/>
        <v>0</v>
      </c>
      <c r="AX212" s="1980">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96"/>
      <c r="C213" s="1397"/>
      <c r="D213" s="80"/>
      <c r="E213" s="87">
        <f t="shared" si="151"/>
        <v>0</v>
      </c>
      <c r="F213" s="88"/>
      <c r="G213" s="89">
        <f t="shared" si="152"/>
        <v>0</v>
      </c>
      <c r="H213" s="90">
        <f t="shared" si="153"/>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97"/>
      <c r="AG213" s="92"/>
      <c r="AH213" s="92"/>
      <c r="AI213" s="92"/>
      <c r="AJ213" s="92"/>
      <c r="AK213" s="92"/>
      <c r="AL213" s="92"/>
      <c r="AM213" s="92"/>
      <c r="AN213" s="92"/>
      <c r="AO213" s="92"/>
      <c r="AP213" s="92"/>
      <c r="AQ213" s="92"/>
      <c r="AR213" s="92"/>
      <c r="AS213" s="92"/>
      <c r="AT213" s="93"/>
      <c r="AU213" s="94"/>
      <c r="AV213" s="1980">
        <f t="shared" si="155"/>
        <v>0</v>
      </c>
      <c r="AW213" s="1980">
        <f t="shared" si="156"/>
        <v>0</v>
      </c>
      <c r="AX213" s="1980">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94"/>
      <c r="C214" s="1395"/>
      <c r="D214" s="80"/>
      <c r="E214" s="87">
        <f t="shared" si="151"/>
        <v>0</v>
      </c>
      <c r="F214" s="88"/>
      <c r="G214" s="89">
        <f t="shared" si="152"/>
        <v>0</v>
      </c>
      <c r="H214" s="90">
        <f t="shared" si="153"/>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97"/>
      <c r="AG214" s="92"/>
      <c r="AH214" s="92"/>
      <c r="AI214" s="92"/>
      <c r="AJ214" s="92"/>
      <c r="AK214" s="92"/>
      <c r="AL214" s="92"/>
      <c r="AM214" s="92"/>
      <c r="AN214" s="92"/>
      <c r="AO214" s="92"/>
      <c r="AP214" s="92"/>
      <c r="AQ214" s="92"/>
      <c r="AR214" s="92"/>
      <c r="AS214" s="92"/>
      <c r="AT214" s="93"/>
      <c r="AU214" s="94"/>
      <c r="AV214" s="1980">
        <f t="shared" si="155"/>
        <v>0</v>
      </c>
      <c r="AW214" s="1980">
        <f t="shared" si="156"/>
        <v>0</v>
      </c>
      <c r="AX214" s="1980">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94"/>
      <c r="C215" s="1395"/>
      <c r="D215" s="80"/>
      <c r="E215" s="87">
        <f t="shared" si="151"/>
        <v>0</v>
      </c>
      <c r="F215" s="88"/>
      <c r="G215" s="89">
        <f t="shared" si="152"/>
        <v>0</v>
      </c>
      <c r="H215" s="90">
        <f t="shared" si="153"/>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97"/>
      <c r="AG215" s="92"/>
      <c r="AH215" s="92"/>
      <c r="AI215" s="92"/>
      <c r="AJ215" s="92"/>
      <c r="AK215" s="92"/>
      <c r="AL215" s="92"/>
      <c r="AM215" s="92"/>
      <c r="AN215" s="92"/>
      <c r="AO215" s="92"/>
      <c r="AP215" s="92"/>
      <c r="AQ215" s="92"/>
      <c r="AR215" s="92"/>
      <c r="AS215" s="92"/>
      <c r="AT215" s="93"/>
      <c r="AU215" s="94"/>
      <c r="AV215" s="1980">
        <f t="shared" si="155"/>
        <v>0</v>
      </c>
      <c r="AW215" s="1980">
        <f t="shared" si="156"/>
        <v>0</v>
      </c>
      <c r="AX215" s="1980">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94"/>
      <c r="C216" s="1395"/>
      <c r="D216" s="80"/>
      <c r="E216" s="87">
        <f t="shared" si="151"/>
        <v>0</v>
      </c>
      <c r="F216" s="88"/>
      <c r="G216" s="89">
        <f t="shared" si="152"/>
        <v>0</v>
      </c>
      <c r="H216" s="90">
        <f t="shared" si="153"/>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97"/>
      <c r="AG216" s="92"/>
      <c r="AH216" s="92"/>
      <c r="AI216" s="92"/>
      <c r="AJ216" s="92"/>
      <c r="AK216" s="92"/>
      <c r="AL216" s="92"/>
      <c r="AM216" s="92"/>
      <c r="AN216" s="92"/>
      <c r="AO216" s="92"/>
      <c r="AP216" s="92"/>
      <c r="AQ216" s="92"/>
      <c r="AR216" s="92"/>
      <c r="AS216" s="92"/>
      <c r="AT216" s="93"/>
      <c r="AU216" s="94"/>
      <c r="AV216" s="1980">
        <f t="shared" si="155"/>
        <v>0</v>
      </c>
      <c r="AW216" s="1980">
        <f t="shared" si="156"/>
        <v>0</v>
      </c>
      <c r="AX216" s="1980">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94"/>
      <c r="C217" s="1395"/>
      <c r="D217" s="80"/>
      <c r="E217" s="87">
        <f t="shared" si="151"/>
        <v>0</v>
      </c>
      <c r="F217" s="88"/>
      <c r="G217" s="89">
        <f t="shared" si="152"/>
        <v>0</v>
      </c>
      <c r="H217" s="90">
        <f t="shared" si="153"/>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97"/>
      <c r="AG217" s="92"/>
      <c r="AH217" s="92"/>
      <c r="AI217" s="92"/>
      <c r="AJ217" s="92"/>
      <c r="AK217" s="92"/>
      <c r="AL217" s="92"/>
      <c r="AM217" s="92"/>
      <c r="AN217" s="92"/>
      <c r="AO217" s="92"/>
      <c r="AP217" s="92"/>
      <c r="AQ217" s="92"/>
      <c r="AR217" s="92"/>
      <c r="AS217" s="92"/>
      <c r="AT217" s="93"/>
      <c r="AU217" s="94"/>
      <c r="AV217" s="1980">
        <f t="shared" si="155"/>
        <v>0</v>
      </c>
      <c r="AW217" s="1980">
        <f t="shared" si="156"/>
        <v>0</v>
      </c>
      <c r="AX217" s="1980">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94"/>
      <c r="C218" s="1395"/>
      <c r="D218" s="80"/>
      <c r="E218" s="87">
        <f t="shared" si="151"/>
        <v>0</v>
      </c>
      <c r="F218" s="88"/>
      <c r="G218" s="89">
        <f t="shared" si="152"/>
        <v>0</v>
      </c>
      <c r="H218" s="90">
        <f t="shared" si="153"/>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97"/>
      <c r="AG218" s="92"/>
      <c r="AH218" s="92"/>
      <c r="AI218" s="92"/>
      <c r="AJ218" s="92"/>
      <c r="AK218" s="92"/>
      <c r="AL218" s="92"/>
      <c r="AM218" s="92"/>
      <c r="AN218" s="92"/>
      <c r="AO218" s="92"/>
      <c r="AP218" s="92"/>
      <c r="AQ218" s="92"/>
      <c r="AR218" s="92"/>
      <c r="AS218" s="92"/>
      <c r="AT218" s="93"/>
      <c r="AU218" s="94"/>
      <c r="AV218" s="1980">
        <f t="shared" si="155"/>
        <v>0</v>
      </c>
      <c r="AW218" s="1980">
        <f t="shared" si="156"/>
        <v>0</v>
      </c>
      <c r="AX218" s="1980">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94"/>
      <c r="C219" s="1395"/>
      <c r="D219" s="80"/>
      <c r="E219" s="87">
        <f t="shared" si="151"/>
        <v>0</v>
      </c>
      <c r="F219" s="88"/>
      <c r="G219" s="89">
        <f t="shared" si="152"/>
        <v>0</v>
      </c>
      <c r="H219" s="90">
        <f t="shared" si="153"/>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97"/>
      <c r="AG219" s="92"/>
      <c r="AH219" s="92"/>
      <c r="AI219" s="92"/>
      <c r="AJ219" s="92"/>
      <c r="AK219" s="92"/>
      <c r="AL219" s="92"/>
      <c r="AM219" s="92"/>
      <c r="AN219" s="92"/>
      <c r="AO219" s="92"/>
      <c r="AP219" s="92"/>
      <c r="AQ219" s="92"/>
      <c r="AR219" s="92"/>
      <c r="AS219" s="92"/>
      <c r="AT219" s="93"/>
      <c r="AU219" s="94"/>
      <c r="AV219" s="1980">
        <f t="shared" si="155"/>
        <v>0</v>
      </c>
      <c r="AW219" s="1980">
        <f t="shared" si="156"/>
        <v>0</v>
      </c>
      <c r="AX219" s="1980">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94"/>
      <c r="C220" s="1395"/>
      <c r="D220" s="80"/>
      <c r="E220" s="87">
        <f t="shared" si="151"/>
        <v>0</v>
      </c>
      <c r="F220" s="88"/>
      <c r="G220" s="89">
        <f t="shared" si="152"/>
        <v>0</v>
      </c>
      <c r="H220" s="90">
        <f t="shared" si="153"/>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97"/>
      <c r="AG220" s="92"/>
      <c r="AH220" s="92"/>
      <c r="AI220" s="92"/>
      <c r="AJ220" s="92"/>
      <c r="AK220" s="92"/>
      <c r="AL220" s="92"/>
      <c r="AM220" s="92"/>
      <c r="AN220" s="92"/>
      <c r="AO220" s="92"/>
      <c r="AP220" s="92"/>
      <c r="AQ220" s="92"/>
      <c r="AR220" s="92"/>
      <c r="AS220" s="92"/>
      <c r="AT220" s="93"/>
      <c r="AU220" s="94"/>
      <c r="AV220" s="1980">
        <f t="shared" si="155"/>
        <v>0</v>
      </c>
      <c r="AW220" s="1980">
        <f t="shared" si="156"/>
        <v>0</v>
      </c>
      <c r="AX220" s="1980">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94"/>
      <c r="C221" s="1395"/>
      <c r="D221" s="80"/>
      <c r="E221" s="87">
        <f t="shared" si="151"/>
        <v>0</v>
      </c>
      <c r="F221" s="88"/>
      <c r="G221" s="89">
        <f t="shared" si="152"/>
        <v>0</v>
      </c>
      <c r="H221" s="90">
        <f t="shared" si="153"/>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97"/>
      <c r="AG221" s="92"/>
      <c r="AH221" s="92"/>
      <c r="AI221" s="92"/>
      <c r="AJ221" s="92"/>
      <c r="AK221" s="92"/>
      <c r="AL221" s="92"/>
      <c r="AM221" s="92"/>
      <c r="AN221" s="92"/>
      <c r="AO221" s="92"/>
      <c r="AP221" s="92"/>
      <c r="AQ221" s="92"/>
      <c r="AR221" s="92"/>
      <c r="AS221" s="92"/>
      <c r="AT221" s="93"/>
      <c r="AU221" s="94"/>
      <c r="AV221" s="1980">
        <f t="shared" si="155"/>
        <v>0</v>
      </c>
      <c r="AW221" s="1980">
        <f t="shared" si="156"/>
        <v>0</v>
      </c>
      <c r="AX221" s="1980">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94"/>
      <c r="C222" s="1395"/>
      <c r="D222" s="80"/>
      <c r="E222" s="87">
        <f t="shared" si="151"/>
        <v>0</v>
      </c>
      <c r="F222" s="88"/>
      <c r="G222" s="89">
        <f t="shared" si="152"/>
        <v>0</v>
      </c>
      <c r="H222" s="90">
        <f t="shared" si="153"/>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97"/>
      <c r="AG222" s="92"/>
      <c r="AH222" s="92"/>
      <c r="AI222" s="92"/>
      <c r="AJ222" s="92"/>
      <c r="AK222" s="92"/>
      <c r="AL222" s="92"/>
      <c r="AM222" s="92"/>
      <c r="AN222" s="92"/>
      <c r="AO222" s="92"/>
      <c r="AP222" s="92"/>
      <c r="AQ222" s="92"/>
      <c r="AR222" s="92"/>
      <c r="AS222" s="92"/>
      <c r="AT222" s="93"/>
      <c r="AU222" s="94"/>
      <c r="AV222" s="1980">
        <f t="shared" si="155"/>
        <v>0</v>
      </c>
      <c r="AW222" s="1980">
        <f t="shared" si="156"/>
        <v>0</v>
      </c>
      <c r="AX222" s="1980">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94"/>
      <c r="C223" s="1395"/>
      <c r="D223" s="80"/>
      <c r="E223" s="87">
        <f t="shared" si="151"/>
        <v>0</v>
      </c>
      <c r="F223" s="88"/>
      <c r="G223" s="89">
        <f t="shared" si="152"/>
        <v>0</v>
      </c>
      <c r="H223" s="90">
        <f t="shared" si="153"/>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97"/>
      <c r="AG223" s="92"/>
      <c r="AH223" s="92"/>
      <c r="AI223" s="92"/>
      <c r="AJ223" s="92"/>
      <c r="AK223" s="92"/>
      <c r="AL223" s="92"/>
      <c r="AM223" s="92"/>
      <c r="AN223" s="92"/>
      <c r="AO223" s="92"/>
      <c r="AP223" s="92"/>
      <c r="AQ223" s="92"/>
      <c r="AR223" s="92"/>
      <c r="AS223" s="92"/>
      <c r="AT223" s="93"/>
      <c r="AU223" s="94"/>
      <c r="AV223" s="1980">
        <f t="shared" si="155"/>
        <v>0</v>
      </c>
      <c r="AW223" s="1980">
        <f t="shared" si="156"/>
        <v>0</v>
      </c>
      <c r="AX223" s="1980">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94"/>
      <c r="C224" s="1395"/>
      <c r="D224" s="80"/>
      <c r="E224" s="87">
        <f t="shared" si="151"/>
        <v>0</v>
      </c>
      <c r="F224" s="88"/>
      <c r="G224" s="89">
        <f t="shared" si="152"/>
        <v>0</v>
      </c>
      <c r="H224" s="90">
        <f t="shared" si="153"/>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97"/>
      <c r="AG224" s="92"/>
      <c r="AH224" s="92"/>
      <c r="AI224" s="92"/>
      <c r="AJ224" s="92"/>
      <c r="AK224" s="92"/>
      <c r="AL224" s="92"/>
      <c r="AM224" s="92"/>
      <c r="AN224" s="92"/>
      <c r="AO224" s="92"/>
      <c r="AP224" s="92"/>
      <c r="AQ224" s="92"/>
      <c r="AR224" s="92"/>
      <c r="AS224" s="92"/>
      <c r="AT224" s="93"/>
      <c r="AU224" s="94"/>
      <c r="AV224" s="1980">
        <f t="shared" si="155"/>
        <v>0</v>
      </c>
      <c r="AW224" s="1980">
        <f t="shared" si="156"/>
        <v>0</v>
      </c>
      <c r="AX224" s="1980">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94"/>
      <c r="C225" s="1395"/>
      <c r="D225" s="80"/>
      <c r="E225" s="87">
        <f t="shared" si="151"/>
        <v>0</v>
      </c>
      <c r="F225" s="88"/>
      <c r="G225" s="89">
        <f t="shared" si="152"/>
        <v>0</v>
      </c>
      <c r="H225" s="90">
        <f t="shared" si="153"/>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97"/>
      <c r="AG225" s="92"/>
      <c r="AH225" s="92"/>
      <c r="AI225" s="92"/>
      <c r="AJ225" s="92"/>
      <c r="AK225" s="92"/>
      <c r="AL225" s="92"/>
      <c r="AM225" s="92"/>
      <c r="AN225" s="92"/>
      <c r="AO225" s="92"/>
      <c r="AP225" s="92"/>
      <c r="AQ225" s="92"/>
      <c r="AR225" s="92"/>
      <c r="AS225" s="92"/>
      <c r="AT225" s="93"/>
      <c r="AU225" s="94"/>
      <c r="AV225" s="1980">
        <f t="shared" si="155"/>
        <v>0</v>
      </c>
      <c r="AW225" s="1980">
        <f t="shared" si="156"/>
        <v>0</v>
      </c>
      <c r="AX225" s="1980">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94"/>
      <c r="C226" s="1395"/>
      <c r="D226" s="80"/>
      <c r="E226" s="87">
        <f t="shared" si="151"/>
        <v>0</v>
      </c>
      <c r="F226" s="88"/>
      <c r="G226" s="89">
        <f t="shared" si="152"/>
        <v>0</v>
      </c>
      <c r="H226" s="90">
        <f t="shared" si="153"/>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97"/>
      <c r="AG226" s="92"/>
      <c r="AH226" s="92"/>
      <c r="AI226" s="92"/>
      <c r="AJ226" s="92"/>
      <c r="AK226" s="92"/>
      <c r="AL226" s="92"/>
      <c r="AM226" s="92"/>
      <c r="AN226" s="92"/>
      <c r="AO226" s="92"/>
      <c r="AP226" s="92"/>
      <c r="AQ226" s="92"/>
      <c r="AR226" s="92"/>
      <c r="AS226" s="92"/>
      <c r="AT226" s="93"/>
      <c r="AU226" s="94"/>
      <c r="AV226" s="1980">
        <f t="shared" si="155"/>
        <v>0</v>
      </c>
      <c r="AW226" s="1980">
        <f t="shared" si="156"/>
        <v>0</v>
      </c>
      <c r="AX226" s="1980">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94"/>
      <c r="C227" s="1395"/>
      <c r="D227" s="80"/>
      <c r="E227" s="87">
        <f t="shared" si="151"/>
        <v>0</v>
      </c>
      <c r="F227" s="88"/>
      <c r="G227" s="89">
        <f t="shared" si="152"/>
        <v>0</v>
      </c>
      <c r="H227" s="90">
        <f t="shared" si="153"/>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97"/>
      <c r="AG227" s="92"/>
      <c r="AH227" s="92"/>
      <c r="AI227" s="92"/>
      <c r="AJ227" s="92"/>
      <c r="AK227" s="92"/>
      <c r="AL227" s="92"/>
      <c r="AM227" s="92"/>
      <c r="AN227" s="92"/>
      <c r="AO227" s="92"/>
      <c r="AP227" s="92"/>
      <c r="AQ227" s="92"/>
      <c r="AR227" s="92"/>
      <c r="AS227" s="92"/>
      <c r="AT227" s="93"/>
      <c r="AU227" s="94"/>
      <c r="AV227" s="1980">
        <f t="shared" si="155"/>
        <v>0</v>
      </c>
      <c r="AW227" s="1980">
        <f t="shared" si="156"/>
        <v>0</v>
      </c>
      <c r="AX227" s="1980">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94"/>
      <c r="C228" s="1395"/>
      <c r="D228" s="80"/>
      <c r="E228" s="87">
        <f t="shared" si="151"/>
        <v>0</v>
      </c>
      <c r="F228" s="88"/>
      <c r="G228" s="89">
        <f t="shared" si="152"/>
        <v>0</v>
      </c>
      <c r="H228" s="90">
        <f t="shared" si="153"/>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97"/>
      <c r="AG228" s="92"/>
      <c r="AH228" s="92"/>
      <c r="AI228" s="92"/>
      <c r="AJ228" s="92"/>
      <c r="AK228" s="92"/>
      <c r="AL228" s="92"/>
      <c r="AM228" s="92"/>
      <c r="AN228" s="92"/>
      <c r="AO228" s="92"/>
      <c r="AP228" s="92"/>
      <c r="AQ228" s="92"/>
      <c r="AR228" s="92"/>
      <c r="AS228" s="92"/>
      <c r="AT228" s="93"/>
      <c r="AU228" s="94"/>
      <c r="AV228" s="1980">
        <f t="shared" si="155"/>
        <v>0</v>
      </c>
      <c r="AW228" s="1980">
        <f t="shared" si="156"/>
        <v>0</v>
      </c>
      <c r="AX228" s="1980">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94"/>
      <c r="C229" s="1395"/>
      <c r="D229" s="80"/>
      <c r="E229" s="87">
        <f t="shared" si="151"/>
        <v>0</v>
      </c>
      <c r="F229" s="88"/>
      <c r="G229" s="89">
        <f t="shared" si="152"/>
        <v>0</v>
      </c>
      <c r="H229" s="90">
        <f t="shared" si="153"/>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97"/>
      <c r="AG229" s="92"/>
      <c r="AH229" s="92"/>
      <c r="AI229" s="92"/>
      <c r="AJ229" s="92"/>
      <c r="AK229" s="92"/>
      <c r="AL229" s="92"/>
      <c r="AM229" s="92"/>
      <c r="AN229" s="92"/>
      <c r="AO229" s="92"/>
      <c r="AP229" s="92"/>
      <c r="AQ229" s="92"/>
      <c r="AR229" s="92"/>
      <c r="AS229" s="92"/>
      <c r="AT229" s="93"/>
      <c r="AU229" s="94"/>
      <c r="AV229" s="1980">
        <f t="shared" si="155"/>
        <v>0</v>
      </c>
      <c r="AW229" s="1980">
        <f t="shared" si="156"/>
        <v>0</v>
      </c>
      <c r="AX229" s="1980">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94"/>
      <c r="C230" s="1395"/>
      <c r="D230" s="80"/>
      <c r="E230" s="87">
        <f t="shared" si="151"/>
        <v>0</v>
      </c>
      <c r="F230" s="88"/>
      <c r="G230" s="89">
        <f t="shared" si="152"/>
        <v>0</v>
      </c>
      <c r="H230" s="90">
        <f t="shared" si="153"/>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97"/>
      <c r="AG230" s="92"/>
      <c r="AH230" s="92"/>
      <c r="AI230" s="92"/>
      <c r="AJ230" s="92"/>
      <c r="AK230" s="92"/>
      <c r="AL230" s="92"/>
      <c r="AM230" s="92"/>
      <c r="AN230" s="92"/>
      <c r="AO230" s="92"/>
      <c r="AP230" s="92"/>
      <c r="AQ230" s="92"/>
      <c r="AR230" s="92"/>
      <c r="AS230" s="92"/>
      <c r="AT230" s="93"/>
      <c r="AU230" s="94"/>
      <c r="AV230" s="1980">
        <f t="shared" si="155"/>
        <v>0</v>
      </c>
      <c r="AW230" s="1980">
        <f t="shared" si="156"/>
        <v>0</v>
      </c>
      <c r="AX230" s="1980">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94"/>
      <c r="C231" s="1395"/>
      <c r="D231" s="80"/>
      <c r="E231" s="87">
        <f t="shared" si="151"/>
        <v>0</v>
      </c>
      <c r="F231" s="88"/>
      <c r="G231" s="89">
        <f t="shared" si="152"/>
        <v>0</v>
      </c>
      <c r="H231" s="90">
        <f t="shared" si="153"/>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95"/>
      <c r="AG231" s="92"/>
      <c r="AH231" s="92"/>
      <c r="AI231" s="92"/>
      <c r="AJ231" s="92"/>
      <c r="AK231" s="92"/>
      <c r="AL231" s="92"/>
      <c r="AM231" s="92"/>
      <c r="AN231" s="92"/>
      <c r="AO231" s="92"/>
      <c r="AP231" s="92"/>
      <c r="AQ231" s="92"/>
      <c r="AR231" s="92"/>
      <c r="AS231" s="92"/>
      <c r="AT231" s="93"/>
      <c r="AU231" s="94"/>
      <c r="AV231" s="1980">
        <f t="shared" si="155"/>
        <v>0</v>
      </c>
      <c r="AW231" s="1980">
        <f t="shared" si="156"/>
        <v>0</v>
      </c>
      <c r="AX231" s="1980">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94"/>
      <c r="C232" s="1395"/>
      <c r="D232" s="80"/>
      <c r="E232" s="87">
        <f t="shared" si="151"/>
        <v>0</v>
      </c>
      <c r="F232" s="88"/>
      <c r="G232" s="89">
        <f t="shared" si="152"/>
        <v>0</v>
      </c>
      <c r="H232" s="90">
        <f t="shared" si="153"/>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95"/>
      <c r="AG232" s="92"/>
      <c r="AH232" s="92"/>
      <c r="AI232" s="92"/>
      <c r="AJ232" s="92"/>
      <c r="AK232" s="92"/>
      <c r="AL232" s="92"/>
      <c r="AM232" s="92"/>
      <c r="AN232" s="92"/>
      <c r="AO232" s="92"/>
      <c r="AP232" s="92"/>
      <c r="AQ232" s="92"/>
      <c r="AR232" s="92"/>
      <c r="AS232" s="92"/>
      <c r="AT232" s="93"/>
      <c r="AU232" s="94"/>
      <c r="AV232" s="1980">
        <f t="shared" si="155"/>
        <v>0</v>
      </c>
      <c r="AW232" s="1980">
        <f t="shared" si="156"/>
        <v>0</v>
      </c>
      <c r="AX232" s="1980">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94"/>
      <c r="C233" s="1395"/>
      <c r="D233" s="80"/>
      <c r="E233" s="87">
        <f t="shared" si="151"/>
        <v>0</v>
      </c>
      <c r="F233" s="88"/>
      <c r="G233" s="89">
        <f t="shared" si="152"/>
        <v>0</v>
      </c>
      <c r="H233" s="90">
        <f t="shared" si="153"/>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95"/>
      <c r="AG233" s="92"/>
      <c r="AH233" s="92"/>
      <c r="AI233" s="92"/>
      <c r="AJ233" s="92"/>
      <c r="AK233" s="92"/>
      <c r="AL233" s="92"/>
      <c r="AM233" s="92"/>
      <c r="AN233" s="92"/>
      <c r="AO233" s="92"/>
      <c r="AP233" s="92"/>
      <c r="AQ233" s="92"/>
      <c r="AR233" s="92"/>
      <c r="AS233" s="92"/>
      <c r="AT233" s="93"/>
      <c r="AU233" s="94"/>
      <c r="AV233" s="1980">
        <f t="shared" si="155"/>
        <v>0</v>
      </c>
      <c r="AW233" s="1980">
        <f t="shared" si="156"/>
        <v>0</v>
      </c>
      <c r="AX233" s="1980">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94"/>
      <c r="C234" s="1395"/>
      <c r="D234" s="80"/>
      <c r="E234" s="87">
        <f t="shared" si="151"/>
        <v>0</v>
      </c>
      <c r="F234" s="88"/>
      <c r="G234" s="89">
        <f t="shared" si="152"/>
        <v>0</v>
      </c>
      <c r="H234" s="90">
        <f t="shared" si="153"/>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95"/>
      <c r="AG234" s="92"/>
      <c r="AH234" s="92"/>
      <c r="AI234" s="92"/>
      <c r="AJ234" s="92"/>
      <c r="AK234" s="92"/>
      <c r="AL234" s="92"/>
      <c r="AM234" s="92"/>
      <c r="AN234" s="92"/>
      <c r="AO234" s="92"/>
      <c r="AP234" s="92"/>
      <c r="AQ234" s="92"/>
      <c r="AR234" s="92"/>
      <c r="AS234" s="92"/>
      <c r="AT234" s="93"/>
      <c r="AU234" s="94"/>
      <c r="AV234" s="1980">
        <f t="shared" si="155"/>
        <v>0</v>
      </c>
      <c r="AW234" s="1980">
        <f t="shared" si="156"/>
        <v>0</v>
      </c>
      <c r="AX234" s="1980">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94"/>
      <c r="C235" s="1395"/>
      <c r="D235" s="80"/>
      <c r="E235" s="87">
        <f t="shared" si="151"/>
        <v>0</v>
      </c>
      <c r="F235" s="88"/>
      <c r="G235" s="89">
        <f t="shared" si="152"/>
        <v>0</v>
      </c>
      <c r="H235" s="90">
        <f t="shared" si="153"/>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95"/>
      <c r="AG235" s="92"/>
      <c r="AH235" s="92"/>
      <c r="AI235" s="92"/>
      <c r="AJ235" s="92"/>
      <c r="AK235" s="92"/>
      <c r="AL235" s="92"/>
      <c r="AM235" s="92"/>
      <c r="AN235" s="92"/>
      <c r="AO235" s="92"/>
      <c r="AP235" s="92"/>
      <c r="AQ235" s="92"/>
      <c r="AR235" s="92"/>
      <c r="AS235" s="92"/>
      <c r="AT235" s="93"/>
      <c r="AU235" s="94"/>
      <c r="AV235" s="1980">
        <f t="shared" si="155"/>
        <v>0</v>
      </c>
      <c r="AW235" s="1980">
        <f t="shared" si="156"/>
        <v>0</v>
      </c>
      <c r="AX235" s="1980">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94"/>
      <c r="C236" s="1395"/>
      <c r="D236" s="80"/>
      <c r="E236" s="87">
        <f t="shared" si="151"/>
        <v>0</v>
      </c>
      <c r="F236" s="88"/>
      <c r="G236" s="89">
        <f t="shared" si="152"/>
        <v>0</v>
      </c>
      <c r="H236" s="90">
        <f t="shared" si="153"/>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95"/>
      <c r="AG236" s="92"/>
      <c r="AH236" s="92"/>
      <c r="AI236" s="92"/>
      <c r="AJ236" s="92"/>
      <c r="AK236" s="92"/>
      <c r="AL236" s="92"/>
      <c r="AM236" s="92"/>
      <c r="AN236" s="92"/>
      <c r="AO236" s="92"/>
      <c r="AP236" s="92"/>
      <c r="AQ236" s="92"/>
      <c r="AR236" s="92"/>
      <c r="AS236" s="92"/>
      <c r="AT236" s="93"/>
      <c r="AU236" s="94"/>
      <c r="AV236" s="1980">
        <f t="shared" si="155"/>
        <v>0</v>
      </c>
      <c r="AW236" s="1980">
        <f t="shared" si="156"/>
        <v>0</v>
      </c>
      <c r="AX236" s="1980">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94"/>
      <c r="C237" s="1395"/>
      <c r="D237" s="80"/>
      <c r="E237" s="87">
        <f t="shared" si="151"/>
        <v>0</v>
      </c>
      <c r="F237" s="88"/>
      <c r="G237" s="89">
        <f t="shared" si="152"/>
        <v>0</v>
      </c>
      <c r="H237" s="90">
        <f t="shared" si="153"/>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95"/>
      <c r="AG237" s="92"/>
      <c r="AH237" s="92"/>
      <c r="AI237" s="92"/>
      <c r="AJ237" s="92"/>
      <c r="AK237" s="92"/>
      <c r="AL237" s="92"/>
      <c r="AM237" s="92"/>
      <c r="AN237" s="92"/>
      <c r="AO237" s="92"/>
      <c r="AP237" s="92"/>
      <c r="AQ237" s="92"/>
      <c r="AR237" s="92"/>
      <c r="AS237" s="92"/>
      <c r="AT237" s="93"/>
      <c r="AU237" s="94"/>
      <c r="AV237" s="1980">
        <f t="shared" si="155"/>
        <v>0</v>
      </c>
      <c r="AW237" s="1980">
        <f t="shared" si="156"/>
        <v>0</v>
      </c>
      <c r="AX237" s="1980">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94"/>
      <c r="C238" s="1395"/>
      <c r="D238" s="80"/>
      <c r="E238" s="87">
        <f t="shared" si="151"/>
        <v>0</v>
      </c>
      <c r="F238" s="88"/>
      <c r="G238" s="89">
        <f t="shared" si="152"/>
        <v>0</v>
      </c>
      <c r="H238" s="90">
        <f t="shared" si="153"/>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95"/>
      <c r="AG238" s="92"/>
      <c r="AH238" s="92"/>
      <c r="AI238" s="92"/>
      <c r="AJ238" s="92"/>
      <c r="AK238" s="92"/>
      <c r="AL238" s="92"/>
      <c r="AM238" s="92"/>
      <c r="AN238" s="92"/>
      <c r="AO238" s="92"/>
      <c r="AP238" s="92"/>
      <c r="AQ238" s="92"/>
      <c r="AR238" s="92"/>
      <c r="AS238" s="92"/>
      <c r="AT238" s="93"/>
      <c r="AU238" s="94"/>
      <c r="AV238" s="1980">
        <f t="shared" si="155"/>
        <v>0</v>
      </c>
      <c r="AW238" s="1980">
        <f t="shared" si="156"/>
        <v>0</v>
      </c>
      <c r="AX238" s="1980">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96"/>
      <c r="C239" s="1397"/>
      <c r="D239" s="80"/>
      <c r="E239" s="87">
        <f t="shared" si="151"/>
        <v>0</v>
      </c>
      <c r="F239" s="88"/>
      <c r="G239" s="89">
        <f t="shared" si="152"/>
        <v>0</v>
      </c>
      <c r="H239" s="90">
        <f t="shared" si="153"/>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4"/>
        <v>0</v>
      </c>
      <c r="AD239" s="92"/>
      <c r="AE239" s="92"/>
      <c r="AF239" s="1395"/>
      <c r="AG239" s="92"/>
      <c r="AH239" s="92"/>
      <c r="AI239" s="92"/>
      <c r="AJ239" s="92"/>
      <c r="AK239" s="92"/>
      <c r="AL239" s="92"/>
      <c r="AM239" s="92"/>
      <c r="AN239" s="92"/>
      <c r="AO239" s="92"/>
      <c r="AP239" s="92"/>
      <c r="AQ239" s="92"/>
      <c r="AR239" s="92"/>
      <c r="AS239" s="92"/>
      <c r="AT239" s="93"/>
      <c r="AU239" s="94"/>
      <c r="AV239" s="1980">
        <f t="shared" si="155"/>
        <v>0</v>
      </c>
      <c r="AW239" s="1980">
        <f t="shared" si="156"/>
        <v>0</v>
      </c>
      <c r="AX239" s="1980">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980">
        <f t="shared" si="155"/>
        <v>0</v>
      </c>
      <c r="AW240" s="1980">
        <f t="shared" si="156"/>
        <v>0</v>
      </c>
      <c r="AX240" s="1980">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980">
        <f t="shared" si="155"/>
        <v>0</v>
      </c>
      <c r="AW241" s="1980">
        <f t="shared" si="156"/>
        <v>0</v>
      </c>
      <c r="AX241" s="1980">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980">
        <f t="shared" si="155"/>
        <v>0</v>
      </c>
      <c r="AW242" s="1980">
        <f t="shared" si="156"/>
        <v>0</v>
      </c>
      <c r="AX242" s="1980">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980">
        <f t="shared" si="155"/>
        <v>0</v>
      </c>
      <c r="AW243" s="1980">
        <f t="shared" si="156"/>
        <v>0</v>
      </c>
      <c r="AX243" s="1980">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980">
        <f t="shared" si="155"/>
        <v>0</v>
      </c>
      <c r="AW244" s="1980">
        <f t="shared" si="156"/>
        <v>0</v>
      </c>
      <c r="AX244" s="1980">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980">
        <f t="shared" si="155"/>
        <v>0</v>
      </c>
      <c r="AW245" s="1980">
        <f t="shared" si="156"/>
        <v>0</v>
      </c>
      <c r="AX245" s="1980">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980">
        <f t="shared" si="155"/>
        <v>0</v>
      </c>
      <c r="AW246" s="1980">
        <f t="shared" si="156"/>
        <v>0</v>
      </c>
      <c r="AX246" s="1980">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980">
        <f t="shared" si="155"/>
        <v>0</v>
      </c>
      <c r="AW247" s="1980">
        <f t="shared" si="156"/>
        <v>0</v>
      </c>
      <c r="AX247" s="1980">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980">
        <f t="shared" si="155"/>
        <v>0</v>
      </c>
      <c r="AW248" s="1980">
        <f t="shared" si="156"/>
        <v>0</v>
      </c>
      <c r="AX248" s="1980">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980">
        <f t="shared" si="155"/>
        <v>0</v>
      </c>
      <c r="AW249" s="1980">
        <f t="shared" si="156"/>
        <v>0</v>
      </c>
      <c r="AX249" s="1980">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980">
        <f t="shared" si="155"/>
        <v>0</v>
      </c>
      <c r="AW250" s="1980">
        <f t="shared" si="156"/>
        <v>0</v>
      </c>
      <c r="AX250" s="1980">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980">
        <f t="shared" si="155"/>
        <v>0</v>
      </c>
      <c r="AW251" s="1980">
        <f t="shared" si="156"/>
        <v>0</v>
      </c>
      <c r="AX251" s="1980">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980">
        <f t="shared" si="155"/>
        <v>0</v>
      </c>
      <c r="AW252" s="1980">
        <f t="shared" si="156"/>
        <v>0</v>
      </c>
      <c r="AX252" s="1980">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980">
        <f t="shared" si="155"/>
        <v>0</v>
      </c>
      <c r="AW253" s="1980">
        <f t="shared" si="156"/>
        <v>0</v>
      </c>
      <c r="AX253" s="1980">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980">
        <f t="shared" si="155"/>
        <v>0</v>
      </c>
      <c r="AW254" s="1980">
        <f t="shared" si="156"/>
        <v>0</v>
      </c>
      <c r="AX254" s="1980">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980">
        <f t="shared" si="155"/>
        <v>0</v>
      </c>
      <c r="AW255" s="1980">
        <f t="shared" si="156"/>
        <v>0</v>
      </c>
      <c r="AX255" s="1980">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980">
        <f t="shared" si="155"/>
        <v>0</v>
      </c>
      <c r="AW256" s="1980">
        <f t="shared" si="156"/>
        <v>0</v>
      </c>
      <c r="AX256" s="1980">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980">
        <f t="shared" si="155"/>
        <v>0</v>
      </c>
      <c r="AW257" s="1980">
        <f t="shared" si="156"/>
        <v>0</v>
      </c>
      <c r="AX257" s="1980">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980">
        <f t="shared" si="155"/>
        <v>0</v>
      </c>
      <c r="AW258" s="1980">
        <f t="shared" si="156"/>
        <v>0</v>
      </c>
      <c r="AX258" s="1980">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980">
        <f t="shared" si="155"/>
        <v>0</v>
      </c>
      <c r="AW259" s="1980">
        <f t="shared" si="156"/>
        <v>0</v>
      </c>
      <c r="AX259" s="1980">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980">
        <f t="shared" si="155"/>
        <v>0</v>
      </c>
      <c r="AW260" s="1980">
        <f t="shared" si="156"/>
        <v>0</v>
      </c>
      <c r="AX260" s="1980">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980">
        <f t="shared" si="155"/>
        <v>0</v>
      </c>
      <c r="AW261" s="1980">
        <f t="shared" si="156"/>
        <v>0</v>
      </c>
      <c r="AX261" s="1980">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980">
        <f t="shared" si="155"/>
        <v>0</v>
      </c>
      <c r="AW262" s="1980">
        <f t="shared" si="156"/>
        <v>0</v>
      </c>
      <c r="AX262" s="1980">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980">
        <f t="shared" si="155"/>
        <v>0</v>
      </c>
      <c r="AW263" s="1980">
        <f t="shared" si="156"/>
        <v>0</v>
      </c>
      <c r="AX263" s="1980">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980">
        <f t="shared" si="155"/>
        <v>0</v>
      </c>
      <c r="AW264" s="1980">
        <f t="shared" si="156"/>
        <v>0</v>
      </c>
      <c r="AX264" s="1980">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980">
        <f t="shared" si="155"/>
        <v>0</v>
      </c>
      <c r="AW265" s="1980">
        <f t="shared" si="156"/>
        <v>0</v>
      </c>
      <c r="AX265" s="1980">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980">
        <f t="shared" si="155"/>
        <v>0</v>
      </c>
      <c r="AW266" s="1980">
        <f t="shared" si="156"/>
        <v>0</v>
      </c>
      <c r="AX266" s="1980">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980">
        <f t="shared" si="155"/>
        <v>0</v>
      </c>
      <c r="AW267" s="1980">
        <f t="shared" si="156"/>
        <v>0</v>
      </c>
      <c r="AX267" s="1980">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980">
        <f t="shared" si="155"/>
        <v>0</v>
      </c>
      <c r="AW268" s="1980">
        <f t="shared" si="156"/>
        <v>0</v>
      </c>
      <c r="AX268" s="1980">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980">
        <f t="shared" si="155"/>
        <v>0</v>
      </c>
      <c r="AW269" s="1980">
        <f t="shared" si="156"/>
        <v>0</v>
      </c>
      <c r="AX269" s="1980">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980">
        <f t="shared" si="155"/>
        <v>0</v>
      </c>
      <c r="AW270" s="1980">
        <f t="shared" si="156"/>
        <v>0</v>
      </c>
      <c r="AX270" s="1980">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980">
        <f t="shared" si="155"/>
        <v>0</v>
      </c>
      <c r="AW271" s="1980">
        <f t="shared" si="156"/>
        <v>0</v>
      </c>
      <c r="AX271" s="1980">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980">
        <f t="shared" si="155"/>
        <v>0</v>
      </c>
      <c r="AW272" s="1980">
        <f t="shared" si="156"/>
        <v>0</v>
      </c>
      <c r="AX272" s="1980">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980">
        <f t="shared" si="155"/>
        <v>0</v>
      </c>
      <c r="AW273" s="1980">
        <f t="shared" si="156"/>
        <v>0</v>
      </c>
      <c r="AX273" s="1980">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980">
        <f t="shared" si="155"/>
        <v>0</v>
      </c>
      <c r="AW274" s="1980">
        <f t="shared" si="156"/>
        <v>0</v>
      </c>
      <c r="AX274" s="1980">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980">
        <f t="shared" si="155"/>
        <v>0</v>
      </c>
      <c r="AW275" s="1980">
        <f t="shared" si="156"/>
        <v>0</v>
      </c>
      <c r="AX275" s="1980">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980">
        <f t="shared" si="155"/>
        <v>0</v>
      </c>
      <c r="AW276" s="1980">
        <f t="shared" si="156"/>
        <v>0</v>
      </c>
      <c r="AX276" s="1980">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980">
        <f t="shared" si="155"/>
        <v>0</v>
      </c>
      <c r="AW277" s="1980">
        <f t="shared" si="156"/>
        <v>0</v>
      </c>
      <c r="AX277" s="1980">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980">
        <f t="shared" si="155"/>
        <v>0</v>
      </c>
      <c r="AW278" s="1980">
        <f t="shared" si="156"/>
        <v>0</v>
      </c>
      <c r="AX278" s="1980">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980">
        <f t="shared" si="155"/>
        <v>0</v>
      </c>
      <c r="AW279" s="1980">
        <f t="shared" si="156"/>
        <v>0</v>
      </c>
      <c r="AX279" s="1980">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980">
        <f t="shared" si="155"/>
        <v>0</v>
      </c>
      <c r="AW280" s="1980">
        <f t="shared" si="156"/>
        <v>0</v>
      </c>
      <c r="AX280" s="1980">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980">
        <f t="shared" si="155"/>
        <v>0</v>
      </c>
      <c r="AW281" s="1980">
        <f t="shared" si="156"/>
        <v>0</v>
      </c>
      <c r="AX281" s="1980">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980">
        <f t="shared" si="155"/>
        <v>0</v>
      </c>
      <c r="AW282" s="1980">
        <f t="shared" si="156"/>
        <v>0</v>
      </c>
      <c r="AX282" s="1980">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980">
        <f t="shared" si="155"/>
        <v>0</v>
      </c>
      <c r="AW283" s="1980">
        <f t="shared" si="156"/>
        <v>0</v>
      </c>
      <c r="AX283" s="1980">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980">
        <f t="shared" si="155"/>
        <v>0</v>
      </c>
      <c r="AW284" s="1980">
        <f t="shared" si="156"/>
        <v>0</v>
      </c>
      <c r="AX284" s="1980">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980">
        <f t="shared" si="155"/>
        <v>0</v>
      </c>
      <c r="AW285" s="1980">
        <f t="shared" si="156"/>
        <v>0</v>
      </c>
      <c r="AX285" s="1980">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980">
        <f t="shared" si="155"/>
        <v>0</v>
      </c>
      <c r="AW286" s="1980">
        <f t="shared" si="156"/>
        <v>0</v>
      </c>
      <c r="AX286" s="1980">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980">
        <f t="shared" si="155"/>
        <v>0</v>
      </c>
      <c r="AW287" s="1980">
        <f t="shared" si="156"/>
        <v>0</v>
      </c>
      <c r="AX287" s="1980">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980">
        <f t="shared" si="155"/>
        <v>0</v>
      </c>
      <c r="AW288" s="1980">
        <f t="shared" si="156"/>
        <v>0</v>
      </c>
      <c r="AX288" s="1980">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980">
        <f t="shared" si="155"/>
        <v>0</v>
      </c>
      <c r="AW289" s="1980">
        <f t="shared" si="156"/>
        <v>0</v>
      </c>
      <c r="AX289" s="1980">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980">
        <f t="shared" si="155"/>
        <v>0</v>
      </c>
      <c r="AW290" s="1980">
        <f t="shared" si="156"/>
        <v>0</v>
      </c>
      <c r="AX290" s="1980">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980">
        <f t="shared" si="155"/>
        <v>0</v>
      </c>
      <c r="AW291" s="1980">
        <f t="shared" si="156"/>
        <v>0</v>
      </c>
      <c r="AX291" s="1980">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980">
        <f t="shared" si="155"/>
        <v>0</v>
      </c>
      <c r="AW292" s="1980">
        <f t="shared" si="156"/>
        <v>0</v>
      </c>
      <c r="AX292" s="1980">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980">
        <f t="shared" si="155"/>
        <v>0</v>
      </c>
      <c r="AW293" s="1980">
        <f t="shared" si="156"/>
        <v>0</v>
      </c>
      <c r="AX293" s="1980">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5"/>
        <v>0</v>
      </c>
      <c r="AW294" s="1980">
        <f t="shared" si="156"/>
        <v>0</v>
      </c>
      <c r="AX294" s="1980">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980">
        <f t="shared" si="155"/>
        <v>0</v>
      </c>
      <c r="AW295" s="1980">
        <f t="shared" si="156"/>
        <v>0</v>
      </c>
      <c r="AX295" s="1980">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980">
        <f t="shared" si="155"/>
        <v>0</v>
      </c>
      <c r="AW296" s="1980">
        <f t="shared" si="156"/>
        <v>0</v>
      </c>
      <c r="AX296" s="1980">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94"/>
      <c r="C297" s="1395"/>
      <c r="D297" s="80"/>
      <c r="E297" s="87">
        <f t="shared" ref="E297:E328" si="205">IF($C$3="是",ROUND($A$3*G297/$B$3,2),ROUND($A$3*(G297-AT297)/$B$3,2))</f>
        <v>0</v>
      </c>
      <c r="F297" s="88"/>
      <c r="G297" s="89">
        <f t="shared" si="180"/>
        <v>0</v>
      </c>
      <c r="H297" s="90">
        <f t="shared" si="181"/>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6">A297</f>
        <v>0</v>
      </c>
      <c r="AW297" s="1980">
        <f t="shared" ref="AW297:AW328" si="207">B297</f>
        <v>0</v>
      </c>
      <c r="AX297" s="1980">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94"/>
      <c r="C298" s="1395"/>
      <c r="D298" s="80"/>
      <c r="E298" s="87">
        <f t="shared" si="205"/>
        <v>0</v>
      </c>
      <c r="F298" s="88"/>
      <c r="G298" s="89">
        <f t="shared" si="180"/>
        <v>0</v>
      </c>
      <c r="H298" s="90">
        <f t="shared" si="181"/>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2"/>
        <v>0</v>
      </c>
      <c r="AD298" s="1364"/>
      <c r="AE298" s="92"/>
      <c r="AF298" s="1398"/>
      <c r="AG298" s="92"/>
      <c r="AH298" s="92"/>
      <c r="AI298" s="92"/>
      <c r="AJ298" s="92"/>
      <c r="AK298" s="92"/>
      <c r="AL298" s="1364"/>
      <c r="AM298" s="92"/>
      <c r="AN298" s="1364"/>
      <c r="AO298" s="92"/>
      <c r="AP298" s="92"/>
      <c r="AQ298" s="92"/>
      <c r="AR298" s="92"/>
      <c r="AS298" s="92"/>
      <c r="AT298" s="93"/>
      <c r="AU298" s="94"/>
      <c r="AV298" s="1980">
        <f t="shared" si="206"/>
        <v>0</v>
      </c>
      <c r="AW298" s="1980">
        <f t="shared" si="207"/>
        <v>0</v>
      </c>
      <c r="AX298" s="1980">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94"/>
      <c r="C299" s="1395"/>
      <c r="D299" s="80"/>
      <c r="E299" s="87">
        <f t="shared" si="205"/>
        <v>0</v>
      </c>
      <c r="F299" s="88"/>
      <c r="G299" s="89">
        <f t="shared" si="180"/>
        <v>0</v>
      </c>
      <c r="H299" s="90">
        <f t="shared" si="181"/>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2"/>
        <v>0</v>
      </c>
      <c r="AD299" s="92"/>
      <c r="AE299" s="92"/>
      <c r="AF299" s="1398"/>
      <c r="AG299" s="92"/>
      <c r="AH299" s="92"/>
      <c r="AI299" s="92"/>
      <c r="AJ299" s="92"/>
      <c r="AK299" s="92"/>
      <c r="AL299" s="1364"/>
      <c r="AM299" s="92"/>
      <c r="AN299" s="1364"/>
      <c r="AO299" s="92"/>
      <c r="AP299" s="92"/>
      <c r="AQ299" s="92"/>
      <c r="AR299" s="92"/>
      <c r="AS299" s="92"/>
      <c r="AT299" s="93"/>
      <c r="AU299" s="94"/>
      <c r="AV299" s="1980">
        <f t="shared" si="206"/>
        <v>0</v>
      </c>
      <c r="AW299" s="1980">
        <f t="shared" si="207"/>
        <v>0</v>
      </c>
      <c r="AX299" s="1980">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94"/>
      <c r="C300" s="1395"/>
      <c r="D300" s="80"/>
      <c r="E300" s="87">
        <f t="shared" si="205"/>
        <v>0</v>
      </c>
      <c r="F300" s="88"/>
      <c r="G300" s="89">
        <f t="shared" si="180"/>
        <v>0</v>
      </c>
      <c r="H300" s="90">
        <f t="shared" si="181"/>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2"/>
        <v>0</v>
      </c>
      <c r="AD300" s="92"/>
      <c r="AE300" s="92"/>
      <c r="AF300" s="1398"/>
      <c r="AG300" s="92"/>
      <c r="AH300" s="92"/>
      <c r="AI300" s="92"/>
      <c r="AJ300" s="92"/>
      <c r="AK300" s="92"/>
      <c r="AL300" s="92"/>
      <c r="AM300" s="92"/>
      <c r="AN300" s="1364"/>
      <c r="AO300" s="92"/>
      <c r="AP300" s="92"/>
      <c r="AQ300" s="92"/>
      <c r="AR300" s="92"/>
      <c r="AS300" s="92"/>
      <c r="AT300" s="93"/>
      <c r="AU300" s="94"/>
      <c r="AV300" s="1980">
        <f t="shared" si="206"/>
        <v>0</v>
      </c>
      <c r="AW300" s="1980">
        <f t="shared" si="207"/>
        <v>0</v>
      </c>
      <c r="AX300" s="1980">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94"/>
      <c r="C301" s="1395"/>
      <c r="D301" s="80"/>
      <c r="E301" s="87">
        <f t="shared" si="205"/>
        <v>0</v>
      </c>
      <c r="F301" s="88"/>
      <c r="G301" s="89">
        <f t="shared" si="180"/>
        <v>0</v>
      </c>
      <c r="H301" s="90">
        <f t="shared" si="181"/>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98"/>
      <c r="AG301" s="92"/>
      <c r="AH301" s="92"/>
      <c r="AI301" s="92"/>
      <c r="AJ301" s="92"/>
      <c r="AK301" s="92"/>
      <c r="AL301" s="92"/>
      <c r="AM301" s="92"/>
      <c r="AN301" s="92"/>
      <c r="AO301" s="92"/>
      <c r="AP301" s="92"/>
      <c r="AQ301" s="92"/>
      <c r="AR301" s="92"/>
      <c r="AS301" s="92"/>
      <c r="AT301" s="93"/>
      <c r="AU301" s="94"/>
      <c r="AV301" s="1980">
        <f t="shared" si="206"/>
        <v>0</v>
      </c>
      <c r="AW301" s="1980">
        <f t="shared" si="207"/>
        <v>0</v>
      </c>
      <c r="AX301" s="1980">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94"/>
      <c r="C302" s="1395"/>
      <c r="D302" s="80"/>
      <c r="E302" s="87">
        <f t="shared" si="205"/>
        <v>0</v>
      </c>
      <c r="F302" s="88"/>
      <c r="G302" s="89">
        <f t="shared" si="180"/>
        <v>0</v>
      </c>
      <c r="H302" s="90">
        <f t="shared" si="181"/>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98"/>
      <c r="AG302" s="92"/>
      <c r="AH302" s="92"/>
      <c r="AI302" s="92"/>
      <c r="AJ302" s="92"/>
      <c r="AK302" s="92"/>
      <c r="AL302" s="92"/>
      <c r="AM302" s="92"/>
      <c r="AN302" s="92"/>
      <c r="AO302" s="92"/>
      <c r="AP302" s="92"/>
      <c r="AQ302" s="92"/>
      <c r="AR302" s="92"/>
      <c r="AS302" s="92"/>
      <c r="AT302" s="93"/>
      <c r="AU302" s="94"/>
      <c r="AV302" s="1980">
        <f t="shared" si="206"/>
        <v>0</v>
      </c>
      <c r="AW302" s="1980">
        <f t="shared" si="207"/>
        <v>0</v>
      </c>
      <c r="AX302" s="1980">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94"/>
      <c r="C303" s="1395"/>
      <c r="D303" s="80"/>
      <c r="E303" s="87">
        <f t="shared" si="205"/>
        <v>0</v>
      </c>
      <c r="F303" s="88"/>
      <c r="G303" s="89">
        <f t="shared" si="180"/>
        <v>0</v>
      </c>
      <c r="H303" s="90">
        <f t="shared" si="181"/>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98"/>
      <c r="AG303" s="92"/>
      <c r="AH303" s="92"/>
      <c r="AI303" s="92"/>
      <c r="AJ303" s="92"/>
      <c r="AK303" s="92"/>
      <c r="AL303" s="92"/>
      <c r="AM303" s="92"/>
      <c r="AN303" s="92"/>
      <c r="AO303" s="92"/>
      <c r="AP303" s="92"/>
      <c r="AQ303" s="92"/>
      <c r="AR303" s="92"/>
      <c r="AS303" s="92"/>
      <c r="AT303" s="93"/>
      <c r="AU303" s="94"/>
      <c r="AV303" s="1980">
        <f t="shared" si="206"/>
        <v>0</v>
      </c>
      <c r="AW303" s="1980">
        <f t="shared" si="207"/>
        <v>0</v>
      </c>
      <c r="AX303" s="1980">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94"/>
      <c r="C304" s="1395"/>
      <c r="D304" s="80"/>
      <c r="E304" s="87">
        <f t="shared" si="205"/>
        <v>0</v>
      </c>
      <c r="F304" s="88"/>
      <c r="G304" s="89">
        <f t="shared" si="180"/>
        <v>0</v>
      </c>
      <c r="H304" s="90">
        <f t="shared" si="181"/>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97"/>
      <c r="AG304" s="92"/>
      <c r="AH304" s="92"/>
      <c r="AI304" s="92"/>
      <c r="AJ304" s="92"/>
      <c r="AK304" s="92"/>
      <c r="AL304" s="92"/>
      <c r="AM304" s="92"/>
      <c r="AN304" s="92"/>
      <c r="AO304" s="92"/>
      <c r="AP304" s="92"/>
      <c r="AQ304" s="92"/>
      <c r="AR304" s="92"/>
      <c r="AS304" s="92"/>
      <c r="AT304" s="93"/>
      <c r="AU304" s="94"/>
      <c r="AV304" s="1980">
        <f t="shared" si="206"/>
        <v>0</v>
      </c>
      <c r="AW304" s="1980">
        <f t="shared" si="207"/>
        <v>0</v>
      </c>
      <c r="AX304" s="1980">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96"/>
      <c r="C305" s="1397"/>
      <c r="D305" s="80"/>
      <c r="E305" s="87">
        <f t="shared" si="205"/>
        <v>0</v>
      </c>
      <c r="F305" s="88"/>
      <c r="G305" s="89">
        <f t="shared" si="180"/>
        <v>0</v>
      </c>
      <c r="H305" s="90">
        <f t="shared" si="181"/>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97"/>
      <c r="AG305" s="92"/>
      <c r="AH305" s="92"/>
      <c r="AI305" s="92"/>
      <c r="AJ305" s="92"/>
      <c r="AK305" s="92"/>
      <c r="AL305" s="92"/>
      <c r="AM305" s="92"/>
      <c r="AN305" s="92"/>
      <c r="AO305" s="92"/>
      <c r="AP305" s="92"/>
      <c r="AQ305" s="92"/>
      <c r="AR305" s="92"/>
      <c r="AS305" s="92"/>
      <c r="AT305" s="93"/>
      <c r="AU305" s="94"/>
      <c r="AV305" s="1980">
        <f t="shared" si="206"/>
        <v>0</v>
      </c>
      <c r="AW305" s="1980">
        <f t="shared" si="207"/>
        <v>0</v>
      </c>
      <c r="AX305" s="1980">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94"/>
      <c r="C306" s="1395"/>
      <c r="D306" s="80"/>
      <c r="E306" s="87">
        <f t="shared" si="205"/>
        <v>0</v>
      </c>
      <c r="F306" s="88"/>
      <c r="G306" s="89">
        <f t="shared" si="180"/>
        <v>0</v>
      </c>
      <c r="H306" s="90">
        <f t="shared" si="181"/>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97"/>
      <c r="AG306" s="92"/>
      <c r="AH306" s="92"/>
      <c r="AI306" s="92"/>
      <c r="AJ306" s="92"/>
      <c r="AK306" s="92"/>
      <c r="AL306" s="92"/>
      <c r="AM306" s="92"/>
      <c r="AN306" s="92"/>
      <c r="AO306" s="92"/>
      <c r="AP306" s="92"/>
      <c r="AQ306" s="92"/>
      <c r="AR306" s="92"/>
      <c r="AS306" s="92"/>
      <c r="AT306" s="93"/>
      <c r="AU306" s="94"/>
      <c r="AV306" s="1980">
        <f t="shared" si="206"/>
        <v>0</v>
      </c>
      <c r="AW306" s="1980">
        <f t="shared" si="207"/>
        <v>0</v>
      </c>
      <c r="AX306" s="1980">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94"/>
      <c r="C307" s="1395"/>
      <c r="D307" s="80"/>
      <c r="E307" s="87">
        <f t="shared" si="205"/>
        <v>0</v>
      </c>
      <c r="F307" s="88"/>
      <c r="G307" s="89">
        <f t="shared" si="180"/>
        <v>0</v>
      </c>
      <c r="H307" s="90">
        <f t="shared" si="181"/>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97"/>
      <c r="AG307" s="92"/>
      <c r="AH307" s="92"/>
      <c r="AI307" s="92"/>
      <c r="AJ307" s="92"/>
      <c r="AK307" s="92"/>
      <c r="AL307" s="92"/>
      <c r="AM307" s="92"/>
      <c r="AN307" s="92"/>
      <c r="AO307" s="92"/>
      <c r="AP307" s="92"/>
      <c r="AQ307" s="92"/>
      <c r="AR307" s="92"/>
      <c r="AS307" s="92"/>
      <c r="AT307" s="93"/>
      <c r="AU307" s="94"/>
      <c r="AV307" s="1980">
        <f t="shared" si="206"/>
        <v>0</v>
      </c>
      <c r="AW307" s="1980">
        <f t="shared" si="207"/>
        <v>0</v>
      </c>
      <c r="AX307" s="1980">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94"/>
      <c r="C308" s="1395"/>
      <c r="D308" s="80"/>
      <c r="E308" s="87">
        <f t="shared" si="205"/>
        <v>0</v>
      </c>
      <c r="F308" s="88"/>
      <c r="G308" s="89">
        <f t="shared" si="180"/>
        <v>0</v>
      </c>
      <c r="H308" s="90">
        <f t="shared" si="181"/>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97"/>
      <c r="AG308" s="92"/>
      <c r="AH308" s="92"/>
      <c r="AI308" s="92"/>
      <c r="AJ308" s="92"/>
      <c r="AK308" s="92"/>
      <c r="AL308" s="92"/>
      <c r="AM308" s="92"/>
      <c r="AN308" s="92"/>
      <c r="AO308" s="92"/>
      <c r="AP308" s="92"/>
      <c r="AQ308" s="92"/>
      <c r="AR308" s="92"/>
      <c r="AS308" s="92"/>
      <c r="AT308" s="93"/>
      <c r="AU308" s="94"/>
      <c r="AV308" s="1980">
        <f t="shared" si="206"/>
        <v>0</v>
      </c>
      <c r="AW308" s="1980">
        <f t="shared" si="207"/>
        <v>0</v>
      </c>
      <c r="AX308" s="1980">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94"/>
      <c r="C309" s="1395"/>
      <c r="D309" s="80"/>
      <c r="E309" s="87">
        <f t="shared" si="205"/>
        <v>0</v>
      </c>
      <c r="F309" s="88"/>
      <c r="G309" s="89">
        <f t="shared" si="180"/>
        <v>0</v>
      </c>
      <c r="H309" s="90">
        <f t="shared" si="181"/>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97"/>
      <c r="AG309" s="92"/>
      <c r="AH309" s="92"/>
      <c r="AI309" s="92"/>
      <c r="AJ309" s="92"/>
      <c r="AK309" s="92"/>
      <c r="AL309" s="92"/>
      <c r="AM309" s="92"/>
      <c r="AN309" s="92"/>
      <c r="AO309" s="92"/>
      <c r="AP309" s="92"/>
      <c r="AQ309" s="92"/>
      <c r="AR309" s="92"/>
      <c r="AS309" s="92"/>
      <c r="AT309" s="93"/>
      <c r="AU309" s="94"/>
      <c r="AV309" s="1980">
        <f t="shared" si="206"/>
        <v>0</v>
      </c>
      <c r="AW309" s="1980">
        <f t="shared" si="207"/>
        <v>0</v>
      </c>
      <c r="AX309" s="1980">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94"/>
      <c r="C310" s="1395"/>
      <c r="D310" s="80"/>
      <c r="E310" s="87">
        <f t="shared" si="205"/>
        <v>0</v>
      </c>
      <c r="F310" s="88"/>
      <c r="G310" s="89">
        <f t="shared" si="180"/>
        <v>0</v>
      </c>
      <c r="H310" s="90">
        <f t="shared" si="181"/>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97"/>
      <c r="AG310" s="92"/>
      <c r="AH310" s="92"/>
      <c r="AI310" s="92"/>
      <c r="AJ310" s="92"/>
      <c r="AK310" s="92"/>
      <c r="AL310" s="92"/>
      <c r="AM310" s="92"/>
      <c r="AN310" s="92"/>
      <c r="AO310" s="92"/>
      <c r="AP310" s="92"/>
      <c r="AQ310" s="92"/>
      <c r="AR310" s="92"/>
      <c r="AS310" s="92"/>
      <c r="AT310" s="93"/>
      <c r="AU310" s="94"/>
      <c r="AV310" s="1980">
        <f t="shared" si="206"/>
        <v>0</v>
      </c>
      <c r="AW310" s="1980">
        <f t="shared" si="207"/>
        <v>0</v>
      </c>
      <c r="AX310" s="1980">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94"/>
      <c r="C311" s="1395"/>
      <c r="D311" s="80"/>
      <c r="E311" s="87">
        <f t="shared" si="205"/>
        <v>0</v>
      </c>
      <c r="F311" s="88"/>
      <c r="G311" s="89">
        <f t="shared" si="180"/>
        <v>0</v>
      </c>
      <c r="H311" s="90">
        <f t="shared" si="181"/>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97"/>
      <c r="AG311" s="92"/>
      <c r="AH311" s="92"/>
      <c r="AI311" s="92"/>
      <c r="AJ311" s="92"/>
      <c r="AK311" s="92"/>
      <c r="AL311" s="92"/>
      <c r="AM311" s="92"/>
      <c r="AN311" s="92"/>
      <c r="AO311" s="92"/>
      <c r="AP311" s="92"/>
      <c r="AQ311" s="92"/>
      <c r="AR311" s="92"/>
      <c r="AS311" s="92"/>
      <c r="AT311" s="93"/>
      <c r="AU311" s="94"/>
      <c r="AV311" s="1980">
        <f t="shared" si="206"/>
        <v>0</v>
      </c>
      <c r="AW311" s="1980">
        <f t="shared" si="207"/>
        <v>0</v>
      </c>
      <c r="AX311" s="1980">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94"/>
      <c r="C312" s="1395"/>
      <c r="D312" s="80"/>
      <c r="E312" s="87">
        <f t="shared" si="205"/>
        <v>0</v>
      </c>
      <c r="F312" s="88"/>
      <c r="G312" s="89">
        <f t="shared" si="180"/>
        <v>0</v>
      </c>
      <c r="H312" s="90">
        <f t="shared" si="181"/>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97"/>
      <c r="AG312" s="92"/>
      <c r="AH312" s="92"/>
      <c r="AI312" s="92"/>
      <c r="AJ312" s="92"/>
      <c r="AK312" s="92"/>
      <c r="AL312" s="92"/>
      <c r="AM312" s="92"/>
      <c r="AN312" s="92"/>
      <c r="AO312" s="92"/>
      <c r="AP312" s="92"/>
      <c r="AQ312" s="92"/>
      <c r="AR312" s="92"/>
      <c r="AS312" s="92"/>
      <c r="AT312" s="93"/>
      <c r="AU312" s="94"/>
      <c r="AV312" s="1980">
        <f t="shared" si="206"/>
        <v>0</v>
      </c>
      <c r="AW312" s="1980">
        <f t="shared" si="207"/>
        <v>0</v>
      </c>
      <c r="AX312" s="1980">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94"/>
      <c r="C313" s="1395"/>
      <c r="D313" s="80"/>
      <c r="E313" s="87">
        <f t="shared" si="205"/>
        <v>0</v>
      </c>
      <c r="F313" s="88"/>
      <c r="G313" s="89">
        <f t="shared" si="180"/>
        <v>0</v>
      </c>
      <c r="H313" s="90">
        <f t="shared" si="181"/>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97"/>
      <c r="AG313" s="92"/>
      <c r="AH313" s="92"/>
      <c r="AI313" s="92"/>
      <c r="AJ313" s="92"/>
      <c r="AK313" s="92"/>
      <c r="AL313" s="92"/>
      <c r="AM313" s="92"/>
      <c r="AN313" s="92"/>
      <c r="AO313" s="92"/>
      <c r="AP313" s="92"/>
      <c r="AQ313" s="92"/>
      <c r="AR313" s="92"/>
      <c r="AS313" s="92"/>
      <c r="AT313" s="93"/>
      <c r="AU313" s="94"/>
      <c r="AV313" s="1980">
        <f t="shared" si="206"/>
        <v>0</v>
      </c>
      <c r="AW313" s="1980">
        <f t="shared" si="207"/>
        <v>0</v>
      </c>
      <c r="AX313" s="1980">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94"/>
      <c r="C314" s="1395"/>
      <c r="D314" s="80"/>
      <c r="E314" s="87">
        <f t="shared" si="205"/>
        <v>0</v>
      </c>
      <c r="F314" s="88"/>
      <c r="G314" s="89">
        <f t="shared" si="180"/>
        <v>0</v>
      </c>
      <c r="H314" s="90">
        <f t="shared" si="181"/>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97"/>
      <c r="AG314" s="92"/>
      <c r="AH314" s="92"/>
      <c r="AI314" s="92"/>
      <c r="AJ314" s="92"/>
      <c r="AK314" s="92"/>
      <c r="AL314" s="92"/>
      <c r="AM314" s="92"/>
      <c r="AN314" s="92"/>
      <c r="AO314" s="92"/>
      <c r="AP314" s="92"/>
      <c r="AQ314" s="92"/>
      <c r="AR314" s="92"/>
      <c r="AS314" s="92"/>
      <c r="AT314" s="93"/>
      <c r="AU314" s="94"/>
      <c r="AV314" s="1980">
        <f t="shared" si="206"/>
        <v>0</v>
      </c>
      <c r="AW314" s="1980">
        <f t="shared" si="207"/>
        <v>0</v>
      </c>
      <c r="AX314" s="1980">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94"/>
      <c r="C315" s="1395"/>
      <c r="D315" s="80"/>
      <c r="E315" s="87">
        <f t="shared" si="205"/>
        <v>0</v>
      </c>
      <c r="F315" s="88"/>
      <c r="G315" s="89">
        <f t="shared" si="180"/>
        <v>0</v>
      </c>
      <c r="H315" s="90">
        <f t="shared" si="181"/>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97"/>
      <c r="AG315" s="92"/>
      <c r="AH315" s="92"/>
      <c r="AI315" s="92"/>
      <c r="AJ315" s="92"/>
      <c r="AK315" s="92"/>
      <c r="AL315" s="92"/>
      <c r="AM315" s="92"/>
      <c r="AN315" s="92"/>
      <c r="AO315" s="92"/>
      <c r="AP315" s="92"/>
      <c r="AQ315" s="92"/>
      <c r="AR315" s="92"/>
      <c r="AS315" s="92"/>
      <c r="AT315" s="93"/>
      <c r="AU315" s="94"/>
      <c r="AV315" s="1980">
        <f t="shared" si="206"/>
        <v>0</v>
      </c>
      <c r="AW315" s="1980">
        <f t="shared" si="207"/>
        <v>0</v>
      </c>
      <c r="AX315" s="1980">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94"/>
      <c r="C316" s="1395"/>
      <c r="D316" s="80"/>
      <c r="E316" s="87">
        <f t="shared" si="205"/>
        <v>0</v>
      </c>
      <c r="F316" s="88"/>
      <c r="G316" s="89">
        <f t="shared" si="180"/>
        <v>0</v>
      </c>
      <c r="H316" s="90">
        <f t="shared" si="181"/>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97"/>
      <c r="AG316" s="92"/>
      <c r="AH316" s="92"/>
      <c r="AI316" s="92"/>
      <c r="AJ316" s="92"/>
      <c r="AK316" s="92"/>
      <c r="AL316" s="92"/>
      <c r="AM316" s="92"/>
      <c r="AN316" s="92"/>
      <c r="AO316" s="92"/>
      <c r="AP316" s="92"/>
      <c r="AQ316" s="92"/>
      <c r="AR316" s="92"/>
      <c r="AS316" s="92"/>
      <c r="AT316" s="93"/>
      <c r="AU316" s="94"/>
      <c r="AV316" s="1980">
        <f t="shared" si="206"/>
        <v>0</v>
      </c>
      <c r="AW316" s="1980">
        <f t="shared" si="207"/>
        <v>0</v>
      </c>
      <c r="AX316" s="1980">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94"/>
      <c r="C317" s="1395"/>
      <c r="D317" s="80"/>
      <c r="E317" s="87">
        <f t="shared" si="205"/>
        <v>0</v>
      </c>
      <c r="F317" s="88"/>
      <c r="G317" s="89">
        <f t="shared" si="180"/>
        <v>0</v>
      </c>
      <c r="H317" s="90">
        <f t="shared" si="181"/>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97"/>
      <c r="AG317" s="92"/>
      <c r="AH317" s="92"/>
      <c r="AI317" s="92"/>
      <c r="AJ317" s="92"/>
      <c r="AK317" s="92"/>
      <c r="AL317" s="92"/>
      <c r="AM317" s="92"/>
      <c r="AN317" s="92"/>
      <c r="AO317" s="92"/>
      <c r="AP317" s="92"/>
      <c r="AQ317" s="92"/>
      <c r="AR317" s="92"/>
      <c r="AS317" s="92"/>
      <c r="AT317" s="93"/>
      <c r="AU317" s="94"/>
      <c r="AV317" s="1980">
        <f t="shared" si="206"/>
        <v>0</v>
      </c>
      <c r="AW317" s="1980">
        <f t="shared" si="207"/>
        <v>0</v>
      </c>
      <c r="AX317" s="1980">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94"/>
      <c r="C318" s="1395"/>
      <c r="D318" s="80"/>
      <c r="E318" s="87">
        <f t="shared" si="205"/>
        <v>0</v>
      </c>
      <c r="F318" s="88"/>
      <c r="G318" s="89">
        <f t="shared" si="180"/>
        <v>0</v>
      </c>
      <c r="H318" s="90">
        <f t="shared" si="181"/>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97"/>
      <c r="AG318" s="92"/>
      <c r="AH318" s="92"/>
      <c r="AI318" s="92"/>
      <c r="AJ318" s="92"/>
      <c r="AK318" s="92"/>
      <c r="AL318" s="92"/>
      <c r="AM318" s="92"/>
      <c r="AN318" s="92"/>
      <c r="AO318" s="92"/>
      <c r="AP318" s="92"/>
      <c r="AQ318" s="92"/>
      <c r="AR318" s="92"/>
      <c r="AS318" s="92"/>
      <c r="AT318" s="93"/>
      <c r="AU318" s="94"/>
      <c r="AV318" s="1980">
        <f t="shared" si="206"/>
        <v>0</v>
      </c>
      <c r="AW318" s="1980">
        <f t="shared" si="207"/>
        <v>0</v>
      </c>
      <c r="AX318" s="1980">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94"/>
      <c r="C319" s="1395"/>
      <c r="D319" s="80"/>
      <c r="E319" s="87">
        <f t="shared" si="205"/>
        <v>0</v>
      </c>
      <c r="F319" s="88"/>
      <c r="G319" s="89">
        <f t="shared" si="180"/>
        <v>0</v>
      </c>
      <c r="H319" s="90">
        <f t="shared" si="181"/>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97"/>
      <c r="AG319" s="92"/>
      <c r="AH319" s="92"/>
      <c r="AI319" s="92"/>
      <c r="AJ319" s="92"/>
      <c r="AK319" s="92"/>
      <c r="AL319" s="92"/>
      <c r="AM319" s="92"/>
      <c r="AN319" s="92"/>
      <c r="AO319" s="92"/>
      <c r="AP319" s="92"/>
      <c r="AQ319" s="92"/>
      <c r="AR319" s="92"/>
      <c r="AS319" s="92"/>
      <c r="AT319" s="93"/>
      <c r="AU319" s="94"/>
      <c r="AV319" s="1980">
        <f t="shared" si="206"/>
        <v>0</v>
      </c>
      <c r="AW319" s="1980">
        <f t="shared" si="207"/>
        <v>0</v>
      </c>
      <c r="AX319" s="1980">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94"/>
      <c r="C320" s="1395"/>
      <c r="D320" s="80"/>
      <c r="E320" s="87">
        <f t="shared" si="205"/>
        <v>0</v>
      </c>
      <c r="F320" s="88"/>
      <c r="G320" s="89">
        <f t="shared" si="180"/>
        <v>0</v>
      </c>
      <c r="H320" s="90">
        <f t="shared" si="181"/>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97"/>
      <c r="AG320" s="92"/>
      <c r="AH320" s="92"/>
      <c r="AI320" s="92"/>
      <c r="AJ320" s="92"/>
      <c r="AK320" s="92"/>
      <c r="AL320" s="92"/>
      <c r="AM320" s="92"/>
      <c r="AN320" s="92"/>
      <c r="AO320" s="92"/>
      <c r="AP320" s="92"/>
      <c r="AQ320" s="92"/>
      <c r="AR320" s="92"/>
      <c r="AS320" s="92"/>
      <c r="AT320" s="93"/>
      <c r="AU320" s="94"/>
      <c r="AV320" s="1980">
        <f t="shared" si="206"/>
        <v>0</v>
      </c>
      <c r="AW320" s="1980">
        <f t="shared" si="207"/>
        <v>0</v>
      </c>
      <c r="AX320" s="1980">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94"/>
      <c r="C321" s="1395"/>
      <c r="D321" s="80"/>
      <c r="E321" s="87">
        <f t="shared" si="205"/>
        <v>0</v>
      </c>
      <c r="F321" s="88"/>
      <c r="G321" s="89">
        <f t="shared" si="180"/>
        <v>0</v>
      </c>
      <c r="H321" s="90">
        <f t="shared" si="181"/>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97"/>
      <c r="AG321" s="92"/>
      <c r="AH321" s="92"/>
      <c r="AI321" s="92"/>
      <c r="AJ321" s="92"/>
      <c r="AK321" s="92"/>
      <c r="AL321" s="92"/>
      <c r="AM321" s="92"/>
      <c r="AN321" s="92"/>
      <c r="AO321" s="92"/>
      <c r="AP321" s="92"/>
      <c r="AQ321" s="92"/>
      <c r="AR321" s="92"/>
      <c r="AS321" s="92"/>
      <c r="AT321" s="93"/>
      <c r="AU321" s="94"/>
      <c r="AV321" s="1980">
        <f t="shared" si="206"/>
        <v>0</v>
      </c>
      <c r="AW321" s="1980">
        <f t="shared" si="207"/>
        <v>0</v>
      </c>
      <c r="AX321" s="1980">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94"/>
      <c r="C322" s="1395"/>
      <c r="D322" s="80"/>
      <c r="E322" s="87">
        <f t="shared" si="205"/>
        <v>0</v>
      </c>
      <c r="F322" s="88"/>
      <c r="G322" s="89">
        <f t="shared" si="180"/>
        <v>0</v>
      </c>
      <c r="H322" s="90">
        <f t="shared" si="181"/>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97"/>
      <c r="AG322" s="92"/>
      <c r="AH322" s="92"/>
      <c r="AI322" s="92"/>
      <c r="AJ322" s="92"/>
      <c r="AK322" s="92"/>
      <c r="AL322" s="92"/>
      <c r="AM322" s="92"/>
      <c r="AN322" s="92"/>
      <c r="AO322" s="92"/>
      <c r="AP322" s="92"/>
      <c r="AQ322" s="92"/>
      <c r="AR322" s="92"/>
      <c r="AS322" s="92"/>
      <c r="AT322" s="93"/>
      <c r="AU322" s="94"/>
      <c r="AV322" s="1980">
        <f t="shared" si="206"/>
        <v>0</v>
      </c>
      <c r="AW322" s="1980">
        <f t="shared" si="207"/>
        <v>0</v>
      </c>
      <c r="AX322" s="1980">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94"/>
      <c r="C323" s="1395"/>
      <c r="D323" s="80"/>
      <c r="E323" s="87">
        <f t="shared" si="205"/>
        <v>0</v>
      </c>
      <c r="F323" s="88"/>
      <c r="G323" s="89">
        <f t="shared" si="180"/>
        <v>0</v>
      </c>
      <c r="H323" s="90">
        <f t="shared" si="181"/>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95"/>
      <c r="AG323" s="92"/>
      <c r="AH323" s="92"/>
      <c r="AI323" s="92"/>
      <c r="AJ323" s="92"/>
      <c r="AK323" s="92"/>
      <c r="AL323" s="92"/>
      <c r="AM323" s="92"/>
      <c r="AN323" s="92"/>
      <c r="AO323" s="92"/>
      <c r="AP323" s="92"/>
      <c r="AQ323" s="92"/>
      <c r="AR323" s="92"/>
      <c r="AS323" s="92"/>
      <c r="AT323" s="93"/>
      <c r="AU323" s="94"/>
      <c r="AV323" s="1980">
        <f t="shared" si="206"/>
        <v>0</v>
      </c>
      <c r="AW323" s="1980">
        <f t="shared" si="207"/>
        <v>0</v>
      </c>
      <c r="AX323" s="1980">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94"/>
      <c r="C324" s="1395"/>
      <c r="D324" s="80"/>
      <c r="E324" s="87">
        <f t="shared" si="205"/>
        <v>0</v>
      </c>
      <c r="F324" s="88"/>
      <c r="G324" s="89">
        <f t="shared" si="180"/>
        <v>0</v>
      </c>
      <c r="H324" s="90">
        <f t="shared" si="181"/>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95"/>
      <c r="AG324" s="92"/>
      <c r="AH324" s="92"/>
      <c r="AI324" s="92"/>
      <c r="AJ324" s="92"/>
      <c r="AK324" s="92"/>
      <c r="AL324" s="92"/>
      <c r="AM324" s="92"/>
      <c r="AN324" s="92"/>
      <c r="AO324" s="92"/>
      <c r="AP324" s="92"/>
      <c r="AQ324" s="92"/>
      <c r="AR324" s="92"/>
      <c r="AS324" s="92"/>
      <c r="AT324" s="93"/>
      <c r="AU324" s="94"/>
      <c r="AV324" s="1980">
        <f t="shared" si="206"/>
        <v>0</v>
      </c>
      <c r="AW324" s="1980">
        <f t="shared" si="207"/>
        <v>0</v>
      </c>
      <c r="AX324" s="1980">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94"/>
      <c r="C325" s="1395"/>
      <c r="D325" s="80"/>
      <c r="E325" s="87">
        <f t="shared" si="205"/>
        <v>0</v>
      </c>
      <c r="F325" s="88"/>
      <c r="G325" s="89">
        <f t="shared" si="180"/>
        <v>0</v>
      </c>
      <c r="H325" s="90">
        <f t="shared" si="181"/>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95"/>
      <c r="AG325" s="92"/>
      <c r="AH325" s="92"/>
      <c r="AI325" s="92"/>
      <c r="AJ325" s="92"/>
      <c r="AK325" s="92"/>
      <c r="AL325" s="92"/>
      <c r="AM325" s="92"/>
      <c r="AN325" s="92"/>
      <c r="AO325" s="92"/>
      <c r="AP325" s="92"/>
      <c r="AQ325" s="92"/>
      <c r="AR325" s="92"/>
      <c r="AS325" s="92"/>
      <c r="AT325" s="93"/>
      <c r="AU325" s="94"/>
      <c r="AV325" s="1980">
        <f t="shared" si="206"/>
        <v>0</v>
      </c>
      <c r="AW325" s="1980">
        <f t="shared" si="207"/>
        <v>0</v>
      </c>
      <c r="AX325" s="1980">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94"/>
      <c r="C326" s="1395"/>
      <c r="D326" s="80"/>
      <c r="E326" s="87">
        <f t="shared" si="205"/>
        <v>0</v>
      </c>
      <c r="F326" s="88"/>
      <c r="G326" s="89">
        <f t="shared" ref="G326:G357" si="209">H326+AC326+AT326</f>
        <v>0</v>
      </c>
      <c r="H326" s="90">
        <f t="shared" ref="H326:H357" si="210">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6"/>
        <v>0</v>
      </c>
      <c r="AW326" s="1980">
        <f t="shared" si="207"/>
        <v>0</v>
      </c>
      <c r="AX326" s="1980">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94"/>
      <c r="C327" s="1395"/>
      <c r="D327" s="80"/>
      <c r="E327" s="87">
        <f t="shared" si="205"/>
        <v>0</v>
      </c>
      <c r="F327" s="88"/>
      <c r="G327" s="89">
        <f t="shared" si="209"/>
        <v>0</v>
      </c>
      <c r="H327" s="90">
        <f t="shared" si="210"/>
        <v>0</v>
      </c>
      <c r="I327" s="1395"/>
      <c r="J327" s="91"/>
      <c r="K327" s="1395"/>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95"/>
      <c r="AG327" s="92"/>
      <c r="AH327" s="92"/>
      <c r="AI327" s="92"/>
      <c r="AJ327" s="92"/>
      <c r="AK327" s="92"/>
      <c r="AL327" s="92"/>
      <c r="AM327" s="92"/>
      <c r="AN327" s="92"/>
      <c r="AO327" s="92"/>
      <c r="AP327" s="92"/>
      <c r="AQ327" s="92"/>
      <c r="AR327" s="92"/>
      <c r="AS327" s="92"/>
      <c r="AT327" s="93"/>
      <c r="AU327" s="94"/>
      <c r="AV327" s="1980">
        <f t="shared" si="206"/>
        <v>0</v>
      </c>
      <c r="AW327" s="1980">
        <f t="shared" si="207"/>
        <v>0</v>
      </c>
      <c r="AX327" s="1980">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94"/>
      <c r="C328" s="1395"/>
      <c r="D328" s="80"/>
      <c r="E328" s="87">
        <f t="shared" si="205"/>
        <v>0</v>
      </c>
      <c r="F328" s="88"/>
      <c r="G328" s="89">
        <f t="shared" si="209"/>
        <v>0</v>
      </c>
      <c r="H328" s="90">
        <f t="shared" si="210"/>
        <v>0</v>
      </c>
      <c r="I328" s="1395"/>
      <c r="J328" s="91"/>
      <c r="K328" s="1395"/>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95"/>
      <c r="AG328" s="92"/>
      <c r="AH328" s="92"/>
      <c r="AI328" s="92"/>
      <c r="AJ328" s="92"/>
      <c r="AK328" s="92"/>
      <c r="AL328" s="92"/>
      <c r="AM328" s="92"/>
      <c r="AN328" s="92"/>
      <c r="AO328" s="92"/>
      <c r="AP328" s="92"/>
      <c r="AQ328" s="92"/>
      <c r="AR328" s="92"/>
      <c r="AS328" s="92"/>
      <c r="AT328" s="93"/>
      <c r="AU328" s="94"/>
      <c r="AV328" s="1980">
        <f t="shared" si="206"/>
        <v>0</v>
      </c>
      <c r="AW328" s="1980">
        <f t="shared" si="207"/>
        <v>0</v>
      </c>
      <c r="AX328" s="1980">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94"/>
      <c r="C329" s="1395"/>
      <c r="D329" s="80"/>
      <c r="E329" s="87">
        <f t="shared" ref="E329:E360" si="234">IF($C$3="是",ROUND($A$3*G329/$B$3,2),ROUND($A$3*(G329-AT329)/$B$3,2))</f>
        <v>0</v>
      </c>
      <c r="F329" s="88"/>
      <c r="G329" s="89">
        <f t="shared" si="209"/>
        <v>0</v>
      </c>
      <c r="H329" s="90">
        <f t="shared" si="210"/>
        <v>0</v>
      </c>
      <c r="I329" s="1395"/>
      <c r="J329" s="91"/>
      <c r="K329" s="1395"/>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5">A329</f>
        <v>0</v>
      </c>
      <c r="AW329" s="1980">
        <f t="shared" ref="AW329:AW360" si="236">B329</f>
        <v>0</v>
      </c>
      <c r="AX329" s="1980">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94"/>
      <c r="C330" s="1395"/>
      <c r="D330" s="80"/>
      <c r="E330" s="87">
        <f t="shared" si="234"/>
        <v>0</v>
      </c>
      <c r="F330" s="88"/>
      <c r="G330" s="89">
        <f t="shared" si="209"/>
        <v>0</v>
      </c>
      <c r="H330" s="90">
        <f t="shared" si="210"/>
        <v>0</v>
      </c>
      <c r="I330" s="1395"/>
      <c r="J330" s="91"/>
      <c r="K330" s="1395"/>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95"/>
      <c r="AG330" s="92"/>
      <c r="AH330" s="92"/>
      <c r="AI330" s="92"/>
      <c r="AJ330" s="92"/>
      <c r="AK330" s="92"/>
      <c r="AL330" s="92"/>
      <c r="AM330" s="92"/>
      <c r="AN330" s="92"/>
      <c r="AO330" s="92"/>
      <c r="AP330" s="92"/>
      <c r="AQ330" s="92"/>
      <c r="AR330" s="92"/>
      <c r="AS330" s="92"/>
      <c r="AT330" s="93"/>
      <c r="AU330" s="94"/>
      <c r="AV330" s="1980">
        <f t="shared" si="235"/>
        <v>0</v>
      </c>
      <c r="AW330" s="1980">
        <f t="shared" si="236"/>
        <v>0</v>
      </c>
      <c r="AX330" s="1980">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96"/>
      <c r="C331" s="1397"/>
      <c r="D331" s="80"/>
      <c r="E331" s="87">
        <f t="shared" si="234"/>
        <v>0</v>
      </c>
      <c r="F331" s="88"/>
      <c r="G331" s="89">
        <f t="shared" si="209"/>
        <v>0</v>
      </c>
      <c r="H331" s="90">
        <f t="shared" si="210"/>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11"/>
        <v>0</v>
      </c>
      <c r="AD331" s="92"/>
      <c r="AE331" s="92"/>
      <c r="AF331" s="1395"/>
      <c r="AG331" s="92"/>
      <c r="AH331" s="92"/>
      <c r="AI331" s="92"/>
      <c r="AJ331" s="92"/>
      <c r="AK331" s="92"/>
      <c r="AL331" s="92"/>
      <c r="AM331" s="92"/>
      <c r="AN331" s="92"/>
      <c r="AO331" s="92"/>
      <c r="AP331" s="92"/>
      <c r="AQ331" s="92"/>
      <c r="AR331" s="92"/>
      <c r="AS331" s="92"/>
      <c r="AT331" s="93"/>
      <c r="AU331" s="94"/>
      <c r="AV331" s="1980">
        <f t="shared" si="235"/>
        <v>0</v>
      </c>
      <c r="AW331" s="1980">
        <f t="shared" si="236"/>
        <v>0</v>
      </c>
      <c r="AX331" s="1980">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980">
        <f t="shared" si="235"/>
        <v>0</v>
      </c>
      <c r="AW332" s="1980">
        <f t="shared" si="236"/>
        <v>0</v>
      </c>
      <c r="AX332" s="1980">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980">
        <f t="shared" si="235"/>
        <v>0</v>
      </c>
      <c r="AW333" s="1980">
        <f t="shared" si="236"/>
        <v>0</v>
      </c>
      <c r="AX333" s="1980">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980">
        <f t="shared" si="235"/>
        <v>0</v>
      </c>
      <c r="AW334" s="1980">
        <f t="shared" si="236"/>
        <v>0</v>
      </c>
      <c r="AX334" s="1980">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980">
        <f t="shared" si="235"/>
        <v>0</v>
      </c>
      <c r="AW335" s="1980">
        <f t="shared" si="236"/>
        <v>0</v>
      </c>
      <c r="AX335" s="1980">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980">
        <f t="shared" si="235"/>
        <v>0</v>
      </c>
      <c r="AW336" s="1980">
        <f t="shared" si="236"/>
        <v>0</v>
      </c>
      <c r="AX336" s="1980">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980">
        <f t="shared" si="235"/>
        <v>0</v>
      </c>
      <c r="AW337" s="1980">
        <f t="shared" si="236"/>
        <v>0</v>
      </c>
      <c r="AX337" s="1980">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980">
        <f t="shared" si="235"/>
        <v>0</v>
      </c>
      <c r="AW338" s="1980">
        <f t="shared" si="236"/>
        <v>0</v>
      </c>
      <c r="AX338" s="1980">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980">
        <f t="shared" si="235"/>
        <v>0</v>
      </c>
      <c r="AW339" s="1980">
        <f t="shared" si="236"/>
        <v>0</v>
      </c>
      <c r="AX339" s="1980">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980">
        <f t="shared" si="235"/>
        <v>0</v>
      </c>
      <c r="AW340" s="1980">
        <f t="shared" si="236"/>
        <v>0</v>
      </c>
      <c r="AX340" s="1980">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980">
        <f t="shared" si="235"/>
        <v>0</v>
      </c>
      <c r="AW341" s="1980">
        <f t="shared" si="236"/>
        <v>0</v>
      </c>
      <c r="AX341" s="1980">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980">
        <f t="shared" si="235"/>
        <v>0</v>
      </c>
      <c r="AW342" s="1980">
        <f t="shared" si="236"/>
        <v>0</v>
      </c>
      <c r="AX342" s="1980">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980">
        <f t="shared" si="235"/>
        <v>0</v>
      </c>
      <c r="AW343" s="1980">
        <f t="shared" si="236"/>
        <v>0</v>
      </c>
      <c r="AX343" s="1980">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980">
        <f t="shared" si="235"/>
        <v>0</v>
      </c>
      <c r="AW344" s="1980">
        <f t="shared" si="236"/>
        <v>0</v>
      </c>
      <c r="AX344" s="1980">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980">
        <f t="shared" si="235"/>
        <v>0</v>
      </c>
      <c r="AW345" s="1980">
        <f t="shared" si="236"/>
        <v>0</v>
      </c>
      <c r="AX345" s="1980">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980">
        <f t="shared" si="235"/>
        <v>0</v>
      </c>
      <c r="AW346" s="1980">
        <f t="shared" si="236"/>
        <v>0</v>
      </c>
      <c r="AX346" s="1980">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980">
        <f t="shared" si="235"/>
        <v>0</v>
      </c>
      <c r="AW347" s="1980">
        <f t="shared" si="236"/>
        <v>0</v>
      </c>
      <c r="AX347" s="1980">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980">
        <f t="shared" si="235"/>
        <v>0</v>
      </c>
      <c r="AW348" s="1980">
        <f t="shared" si="236"/>
        <v>0</v>
      </c>
      <c r="AX348" s="1980">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980">
        <f t="shared" si="235"/>
        <v>0</v>
      </c>
      <c r="AW349" s="1980">
        <f t="shared" si="236"/>
        <v>0</v>
      </c>
      <c r="AX349" s="1980">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980">
        <f t="shared" si="235"/>
        <v>0</v>
      </c>
      <c r="AW350" s="1980">
        <f t="shared" si="236"/>
        <v>0</v>
      </c>
      <c r="AX350" s="1980">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980">
        <f t="shared" si="235"/>
        <v>0</v>
      </c>
      <c r="AW351" s="1980">
        <f t="shared" si="236"/>
        <v>0</v>
      </c>
      <c r="AX351" s="1980">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980">
        <f t="shared" si="235"/>
        <v>0</v>
      </c>
      <c r="AW352" s="1980">
        <f t="shared" si="236"/>
        <v>0</v>
      </c>
      <c r="AX352" s="1980">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980">
        <f t="shared" si="235"/>
        <v>0</v>
      </c>
      <c r="AW353" s="1980">
        <f t="shared" si="236"/>
        <v>0</v>
      </c>
      <c r="AX353" s="1980">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980">
        <f t="shared" si="235"/>
        <v>0</v>
      </c>
      <c r="AW354" s="1980">
        <f t="shared" si="236"/>
        <v>0</v>
      </c>
      <c r="AX354" s="1980">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980">
        <f t="shared" si="235"/>
        <v>0</v>
      </c>
      <c r="AW355" s="1980">
        <f t="shared" si="236"/>
        <v>0</v>
      </c>
      <c r="AX355" s="1980">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980">
        <f t="shared" si="235"/>
        <v>0</v>
      </c>
      <c r="AW356" s="1980">
        <f t="shared" si="236"/>
        <v>0</v>
      </c>
      <c r="AX356" s="1980">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980">
        <f t="shared" si="235"/>
        <v>0</v>
      </c>
      <c r="AW357" s="1980">
        <f t="shared" si="236"/>
        <v>0</v>
      </c>
      <c r="AX357" s="1980">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5"/>
        <v>0</v>
      </c>
      <c r="AW358" s="1980">
        <f t="shared" si="236"/>
        <v>0</v>
      </c>
      <c r="AX358" s="1980">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980">
        <f t="shared" si="235"/>
        <v>0</v>
      </c>
      <c r="AW359" s="1980">
        <f t="shared" si="236"/>
        <v>0</v>
      </c>
      <c r="AX359" s="1980">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980">
        <f t="shared" si="235"/>
        <v>0</v>
      </c>
      <c r="AW360" s="1980">
        <f t="shared" si="236"/>
        <v>0</v>
      </c>
      <c r="AX360" s="1980">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4">A361</f>
        <v>0</v>
      </c>
      <c r="AW361" s="1980">
        <f t="shared" ref="AW361:AW388" si="265">B361</f>
        <v>0</v>
      </c>
      <c r="AX361" s="1980">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980">
        <f t="shared" si="264"/>
        <v>0</v>
      </c>
      <c r="AW362" s="1980">
        <f t="shared" si="265"/>
        <v>0</v>
      </c>
      <c r="AX362" s="1980">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980">
        <f t="shared" si="264"/>
        <v>0</v>
      </c>
      <c r="AW363" s="1980">
        <f t="shared" si="265"/>
        <v>0</v>
      </c>
      <c r="AX363" s="1980">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980">
        <f t="shared" si="264"/>
        <v>0</v>
      </c>
      <c r="AW364" s="1980">
        <f t="shared" si="265"/>
        <v>0</v>
      </c>
      <c r="AX364" s="1980">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980">
        <f t="shared" si="264"/>
        <v>0</v>
      </c>
      <c r="AW365" s="1980">
        <f t="shared" si="265"/>
        <v>0</v>
      </c>
      <c r="AX365" s="1980">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980">
        <f t="shared" si="264"/>
        <v>0</v>
      </c>
      <c r="AW366" s="1980">
        <f t="shared" si="265"/>
        <v>0</v>
      </c>
      <c r="AX366" s="1980">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980">
        <f t="shared" si="264"/>
        <v>0</v>
      </c>
      <c r="AW367" s="1980">
        <f t="shared" si="265"/>
        <v>0</v>
      </c>
      <c r="AX367" s="1980">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980">
        <f t="shared" si="264"/>
        <v>0</v>
      </c>
      <c r="AW368" s="1980">
        <f t="shared" si="265"/>
        <v>0</v>
      </c>
      <c r="AX368" s="1980">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980">
        <f t="shared" si="264"/>
        <v>0</v>
      </c>
      <c r="AW369" s="1980">
        <f t="shared" si="265"/>
        <v>0</v>
      </c>
      <c r="AX369" s="1980">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980">
        <f t="shared" si="264"/>
        <v>0</v>
      </c>
      <c r="AW370" s="1980">
        <f t="shared" si="265"/>
        <v>0</v>
      </c>
      <c r="AX370" s="1980">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980">
        <f t="shared" si="264"/>
        <v>0</v>
      </c>
      <c r="AW371" s="1980">
        <f t="shared" si="265"/>
        <v>0</v>
      </c>
      <c r="AX371" s="1980">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980">
        <f t="shared" si="264"/>
        <v>0</v>
      </c>
      <c r="AW372" s="1980">
        <f t="shared" si="265"/>
        <v>0</v>
      </c>
      <c r="AX372" s="1980">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980">
        <f t="shared" si="264"/>
        <v>0</v>
      </c>
      <c r="AW373" s="1980">
        <f t="shared" si="265"/>
        <v>0</v>
      </c>
      <c r="AX373" s="1980">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980">
        <f t="shared" si="264"/>
        <v>0</v>
      </c>
      <c r="AW374" s="1980">
        <f t="shared" si="265"/>
        <v>0</v>
      </c>
      <c r="AX374" s="1980">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980">
        <f t="shared" si="264"/>
        <v>0</v>
      </c>
      <c r="AW375" s="1980">
        <f t="shared" si="265"/>
        <v>0</v>
      </c>
      <c r="AX375" s="1980">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980">
        <f t="shared" si="264"/>
        <v>0</v>
      </c>
      <c r="AW376" s="1980">
        <f t="shared" si="265"/>
        <v>0</v>
      </c>
      <c r="AX376" s="1980">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980">
        <f t="shared" si="264"/>
        <v>0</v>
      </c>
      <c r="AW377" s="1980">
        <f t="shared" si="265"/>
        <v>0</v>
      </c>
      <c r="AX377" s="1980">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980">
        <f t="shared" si="264"/>
        <v>0</v>
      </c>
      <c r="AW378" s="1980">
        <f t="shared" si="265"/>
        <v>0</v>
      </c>
      <c r="AX378" s="1980">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980">
        <f t="shared" si="264"/>
        <v>0</v>
      </c>
      <c r="AW379" s="1980">
        <f t="shared" si="265"/>
        <v>0</v>
      </c>
      <c r="AX379" s="1980">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980">
        <f t="shared" si="264"/>
        <v>0</v>
      </c>
      <c r="AW380" s="1980">
        <f t="shared" si="265"/>
        <v>0</v>
      </c>
      <c r="AX380" s="1980">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980">
        <f t="shared" si="264"/>
        <v>0</v>
      </c>
      <c r="AW381" s="1980">
        <f t="shared" si="265"/>
        <v>0</v>
      </c>
      <c r="AX381" s="1980">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980">
        <f t="shared" si="264"/>
        <v>0</v>
      </c>
      <c r="AW382" s="1980">
        <f t="shared" si="265"/>
        <v>0</v>
      </c>
      <c r="AX382" s="1980">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980">
        <f t="shared" si="264"/>
        <v>0</v>
      </c>
      <c r="AW383" s="1980">
        <f t="shared" si="265"/>
        <v>0</v>
      </c>
      <c r="AX383" s="1980">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980">
        <f t="shared" si="264"/>
        <v>0</v>
      </c>
      <c r="AW384" s="1980">
        <f t="shared" si="265"/>
        <v>0</v>
      </c>
      <c r="AX384" s="1980">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980">
        <f t="shared" si="264"/>
        <v>0</v>
      </c>
      <c r="AW385" s="1980">
        <f t="shared" si="265"/>
        <v>0</v>
      </c>
      <c r="AX385" s="1980">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980">
        <f t="shared" si="264"/>
        <v>0</v>
      </c>
      <c r="AW386" s="1980">
        <f t="shared" si="265"/>
        <v>0</v>
      </c>
      <c r="AX386" s="1980">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980">
        <f t="shared" si="264"/>
        <v>0</v>
      </c>
      <c r="AW387" s="1980">
        <f t="shared" si="265"/>
        <v>0</v>
      </c>
      <c r="AX387" s="1980">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980">
        <f t="shared" si="264"/>
        <v>0</v>
      </c>
      <c r="AW388" s="1980">
        <f t="shared" si="265"/>
        <v>0</v>
      </c>
      <c r="AX388" s="1980">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94"/>
      <c r="C389" s="1395"/>
      <c r="D389" s="80"/>
      <c r="E389" s="87">
        <f t="shared" ref="E389:E480" si="267">IF($C$3="是",ROUND($A$3*G389/$B$3,2),ROUND($A$3*(G389-AT389)/$B$3,2))</f>
        <v>0</v>
      </c>
      <c r="F389" s="88"/>
      <c r="G389" s="89">
        <f t="shared" ref="G389:G477" si="268">H389+AC389+AT389</f>
        <v>0</v>
      </c>
      <c r="H389" s="90">
        <f t="shared" ref="H389:H477" si="269">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71">A389</f>
        <v>0</v>
      </c>
      <c r="AW389" s="1980">
        <f t="shared" ref="AW389:AW480" si="272">B389</f>
        <v>0</v>
      </c>
      <c r="AX389" s="1980">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94"/>
      <c r="C390" s="1395"/>
      <c r="D390" s="80"/>
      <c r="E390" s="87">
        <f t="shared" si="267"/>
        <v>0</v>
      </c>
      <c r="F390" s="88"/>
      <c r="G390" s="89">
        <f t="shared" si="268"/>
        <v>0</v>
      </c>
      <c r="H390" s="90">
        <f t="shared" si="269"/>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70"/>
        <v>0</v>
      </c>
      <c r="AD390" s="1364"/>
      <c r="AE390" s="92"/>
      <c r="AF390" s="1398"/>
      <c r="AG390" s="92"/>
      <c r="AH390" s="92"/>
      <c r="AI390" s="92"/>
      <c r="AJ390" s="92"/>
      <c r="AK390" s="92"/>
      <c r="AL390" s="1364"/>
      <c r="AM390" s="92"/>
      <c r="AN390" s="1364"/>
      <c r="AO390" s="92"/>
      <c r="AP390" s="92"/>
      <c r="AQ390" s="92"/>
      <c r="AR390" s="92"/>
      <c r="AS390" s="92"/>
      <c r="AT390" s="93"/>
      <c r="AU390" s="94"/>
      <c r="AV390" s="1980">
        <f t="shared" si="271"/>
        <v>0</v>
      </c>
      <c r="AW390" s="1980">
        <f t="shared" si="272"/>
        <v>0</v>
      </c>
      <c r="AX390" s="1980">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94"/>
      <c r="C391" s="1395"/>
      <c r="D391" s="80"/>
      <c r="E391" s="87">
        <f t="shared" si="267"/>
        <v>0</v>
      </c>
      <c r="F391" s="88"/>
      <c r="G391" s="89">
        <f t="shared" si="268"/>
        <v>0</v>
      </c>
      <c r="H391" s="90">
        <f t="shared" si="269"/>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70"/>
        <v>0</v>
      </c>
      <c r="AD391" s="92"/>
      <c r="AE391" s="92"/>
      <c r="AF391" s="1398"/>
      <c r="AG391" s="92"/>
      <c r="AH391" s="92"/>
      <c r="AI391" s="92"/>
      <c r="AJ391" s="92"/>
      <c r="AK391" s="92"/>
      <c r="AL391" s="1364"/>
      <c r="AM391" s="92"/>
      <c r="AN391" s="1364"/>
      <c r="AO391" s="92"/>
      <c r="AP391" s="92"/>
      <c r="AQ391" s="92"/>
      <c r="AR391" s="92"/>
      <c r="AS391" s="92"/>
      <c r="AT391" s="93"/>
      <c r="AU391" s="94"/>
      <c r="AV391" s="1980">
        <f t="shared" si="271"/>
        <v>0</v>
      </c>
      <c r="AW391" s="1980">
        <f t="shared" si="272"/>
        <v>0</v>
      </c>
      <c r="AX391" s="1980">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94"/>
      <c r="C392" s="1395"/>
      <c r="D392" s="80"/>
      <c r="E392" s="87">
        <f t="shared" si="267"/>
        <v>0</v>
      </c>
      <c r="F392" s="88"/>
      <c r="G392" s="89">
        <f t="shared" si="268"/>
        <v>0</v>
      </c>
      <c r="H392" s="90">
        <f t="shared" si="269"/>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70"/>
        <v>0</v>
      </c>
      <c r="AD392" s="92"/>
      <c r="AE392" s="92"/>
      <c r="AF392" s="1398"/>
      <c r="AG392" s="92"/>
      <c r="AH392" s="92"/>
      <c r="AI392" s="92"/>
      <c r="AJ392" s="92"/>
      <c r="AK392" s="92"/>
      <c r="AL392" s="92"/>
      <c r="AM392" s="92"/>
      <c r="AN392" s="1364"/>
      <c r="AO392" s="92"/>
      <c r="AP392" s="92"/>
      <c r="AQ392" s="92"/>
      <c r="AR392" s="92"/>
      <c r="AS392" s="92"/>
      <c r="AT392" s="93"/>
      <c r="AU392" s="94"/>
      <c r="AV392" s="1980">
        <f t="shared" si="271"/>
        <v>0</v>
      </c>
      <c r="AW392" s="1980">
        <f t="shared" si="272"/>
        <v>0</v>
      </c>
      <c r="AX392" s="1980">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94"/>
      <c r="C393" s="1395"/>
      <c r="D393" s="80"/>
      <c r="E393" s="87">
        <f t="shared" si="267"/>
        <v>0</v>
      </c>
      <c r="F393" s="88"/>
      <c r="G393" s="89">
        <f t="shared" si="268"/>
        <v>0</v>
      </c>
      <c r="H393" s="90">
        <f t="shared" si="269"/>
        <v>0</v>
      </c>
      <c r="I393" s="1397"/>
      <c r="J393" s="91"/>
      <c r="K393" s="1397"/>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98"/>
      <c r="AG393" s="92"/>
      <c r="AH393" s="92"/>
      <c r="AI393" s="92"/>
      <c r="AJ393" s="92"/>
      <c r="AK393" s="92"/>
      <c r="AL393" s="92"/>
      <c r="AM393" s="92"/>
      <c r="AN393" s="92"/>
      <c r="AO393" s="92"/>
      <c r="AP393" s="92"/>
      <c r="AQ393" s="92"/>
      <c r="AR393" s="92"/>
      <c r="AS393" s="92"/>
      <c r="AT393" s="93"/>
      <c r="AU393" s="94"/>
      <c r="AV393" s="1980">
        <f t="shared" si="271"/>
        <v>0</v>
      </c>
      <c r="AW393" s="1980">
        <f t="shared" si="272"/>
        <v>0</v>
      </c>
      <c r="AX393" s="1980">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94"/>
      <c r="C394" s="1395"/>
      <c r="D394" s="80"/>
      <c r="E394" s="87">
        <f t="shared" si="267"/>
        <v>0</v>
      </c>
      <c r="F394" s="88"/>
      <c r="G394" s="89">
        <f t="shared" si="268"/>
        <v>0</v>
      </c>
      <c r="H394" s="90">
        <f t="shared" si="269"/>
        <v>0</v>
      </c>
      <c r="I394" s="1397"/>
      <c r="J394" s="91"/>
      <c r="K394" s="1397"/>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98"/>
      <c r="AG394" s="92"/>
      <c r="AH394" s="92"/>
      <c r="AI394" s="92"/>
      <c r="AJ394" s="92"/>
      <c r="AK394" s="92"/>
      <c r="AL394" s="92"/>
      <c r="AM394" s="92"/>
      <c r="AN394" s="92"/>
      <c r="AO394" s="92"/>
      <c r="AP394" s="92"/>
      <c r="AQ394" s="92"/>
      <c r="AR394" s="92"/>
      <c r="AS394" s="92"/>
      <c r="AT394" s="93"/>
      <c r="AU394" s="94"/>
      <c r="AV394" s="1980">
        <f t="shared" si="271"/>
        <v>0</v>
      </c>
      <c r="AW394" s="1980">
        <f t="shared" si="272"/>
        <v>0</v>
      </c>
      <c r="AX394" s="1980">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94"/>
      <c r="C395" s="1395"/>
      <c r="D395" s="80"/>
      <c r="E395" s="87">
        <f t="shared" si="267"/>
        <v>0</v>
      </c>
      <c r="F395" s="88"/>
      <c r="G395" s="89">
        <f t="shared" si="268"/>
        <v>0</v>
      </c>
      <c r="H395" s="90">
        <f t="shared" si="269"/>
        <v>0</v>
      </c>
      <c r="I395" s="1397"/>
      <c r="J395" s="91"/>
      <c r="K395" s="1397"/>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98"/>
      <c r="AG395" s="92"/>
      <c r="AH395" s="92"/>
      <c r="AI395" s="92"/>
      <c r="AJ395" s="92"/>
      <c r="AK395" s="92"/>
      <c r="AL395" s="92"/>
      <c r="AM395" s="92"/>
      <c r="AN395" s="92"/>
      <c r="AO395" s="92"/>
      <c r="AP395" s="92"/>
      <c r="AQ395" s="92"/>
      <c r="AR395" s="92"/>
      <c r="AS395" s="92"/>
      <c r="AT395" s="93"/>
      <c r="AU395" s="94"/>
      <c r="AV395" s="1980">
        <f t="shared" si="271"/>
        <v>0</v>
      </c>
      <c r="AW395" s="1980">
        <f t="shared" si="272"/>
        <v>0</v>
      </c>
      <c r="AX395" s="1980">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94"/>
      <c r="C396" s="1395"/>
      <c r="D396" s="80"/>
      <c r="E396" s="87">
        <f t="shared" si="267"/>
        <v>0</v>
      </c>
      <c r="F396" s="88"/>
      <c r="G396" s="89">
        <f t="shared" si="268"/>
        <v>0</v>
      </c>
      <c r="H396" s="90">
        <f t="shared" si="269"/>
        <v>0</v>
      </c>
      <c r="I396" s="1397"/>
      <c r="J396" s="91"/>
      <c r="K396" s="1397"/>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97"/>
      <c r="AG396" s="92"/>
      <c r="AH396" s="92"/>
      <c r="AI396" s="92"/>
      <c r="AJ396" s="92"/>
      <c r="AK396" s="92"/>
      <c r="AL396" s="92"/>
      <c r="AM396" s="92"/>
      <c r="AN396" s="92"/>
      <c r="AO396" s="92"/>
      <c r="AP396" s="92"/>
      <c r="AQ396" s="92"/>
      <c r="AR396" s="92"/>
      <c r="AS396" s="92"/>
      <c r="AT396" s="93"/>
      <c r="AU396" s="94"/>
      <c r="AV396" s="1980">
        <f t="shared" si="271"/>
        <v>0</v>
      </c>
      <c r="AW396" s="1980">
        <f t="shared" si="272"/>
        <v>0</v>
      </c>
      <c r="AX396" s="1980">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96"/>
      <c r="C397" s="1397"/>
      <c r="D397" s="80"/>
      <c r="E397" s="87">
        <f t="shared" si="267"/>
        <v>0</v>
      </c>
      <c r="F397" s="88"/>
      <c r="G397" s="89">
        <f t="shared" si="268"/>
        <v>0</v>
      </c>
      <c r="H397" s="90">
        <f t="shared" si="269"/>
        <v>0</v>
      </c>
      <c r="I397" s="1397"/>
      <c r="J397" s="91"/>
      <c r="K397" s="1397"/>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97"/>
      <c r="AG397" s="92"/>
      <c r="AH397" s="92"/>
      <c r="AI397" s="92"/>
      <c r="AJ397" s="92"/>
      <c r="AK397" s="92"/>
      <c r="AL397" s="92"/>
      <c r="AM397" s="92"/>
      <c r="AN397" s="92"/>
      <c r="AO397" s="92"/>
      <c r="AP397" s="92"/>
      <c r="AQ397" s="92"/>
      <c r="AR397" s="92"/>
      <c r="AS397" s="92"/>
      <c r="AT397" s="93"/>
      <c r="AU397" s="94"/>
      <c r="AV397" s="1980">
        <f t="shared" si="271"/>
        <v>0</v>
      </c>
      <c r="AW397" s="1980">
        <f t="shared" si="272"/>
        <v>0</v>
      </c>
      <c r="AX397" s="1980">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94"/>
      <c r="C398" s="1395"/>
      <c r="D398" s="80"/>
      <c r="E398" s="87">
        <f t="shared" si="267"/>
        <v>0</v>
      </c>
      <c r="F398" s="88"/>
      <c r="G398" s="89">
        <f t="shared" si="268"/>
        <v>0</v>
      </c>
      <c r="H398" s="90">
        <f t="shared" si="269"/>
        <v>0</v>
      </c>
      <c r="I398" s="1397"/>
      <c r="J398" s="91"/>
      <c r="K398" s="1397"/>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97"/>
      <c r="AG398" s="92"/>
      <c r="AH398" s="92"/>
      <c r="AI398" s="92"/>
      <c r="AJ398" s="92"/>
      <c r="AK398" s="92"/>
      <c r="AL398" s="92"/>
      <c r="AM398" s="92"/>
      <c r="AN398" s="92"/>
      <c r="AO398" s="92"/>
      <c r="AP398" s="92"/>
      <c r="AQ398" s="92"/>
      <c r="AR398" s="92"/>
      <c r="AS398" s="92"/>
      <c r="AT398" s="93"/>
      <c r="AU398" s="94"/>
      <c r="AV398" s="1980">
        <f t="shared" si="271"/>
        <v>0</v>
      </c>
      <c r="AW398" s="1980">
        <f t="shared" si="272"/>
        <v>0</v>
      </c>
      <c r="AX398" s="1980">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94"/>
      <c r="C399" s="1395"/>
      <c r="D399" s="80"/>
      <c r="E399" s="87">
        <f t="shared" si="267"/>
        <v>0</v>
      </c>
      <c r="F399" s="88"/>
      <c r="G399" s="89">
        <f t="shared" si="268"/>
        <v>0</v>
      </c>
      <c r="H399" s="90">
        <f t="shared" si="269"/>
        <v>0</v>
      </c>
      <c r="I399" s="1397"/>
      <c r="J399" s="91"/>
      <c r="K399" s="1397"/>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97"/>
      <c r="AG399" s="92"/>
      <c r="AH399" s="92"/>
      <c r="AI399" s="92"/>
      <c r="AJ399" s="92"/>
      <c r="AK399" s="92"/>
      <c r="AL399" s="92"/>
      <c r="AM399" s="92"/>
      <c r="AN399" s="92"/>
      <c r="AO399" s="92"/>
      <c r="AP399" s="92"/>
      <c r="AQ399" s="92"/>
      <c r="AR399" s="92"/>
      <c r="AS399" s="92"/>
      <c r="AT399" s="93"/>
      <c r="AU399" s="94"/>
      <c r="AV399" s="1980">
        <f t="shared" si="271"/>
        <v>0</v>
      </c>
      <c r="AW399" s="1980">
        <f t="shared" si="272"/>
        <v>0</v>
      </c>
      <c r="AX399" s="1980">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94"/>
      <c r="C400" s="1395"/>
      <c r="D400" s="80"/>
      <c r="E400" s="87">
        <f t="shared" si="267"/>
        <v>0</v>
      </c>
      <c r="F400" s="88"/>
      <c r="G400" s="89">
        <f t="shared" si="268"/>
        <v>0</v>
      </c>
      <c r="H400" s="90">
        <f t="shared" si="269"/>
        <v>0</v>
      </c>
      <c r="I400" s="1397"/>
      <c r="J400" s="91"/>
      <c r="K400" s="1397"/>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97"/>
      <c r="AG400" s="92"/>
      <c r="AH400" s="92"/>
      <c r="AI400" s="92"/>
      <c r="AJ400" s="92"/>
      <c r="AK400" s="92"/>
      <c r="AL400" s="92"/>
      <c r="AM400" s="92"/>
      <c r="AN400" s="92"/>
      <c r="AO400" s="92"/>
      <c r="AP400" s="92"/>
      <c r="AQ400" s="92"/>
      <c r="AR400" s="92"/>
      <c r="AS400" s="92"/>
      <c r="AT400" s="93"/>
      <c r="AU400" s="94"/>
      <c r="AV400" s="1980">
        <f t="shared" si="271"/>
        <v>0</v>
      </c>
      <c r="AW400" s="1980">
        <f t="shared" si="272"/>
        <v>0</v>
      </c>
      <c r="AX400" s="1980">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94"/>
      <c r="C401" s="1395"/>
      <c r="D401" s="80"/>
      <c r="E401" s="87">
        <f t="shared" si="267"/>
        <v>0</v>
      </c>
      <c r="F401" s="88"/>
      <c r="G401" s="89">
        <f t="shared" si="268"/>
        <v>0</v>
      </c>
      <c r="H401" s="90">
        <f t="shared" si="269"/>
        <v>0</v>
      </c>
      <c r="I401" s="1397"/>
      <c r="J401" s="91"/>
      <c r="K401" s="1397"/>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97"/>
      <c r="AG401" s="92"/>
      <c r="AH401" s="92"/>
      <c r="AI401" s="92"/>
      <c r="AJ401" s="92"/>
      <c r="AK401" s="92"/>
      <c r="AL401" s="92"/>
      <c r="AM401" s="92"/>
      <c r="AN401" s="92"/>
      <c r="AO401" s="92"/>
      <c r="AP401" s="92"/>
      <c r="AQ401" s="92"/>
      <c r="AR401" s="92"/>
      <c r="AS401" s="92"/>
      <c r="AT401" s="93"/>
      <c r="AU401" s="94"/>
      <c r="AV401" s="1980">
        <f t="shared" si="271"/>
        <v>0</v>
      </c>
      <c r="AW401" s="1980">
        <f t="shared" si="272"/>
        <v>0</v>
      </c>
      <c r="AX401" s="1980">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94"/>
      <c r="C402" s="1395"/>
      <c r="D402" s="80"/>
      <c r="E402" s="87">
        <f t="shared" si="267"/>
        <v>0</v>
      </c>
      <c r="F402" s="88"/>
      <c r="G402" s="89">
        <f t="shared" si="268"/>
        <v>0</v>
      </c>
      <c r="H402" s="90">
        <f t="shared" si="269"/>
        <v>0</v>
      </c>
      <c r="I402" s="1397"/>
      <c r="J402" s="91"/>
      <c r="K402" s="1397"/>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97"/>
      <c r="AG402" s="92"/>
      <c r="AH402" s="92"/>
      <c r="AI402" s="92"/>
      <c r="AJ402" s="92"/>
      <c r="AK402" s="92"/>
      <c r="AL402" s="92"/>
      <c r="AM402" s="92"/>
      <c r="AN402" s="92"/>
      <c r="AO402" s="92"/>
      <c r="AP402" s="92"/>
      <c r="AQ402" s="92"/>
      <c r="AR402" s="92"/>
      <c r="AS402" s="92"/>
      <c r="AT402" s="93"/>
      <c r="AU402" s="94"/>
      <c r="AV402" s="1980">
        <f t="shared" si="271"/>
        <v>0</v>
      </c>
      <c r="AW402" s="1980">
        <f t="shared" si="272"/>
        <v>0</v>
      </c>
      <c r="AX402" s="1980">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94"/>
      <c r="C403" s="1395"/>
      <c r="D403" s="80"/>
      <c r="E403" s="87">
        <f t="shared" si="267"/>
        <v>0</v>
      </c>
      <c r="F403" s="88"/>
      <c r="G403" s="89">
        <f t="shared" si="268"/>
        <v>0</v>
      </c>
      <c r="H403" s="90">
        <f t="shared" si="269"/>
        <v>0</v>
      </c>
      <c r="I403" s="1397"/>
      <c r="J403" s="91"/>
      <c r="K403" s="1397"/>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97"/>
      <c r="AG403" s="92"/>
      <c r="AH403" s="92"/>
      <c r="AI403" s="92"/>
      <c r="AJ403" s="92"/>
      <c r="AK403" s="92"/>
      <c r="AL403" s="92"/>
      <c r="AM403" s="92"/>
      <c r="AN403" s="92"/>
      <c r="AO403" s="92"/>
      <c r="AP403" s="92"/>
      <c r="AQ403" s="92"/>
      <c r="AR403" s="92"/>
      <c r="AS403" s="92"/>
      <c r="AT403" s="93"/>
      <c r="AU403" s="94"/>
      <c r="AV403" s="1980">
        <f t="shared" si="271"/>
        <v>0</v>
      </c>
      <c r="AW403" s="1980">
        <f t="shared" si="272"/>
        <v>0</v>
      </c>
      <c r="AX403" s="1980">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94"/>
      <c r="C404" s="1395"/>
      <c r="D404" s="80"/>
      <c r="E404" s="87">
        <f t="shared" si="267"/>
        <v>0</v>
      </c>
      <c r="F404" s="88"/>
      <c r="G404" s="89">
        <f t="shared" si="268"/>
        <v>0</v>
      </c>
      <c r="H404" s="90">
        <f t="shared" si="269"/>
        <v>0</v>
      </c>
      <c r="I404" s="1397"/>
      <c r="J404" s="91"/>
      <c r="K404" s="1397"/>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97"/>
      <c r="AG404" s="92"/>
      <c r="AH404" s="92"/>
      <c r="AI404" s="92"/>
      <c r="AJ404" s="92"/>
      <c r="AK404" s="92"/>
      <c r="AL404" s="92"/>
      <c r="AM404" s="92"/>
      <c r="AN404" s="92"/>
      <c r="AO404" s="92"/>
      <c r="AP404" s="92"/>
      <c r="AQ404" s="92"/>
      <c r="AR404" s="92"/>
      <c r="AS404" s="92"/>
      <c r="AT404" s="93"/>
      <c r="AU404" s="94"/>
      <c r="AV404" s="1980">
        <f t="shared" si="271"/>
        <v>0</v>
      </c>
      <c r="AW404" s="1980">
        <f t="shared" si="272"/>
        <v>0</v>
      </c>
      <c r="AX404" s="1980">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94"/>
      <c r="C405" s="1395"/>
      <c r="D405" s="80"/>
      <c r="E405" s="87">
        <f t="shared" si="267"/>
        <v>0</v>
      </c>
      <c r="F405" s="88"/>
      <c r="G405" s="89">
        <f t="shared" si="268"/>
        <v>0</v>
      </c>
      <c r="H405" s="90">
        <f t="shared" si="269"/>
        <v>0</v>
      </c>
      <c r="I405" s="1397"/>
      <c r="J405" s="91"/>
      <c r="K405" s="1397"/>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97"/>
      <c r="AG405" s="92"/>
      <c r="AH405" s="92"/>
      <c r="AI405" s="92"/>
      <c r="AJ405" s="92"/>
      <c r="AK405" s="92"/>
      <c r="AL405" s="92"/>
      <c r="AM405" s="92"/>
      <c r="AN405" s="92"/>
      <c r="AO405" s="92"/>
      <c r="AP405" s="92"/>
      <c r="AQ405" s="92"/>
      <c r="AR405" s="92"/>
      <c r="AS405" s="92"/>
      <c r="AT405" s="93"/>
      <c r="AU405" s="94"/>
      <c r="AV405" s="1980">
        <f t="shared" si="271"/>
        <v>0</v>
      </c>
      <c r="AW405" s="1980">
        <f t="shared" si="272"/>
        <v>0</v>
      </c>
      <c r="AX405" s="1980">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94"/>
      <c r="C406" s="1395"/>
      <c r="D406" s="80"/>
      <c r="E406" s="87">
        <f t="shared" si="267"/>
        <v>0</v>
      </c>
      <c r="F406" s="88"/>
      <c r="G406" s="89">
        <f t="shared" si="268"/>
        <v>0</v>
      </c>
      <c r="H406" s="90">
        <f t="shared" si="269"/>
        <v>0</v>
      </c>
      <c r="I406" s="1397"/>
      <c r="J406" s="91"/>
      <c r="K406" s="1397"/>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97"/>
      <c r="AG406" s="92"/>
      <c r="AH406" s="92"/>
      <c r="AI406" s="92"/>
      <c r="AJ406" s="92"/>
      <c r="AK406" s="92"/>
      <c r="AL406" s="92"/>
      <c r="AM406" s="92"/>
      <c r="AN406" s="92"/>
      <c r="AO406" s="92"/>
      <c r="AP406" s="92"/>
      <c r="AQ406" s="92"/>
      <c r="AR406" s="92"/>
      <c r="AS406" s="92"/>
      <c r="AT406" s="93"/>
      <c r="AU406" s="94"/>
      <c r="AV406" s="1980">
        <f t="shared" si="271"/>
        <v>0</v>
      </c>
      <c r="AW406" s="1980">
        <f t="shared" si="272"/>
        <v>0</v>
      </c>
      <c r="AX406" s="1980">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94"/>
      <c r="C407" s="1395"/>
      <c r="D407" s="80"/>
      <c r="E407" s="87">
        <f t="shared" si="267"/>
        <v>0</v>
      </c>
      <c r="F407" s="88"/>
      <c r="G407" s="89">
        <f t="shared" si="268"/>
        <v>0</v>
      </c>
      <c r="H407" s="90">
        <f t="shared" si="269"/>
        <v>0</v>
      </c>
      <c r="I407" s="1397"/>
      <c r="J407" s="91"/>
      <c r="K407" s="1397"/>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97"/>
      <c r="AG407" s="92"/>
      <c r="AH407" s="92"/>
      <c r="AI407" s="92"/>
      <c r="AJ407" s="92"/>
      <c r="AK407" s="92"/>
      <c r="AL407" s="92"/>
      <c r="AM407" s="92"/>
      <c r="AN407" s="92"/>
      <c r="AO407" s="92"/>
      <c r="AP407" s="92"/>
      <c r="AQ407" s="92"/>
      <c r="AR407" s="92"/>
      <c r="AS407" s="92"/>
      <c r="AT407" s="93"/>
      <c r="AU407" s="94"/>
      <c r="AV407" s="1980">
        <f t="shared" si="271"/>
        <v>0</v>
      </c>
      <c r="AW407" s="1980">
        <f t="shared" si="272"/>
        <v>0</v>
      </c>
      <c r="AX407" s="1980">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94"/>
      <c r="C408" s="1395"/>
      <c r="D408" s="80"/>
      <c r="E408" s="87">
        <f t="shared" si="267"/>
        <v>0</v>
      </c>
      <c r="F408" s="88"/>
      <c r="G408" s="89">
        <f t="shared" si="268"/>
        <v>0</v>
      </c>
      <c r="H408" s="90">
        <f t="shared" si="269"/>
        <v>0</v>
      </c>
      <c r="I408" s="1397"/>
      <c r="J408" s="91"/>
      <c r="K408" s="1397"/>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97"/>
      <c r="AG408" s="92"/>
      <c r="AH408" s="92"/>
      <c r="AI408" s="92"/>
      <c r="AJ408" s="92"/>
      <c r="AK408" s="92"/>
      <c r="AL408" s="92"/>
      <c r="AM408" s="92"/>
      <c r="AN408" s="92"/>
      <c r="AO408" s="92"/>
      <c r="AP408" s="92"/>
      <c r="AQ408" s="92"/>
      <c r="AR408" s="92"/>
      <c r="AS408" s="92"/>
      <c r="AT408" s="93"/>
      <c r="AU408" s="94"/>
      <c r="AV408" s="1980">
        <f t="shared" si="271"/>
        <v>0</v>
      </c>
      <c r="AW408" s="1980">
        <f t="shared" si="272"/>
        <v>0</v>
      </c>
      <c r="AX408" s="1980">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94"/>
      <c r="C409" s="1395"/>
      <c r="D409" s="80"/>
      <c r="E409" s="87">
        <f t="shared" si="267"/>
        <v>0</v>
      </c>
      <c r="F409" s="88"/>
      <c r="G409" s="89">
        <f t="shared" si="268"/>
        <v>0</v>
      </c>
      <c r="H409" s="90">
        <f t="shared" si="269"/>
        <v>0</v>
      </c>
      <c r="I409" s="1397"/>
      <c r="J409" s="91"/>
      <c r="K409" s="1397"/>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97"/>
      <c r="AG409" s="92"/>
      <c r="AH409" s="92"/>
      <c r="AI409" s="92"/>
      <c r="AJ409" s="92"/>
      <c r="AK409" s="92"/>
      <c r="AL409" s="92"/>
      <c r="AM409" s="92"/>
      <c r="AN409" s="92"/>
      <c r="AO409" s="92"/>
      <c r="AP409" s="92"/>
      <c r="AQ409" s="92"/>
      <c r="AR409" s="92"/>
      <c r="AS409" s="92"/>
      <c r="AT409" s="93"/>
      <c r="AU409" s="94"/>
      <c r="AV409" s="1980">
        <f t="shared" si="271"/>
        <v>0</v>
      </c>
      <c r="AW409" s="1980">
        <f t="shared" si="272"/>
        <v>0</v>
      </c>
      <c r="AX409" s="1980">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94"/>
      <c r="C410" s="1395"/>
      <c r="D410" s="80"/>
      <c r="E410" s="87">
        <f t="shared" si="267"/>
        <v>0</v>
      </c>
      <c r="F410" s="88"/>
      <c r="G410" s="89">
        <f t="shared" si="268"/>
        <v>0</v>
      </c>
      <c r="H410" s="90">
        <f t="shared" si="269"/>
        <v>0</v>
      </c>
      <c r="I410" s="1397"/>
      <c r="J410" s="91"/>
      <c r="K410" s="1397"/>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97"/>
      <c r="AG410" s="92"/>
      <c r="AH410" s="92"/>
      <c r="AI410" s="92"/>
      <c r="AJ410" s="92"/>
      <c r="AK410" s="92"/>
      <c r="AL410" s="92"/>
      <c r="AM410" s="92"/>
      <c r="AN410" s="92"/>
      <c r="AO410" s="92"/>
      <c r="AP410" s="92"/>
      <c r="AQ410" s="92"/>
      <c r="AR410" s="92"/>
      <c r="AS410" s="92"/>
      <c r="AT410" s="93"/>
      <c r="AU410" s="94"/>
      <c r="AV410" s="1980">
        <f t="shared" si="271"/>
        <v>0</v>
      </c>
      <c r="AW410" s="1980">
        <f t="shared" si="272"/>
        <v>0</v>
      </c>
      <c r="AX410" s="1980">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94"/>
      <c r="C411" s="1395"/>
      <c r="D411" s="80"/>
      <c r="E411" s="87">
        <f t="shared" si="267"/>
        <v>0</v>
      </c>
      <c r="F411" s="88"/>
      <c r="G411" s="89">
        <f t="shared" si="268"/>
        <v>0</v>
      </c>
      <c r="H411" s="90">
        <f t="shared" si="269"/>
        <v>0</v>
      </c>
      <c r="I411" s="1397"/>
      <c r="J411" s="91"/>
      <c r="K411" s="1397"/>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97"/>
      <c r="AG411" s="92"/>
      <c r="AH411" s="92"/>
      <c r="AI411" s="92"/>
      <c r="AJ411" s="92"/>
      <c r="AK411" s="92"/>
      <c r="AL411" s="92"/>
      <c r="AM411" s="92"/>
      <c r="AN411" s="92"/>
      <c r="AO411" s="92"/>
      <c r="AP411" s="92"/>
      <c r="AQ411" s="92"/>
      <c r="AR411" s="92"/>
      <c r="AS411" s="92"/>
      <c r="AT411" s="93"/>
      <c r="AU411" s="94"/>
      <c r="AV411" s="1980">
        <f t="shared" si="271"/>
        <v>0</v>
      </c>
      <c r="AW411" s="1980">
        <f t="shared" si="272"/>
        <v>0</v>
      </c>
      <c r="AX411" s="1980">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94"/>
      <c r="C412" s="1395"/>
      <c r="D412" s="80"/>
      <c r="E412" s="87">
        <f t="shared" si="267"/>
        <v>0</v>
      </c>
      <c r="F412" s="88"/>
      <c r="G412" s="89">
        <f t="shared" si="268"/>
        <v>0</v>
      </c>
      <c r="H412" s="90">
        <f t="shared" si="269"/>
        <v>0</v>
      </c>
      <c r="I412" s="1397"/>
      <c r="J412" s="91"/>
      <c r="K412" s="1397"/>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97"/>
      <c r="AG412" s="92"/>
      <c r="AH412" s="92"/>
      <c r="AI412" s="92"/>
      <c r="AJ412" s="92"/>
      <c r="AK412" s="92"/>
      <c r="AL412" s="92"/>
      <c r="AM412" s="92"/>
      <c r="AN412" s="92"/>
      <c r="AO412" s="92"/>
      <c r="AP412" s="92"/>
      <c r="AQ412" s="92"/>
      <c r="AR412" s="92"/>
      <c r="AS412" s="92"/>
      <c r="AT412" s="93"/>
      <c r="AU412" s="94"/>
      <c r="AV412" s="1980">
        <f t="shared" si="271"/>
        <v>0</v>
      </c>
      <c r="AW412" s="1980">
        <f t="shared" si="272"/>
        <v>0</v>
      </c>
      <c r="AX412" s="1980">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94"/>
      <c r="C413" s="1395"/>
      <c r="D413" s="80"/>
      <c r="E413" s="87">
        <f t="shared" si="267"/>
        <v>0</v>
      </c>
      <c r="F413" s="88"/>
      <c r="G413" s="89">
        <f t="shared" si="268"/>
        <v>0</v>
      </c>
      <c r="H413" s="90">
        <f t="shared" si="269"/>
        <v>0</v>
      </c>
      <c r="I413" s="1397"/>
      <c r="J413" s="91"/>
      <c r="K413" s="1397"/>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97"/>
      <c r="AG413" s="92"/>
      <c r="AH413" s="92"/>
      <c r="AI413" s="92"/>
      <c r="AJ413" s="92"/>
      <c r="AK413" s="92"/>
      <c r="AL413" s="92"/>
      <c r="AM413" s="92"/>
      <c r="AN413" s="92"/>
      <c r="AO413" s="92"/>
      <c r="AP413" s="92"/>
      <c r="AQ413" s="92"/>
      <c r="AR413" s="92"/>
      <c r="AS413" s="92"/>
      <c r="AT413" s="93"/>
      <c r="AU413" s="94"/>
      <c r="AV413" s="1980">
        <f t="shared" si="271"/>
        <v>0</v>
      </c>
      <c r="AW413" s="1980">
        <f t="shared" si="272"/>
        <v>0</v>
      </c>
      <c r="AX413" s="1980">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94"/>
      <c r="C414" s="1395"/>
      <c r="D414" s="80"/>
      <c r="E414" s="87">
        <f t="shared" si="267"/>
        <v>0</v>
      </c>
      <c r="F414" s="88"/>
      <c r="G414" s="89">
        <f t="shared" si="268"/>
        <v>0</v>
      </c>
      <c r="H414" s="90">
        <f t="shared" si="269"/>
        <v>0</v>
      </c>
      <c r="I414" s="1397"/>
      <c r="J414" s="91"/>
      <c r="K414" s="1397"/>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97"/>
      <c r="AG414" s="92"/>
      <c r="AH414" s="92"/>
      <c r="AI414" s="92"/>
      <c r="AJ414" s="92"/>
      <c r="AK414" s="92"/>
      <c r="AL414" s="92"/>
      <c r="AM414" s="92"/>
      <c r="AN414" s="92"/>
      <c r="AO414" s="92"/>
      <c r="AP414" s="92"/>
      <c r="AQ414" s="92"/>
      <c r="AR414" s="92"/>
      <c r="AS414" s="92"/>
      <c r="AT414" s="93"/>
      <c r="AU414" s="94"/>
      <c r="AV414" s="1980">
        <f t="shared" si="271"/>
        <v>0</v>
      </c>
      <c r="AW414" s="1980">
        <f t="shared" si="272"/>
        <v>0</v>
      </c>
      <c r="AX414" s="1980">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94"/>
      <c r="C415" s="1395"/>
      <c r="D415" s="80"/>
      <c r="E415" s="87">
        <f t="shared" si="267"/>
        <v>0</v>
      </c>
      <c r="F415" s="88"/>
      <c r="G415" s="89">
        <f t="shared" si="268"/>
        <v>0</v>
      </c>
      <c r="H415" s="90">
        <f t="shared" si="269"/>
        <v>0</v>
      </c>
      <c r="I415" s="1397"/>
      <c r="J415" s="91"/>
      <c r="K415" s="1397"/>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95"/>
      <c r="AG415" s="92"/>
      <c r="AH415" s="92"/>
      <c r="AI415" s="92"/>
      <c r="AJ415" s="92"/>
      <c r="AK415" s="92"/>
      <c r="AL415" s="92"/>
      <c r="AM415" s="92"/>
      <c r="AN415" s="92"/>
      <c r="AO415" s="92"/>
      <c r="AP415" s="92"/>
      <c r="AQ415" s="92"/>
      <c r="AR415" s="92"/>
      <c r="AS415" s="92"/>
      <c r="AT415" s="93"/>
      <c r="AU415" s="94"/>
      <c r="AV415" s="1980">
        <f t="shared" si="271"/>
        <v>0</v>
      </c>
      <c r="AW415" s="1980">
        <f t="shared" si="272"/>
        <v>0</v>
      </c>
      <c r="AX415" s="1980">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94"/>
      <c r="C416" s="1395"/>
      <c r="D416" s="80"/>
      <c r="E416" s="87">
        <f t="shared" si="267"/>
        <v>0</v>
      </c>
      <c r="F416" s="88"/>
      <c r="G416" s="89">
        <f t="shared" si="268"/>
        <v>0</v>
      </c>
      <c r="H416" s="90">
        <f t="shared" si="269"/>
        <v>0</v>
      </c>
      <c r="I416" s="1395"/>
      <c r="J416" s="91"/>
      <c r="K416" s="1395"/>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95"/>
      <c r="AG416" s="92"/>
      <c r="AH416" s="92"/>
      <c r="AI416" s="92"/>
      <c r="AJ416" s="92"/>
      <c r="AK416" s="92"/>
      <c r="AL416" s="92"/>
      <c r="AM416" s="92"/>
      <c r="AN416" s="92"/>
      <c r="AO416" s="92"/>
      <c r="AP416" s="92"/>
      <c r="AQ416" s="92"/>
      <c r="AR416" s="92"/>
      <c r="AS416" s="92"/>
      <c r="AT416" s="93"/>
      <c r="AU416" s="94"/>
      <c r="AV416" s="1980">
        <f t="shared" si="271"/>
        <v>0</v>
      </c>
      <c r="AW416" s="1980">
        <f t="shared" si="272"/>
        <v>0</v>
      </c>
      <c r="AX416" s="1980">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94"/>
      <c r="C417" s="1395"/>
      <c r="D417" s="80"/>
      <c r="E417" s="87">
        <f t="shared" si="267"/>
        <v>0</v>
      </c>
      <c r="F417" s="88"/>
      <c r="G417" s="89">
        <f t="shared" si="268"/>
        <v>0</v>
      </c>
      <c r="H417" s="90">
        <f t="shared" si="269"/>
        <v>0</v>
      </c>
      <c r="I417" s="1395"/>
      <c r="J417" s="91"/>
      <c r="K417" s="1395"/>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95"/>
      <c r="AG417" s="92"/>
      <c r="AH417" s="92"/>
      <c r="AI417" s="92"/>
      <c r="AJ417" s="92"/>
      <c r="AK417" s="92"/>
      <c r="AL417" s="92"/>
      <c r="AM417" s="92"/>
      <c r="AN417" s="92"/>
      <c r="AO417" s="92"/>
      <c r="AP417" s="92"/>
      <c r="AQ417" s="92"/>
      <c r="AR417" s="92"/>
      <c r="AS417" s="92"/>
      <c r="AT417" s="93"/>
      <c r="AU417" s="94"/>
      <c r="AV417" s="1980">
        <f t="shared" si="271"/>
        <v>0</v>
      </c>
      <c r="AW417" s="1980">
        <f t="shared" si="272"/>
        <v>0</v>
      </c>
      <c r="AX417" s="1980">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94"/>
      <c r="C418" s="1395"/>
      <c r="D418" s="80"/>
      <c r="E418" s="87">
        <f t="shared" si="267"/>
        <v>0</v>
      </c>
      <c r="F418" s="88"/>
      <c r="G418" s="89">
        <f t="shared" si="268"/>
        <v>0</v>
      </c>
      <c r="H418" s="90">
        <f t="shared" si="269"/>
        <v>0</v>
      </c>
      <c r="I418" s="1395"/>
      <c r="J418" s="91"/>
      <c r="K418" s="1395"/>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95"/>
      <c r="AG418" s="92"/>
      <c r="AH418" s="92"/>
      <c r="AI418" s="92"/>
      <c r="AJ418" s="92"/>
      <c r="AK418" s="92"/>
      <c r="AL418" s="92"/>
      <c r="AM418" s="92"/>
      <c r="AN418" s="92"/>
      <c r="AO418" s="92"/>
      <c r="AP418" s="92"/>
      <c r="AQ418" s="92"/>
      <c r="AR418" s="92"/>
      <c r="AS418" s="92"/>
      <c r="AT418" s="93"/>
      <c r="AU418" s="94"/>
      <c r="AV418" s="1980">
        <f t="shared" si="271"/>
        <v>0</v>
      </c>
      <c r="AW418" s="1980">
        <f t="shared" si="272"/>
        <v>0</v>
      </c>
      <c r="AX418" s="1980">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94"/>
      <c r="C419" s="1395"/>
      <c r="D419" s="80"/>
      <c r="E419" s="87">
        <f t="shared" si="267"/>
        <v>0</v>
      </c>
      <c r="F419" s="88"/>
      <c r="G419" s="89">
        <f t="shared" si="268"/>
        <v>0</v>
      </c>
      <c r="H419" s="90">
        <f t="shared" si="269"/>
        <v>0</v>
      </c>
      <c r="I419" s="1395"/>
      <c r="J419" s="91"/>
      <c r="K419" s="1395"/>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95"/>
      <c r="AG419" s="92"/>
      <c r="AH419" s="92"/>
      <c r="AI419" s="92"/>
      <c r="AJ419" s="92"/>
      <c r="AK419" s="92"/>
      <c r="AL419" s="92"/>
      <c r="AM419" s="92"/>
      <c r="AN419" s="92"/>
      <c r="AO419" s="92"/>
      <c r="AP419" s="92"/>
      <c r="AQ419" s="92"/>
      <c r="AR419" s="92"/>
      <c r="AS419" s="92"/>
      <c r="AT419" s="93"/>
      <c r="AU419" s="94"/>
      <c r="AV419" s="1980">
        <f t="shared" si="271"/>
        <v>0</v>
      </c>
      <c r="AW419" s="1980">
        <f t="shared" si="272"/>
        <v>0</v>
      </c>
      <c r="AX419" s="1980">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94"/>
      <c r="C420" s="1395"/>
      <c r="D420" s="80"/>
      <c r="E420" s="87">
        <f t="shared" si="267"/>
        <v>0</v>
      </c>
      <c r="F420" s="88"/>
      <c r="G420" s="89">
        <f t="shared" si="268"/>
        <v>0</v>
      </c>
      <c r="H420" s="90">
        <f t="shared" si="269"/>
        <v>0</v>
      </c>
      <c r="I420" s="1395"/>
      <c r="J420" s="91"/>
      <c r="K420" s="1395"/>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95"/>
      <c r="AG420" s="92"/>
      <c r="AH420" s="92"/>
      <c r="AI420" s="92"/>
      <c r="AJ420" s="92"/>
      <c r="AK420" s="92"/>
      <c r="AL420" s="92"/>
      <c r="AM420" s="92"/>
      <c r="AN420" s="92"/>
      <c r="AO420" s="92"/>
      <c r="AP420" s="92"/>
      <c r="AQ420" s="92"/>
      <c r="AR420" s="92"/>
      <c r="AS420" s="92"/>
      <c r="AT420" s="93"/>
      <c r="AU420" s="94"/>
      <c r="AV420" s="1980">
        <f t="shared" si="271"/>
        <v>0</v>
      </c>
      <c r="AW420" s="1980">
        <f t="shared" si="272"/>
        <v>0</v>
      </c>
      <c r="AX420" s="1980">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94"/>
      <c r="C421" s="1395"/>
      <c r="D421" s="80"/>
      <c r="E421" s="87">
        <f t="shared" si="267"/>
        <v>0</v>
      </c>
      <c r="F421" s="88"/>
      <c r="G421" s="89">
        <f t="shared" si="268"/>
        <v>0</v>
      </c>
      <c r="H421" s="90">
        <f t="shared" si="269"/>
        <v>0</v>
      </c>
      <c r="I421" s="1395"/>
      <c r="J421" s="91"/>
      <c r="K421" s="1395"/>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95"/>
      <c r="AG421" s="92"/>
      <c r="AH421" s="92"/>
      <c r="AI421" s="92"/>
      <c r="AJ421" s="92"/>
      <c r="AK421" s="92"/>
      <c r="AL421" s="92"/>
      <c r="AM421" s="92"/>
      <c r="AN421" s="92"/>
      <c r="AO421" s="92"/>
      <c r="AP421" s="92"/>
      <c r="AQ421" s="92"/>
      <c r="AR421" s="92"/>
      <c r="AS421" s="92"/>
      <c r="AT421" s="93"/>
      <c r="AU421" s="94"/>
      <c r="AV421" s="1980">
        <f t="shared" si="271"/>
        <v>0</v>
      </c>
      <c r="AW421" s="1980">
        <f t="shared" si="272"/>
        <v>0</v>
      </c>
      <c r="AX421" s="1980">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94"/>
      <c r="C422" s="1395"/>
      <c r="D422" s="80"/>
      <c r="E422" s="87">
        <f t="shared" si="267"/>
        <v>0</v>
      </c>
      <c r="F422" s="88"/>
      <c r="G422" s="89">
        <f t="shared" si="268"/>
        <v>0</v>
      </c>
      <c r="H422" s="90">
        <f t="shared" si="269"/>
        <v>0</v>
      </c>
      <c r="I422" s="1395"/>
      <c r="J422" s="91"/>
      <c r="K422" s="1395"/>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95"/>
      <c r="AG422" s="92"/>
      <c r="AH422" s="92"/>
      <c r="AI422" s="92"/>
      <c r="AJ422" s="92"/>
      <c r="AK422" s="92"/>
      <c r="AL422" s="92"/>
      <c r="AM422" s="92"/>
      <c r="AN422" s="92"/>
      <c r="AO422" s="92"/>
      <c r="AP422" s="92"/>
      <c r="AQ422" s="92"/>
      <c r="AR422" s="92"/>
      <c r="AS422" s="92"/>
      <c r="AT422" s="93"/>
      <c r="AU422" s="94"/>
      <c r="AV422" s="1980">
        <f t="shared" si="271"/>
        <v>0</v>
      </c>
      <c r="AW422" s="1980">
        <f t="shared" si="272"/>
        <v>0</v>
      </c>
      <c r="AX422" s="1980">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96"/>
      <c r="C423" s="1397"/>
      <c r="D423" s="80"/>
      <c r="E423" s="87">
        <f t="shared" si="267"/>
        <v>0</v>
      </c>
      <c r="F423" s="88"/>
      <c r="G423" s="89">
        <f t="shared" si="268"/>
        <v>0</v>
      </c>
      <c r="H423" s="90">
        <f t="shared" si="269"/>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70"/>
        <v>0</v>
      </c>
      <c r="AD423" s="92"/>
      <c r="AE423" s="92"/>
      <c r="AF423" s="1395"/>
      <c r="AG423" s="92"/>
      <c r="AH423" s="92"/>
      <c r="AI423" s="92"/>
      <c r="AJ423" s="92"/>
      <c r="AK423" s="92"/>
      <c r="AL423" s="92"/>
      <c r="AM423" s="92"/>
      <c r="AN423" s="92"/>
      <c r="AO423" s="92"/>
      <c r="AP423" s="92"/>
      <c r="AQ423" s="92"/>
      <c r="AR423" s="92"/>
      <c r="AS423" s="92"/>
      <c r="AT423" s="93"/>
      <c r="AU423" s="94"/>
      <c r="AV423" s="1980">
        <f t="shared" si="271"/>
        <v>0</v>
      </c>
      <c r="AW423" s="1980">
        <f t="shared" si="272"/>
        <v>0</v>
      </c>
      <c r="AX423" s="1980">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980">
        <f t="shared" si="271"/>
        <v>0</v>
      </c>
      <c r="AW424" s="1980">
        <f t="shared" si="272"/>
        <v>0</v>
      </c>
      <c r="AX424" s="1980">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980">
        <f t="shared" si="271"/>
        <v>0</v>
      </c>
      <c r="AW425" s="1980">
        <f t="shared" si="272"/>
        <v>0</v>
      </c>
      <c r="AX425" s="1980">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980">
        <f t="shared" si="271"/>
        <v>0</v>
      </c>
      <c r="AW426" s="1980">
        <f t="shared" si="272"/>
        <v>0</v>
      </c>
      <c r="AX426" s="1980">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980">
        <f t="shared" si="271"/>
        <v>0</v>
      </c>
      <c r="AW427" s="1980">
        <f t="shared" si="272"/>
        <v>0</v>
      </c>
      <c r="AX427" s="1980">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980">
        <f t="shared" si="271"/>
        <v>0</v>
      </c>
      <c r="AW428" s="1980">
        <f t="shared" si="272"/>
        <v>0</v>
      </c>
      <c r="AX428" s="1980">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980">
        <f t="shared" si="271"/>
        <v>0</v>
      </c>
      <c r="AW429" s="1980">
        <f t="shared" si="272"/>
        <v>0</v>
      </c>
      <c r="AX429" s="1980">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980">
        <f t="shared" si="271"/>
        <v>0</v>
      </c>
      <c r="AW430" s="1980">
        <f t="shared" si="272"/>
        <v>0</v>
      </c>
      <c r="AX430" s="1980">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980">
        <f t="shared" si="271"/>
        <v>0</v>
      </c>
      <c r="AW431" s="1980">
        <f t="shared" si="272"/>
        <v>0</v>
      </c>
      <c r="AX431" s="1980">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980">
        <f t="shared" si="271"/>
        <v>0</v>
      </c>
      <c r="AW432" s="1980">
        <f t="shared" si="272"/>
        <v>0</v>
      </c>
      <c r="AX432" s="1980">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980">
        <f t="shared" si="271"/>
        <v>0</v>
      </c>
      <c r="AW433" s="1980">
        <f t="shared" si="272"/>
        <v>0</v>
      </c>
      <c r="AX433" s="1980">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980">
        <f t="shared" si="271"/>
        <v>0</v>
      </c>
      <c r="AW434" s="1980">
        <f t="shared" si="272"/>
        <v>0</v>
      </c>
      <c r="AX434" s="1980">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980">
        <f t="shared" si="271"/>
        <v>0</v>
      </c>
      <c r="AW435" s="1980">
        <f t="shared" si="272"/>
        <v>0</v>
      </c>
      <c r="AX435" s="1980">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980">
        <f t="shared" si="271"/>
        <v>0</v>
      </c>
      <c r="AW436" s="1980">
        <f t="shared" si="272"/>
        <v>0</v>
      </c>
      <c r="AX436" s="1980">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980">
        <f t="shared" si="271"/>
        <v>0</v>
      </c>
      <c r="AW437" s="1980">
        <f t="shared" si="272"/>
        <v>0</v>
      </c>
      <c r="AX437" s="1980">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980">
        <f t="shared" si="271"/>
        <v>0</v>
      </c>
      <c r="AW438" s="1980">
        <f t="shared" si="272"/>
        <v>0</v>
      </c>
      <c r="AX438" s="1980">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980">
        <f t="shared" si="271"/>
        <v>0</v>
      </c>
      <c r="AW439" s="1980">
        <f t="shared" si="272"/>
        <v>0</v>
      </c>
      <c r="AX439" s="1980">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980">
        <f t="shared" si="271"/>
        <v>0</v>
      </c>
      <c r="AW440" s="1980">
        <f t="shared" si="272"/>
        <v>0</v>
      </c>
      <c r="AX440" s="1980">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980">
        <f t="shared" si="271"/>
        <v>0</v>
      </c>
      <c r="AW441" s="1980">
        <f t="shared" si="272"/>
        <v>0</v>
      </c>
      <c r="AX441" s="1980">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980">
        <f t="shared" si="271"/>
        <v>0</v>
      </c>
      <c r="AW442" s="1980">
        <f t="shared" si="272"/>
        <v>0</v>
      </c>
      <c r="AX442" s="1980">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980">
        <f t="shared" si="271"/>
        <v>0</v>
      </c>
      <c r="AW443" s="1980">
        <f t="shared" si="272"/>
        <v>0</v>
      </c>
      <c r="AX443" s="1980">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980">
        <f t="shared" si="271"/>
        <v>0</v>
      </c>
      <c r="AW444" s="1980">
        <f t="shared" si="272"/>
        <v>0</v>
      </c>
      <c r="AX444" s="1980">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980">
        <f t="shared" si="271"/>
        <v>0</v>
      </c>
      <c r="AW445" s="1980">
        <f t="shared" si="272"/>
        <v>0</v>
      </c>
      <c r="AX445" s="1980">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980">
        <f t="shared" si="271"/>
        <v>0</v>
      </c>
      <c r="AW446" s="1980">
        <f t="shared" si="272"/>
        <v>0</v>
      </c>
      <c r="AX446" s="1980">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980">
        <f t="shared" si="271"/>
        <v>0</v>
      </c>
      <c r="AW447" s="1980">
        <f t="shared" si="272"/>
        <v>0</v>
      </c>
      <c r="AX447" s="1980">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980">
        <f t="shared" si="271"/>
        <v>0</v>
      </c>
      <c r="AW448" s="1980">
        <f t="shared" si="272"/>
        <v>0</v>
      </c>
      <c r="AX448" s="1980">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980">
        <f t="shared" si="271"/>
        <v>0</v>
      </c>
      <c r="AW449" s="1980">
        <f t="shared" si="272"/>
        <v>0</v>
      </c>
      <c r="AX449" s="1980">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980">
        <f t="shared" si="271"/>
        <v>0</v>
      </c>
      <c r="AW450" s="1980">
        <f t="shared" si="272"/>
        <v>0</v>
      </c>
      <c r="AX450" s="1980">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980">
        <f t="shared" si="271"/>
        <v>0</v>
      </c>
      <c r="AW451" s="1980">
        <f t="shared" si="272"/>
        <v>0</v>
      </c>
      <c r="AX451" s="1980">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980">
        <f t="shared" si="271"/>
        <v>0</v>
      </c>
      <c r="AW452" s="1980">
        <f t="shared" si="272"/>
        <v>0</v>
      </c>
      <c r="AX452" s="1980">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980">
        <f t="shared" si="271"/>
        <v>0</v>
      </c>
      <c r="AW453" s="1980">
        <f t="shared" si="272"/>
        <v>0</v>
      </c>
      <c r="AX453" s="1980">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980">
        <f t="shared" si="271"/>
        <v>0</v>
      </c>
      <c r="AW454" s="1980">
        <f t="shared" si="272"/>
        <v>0</v>
      </c>
      <c r="AX454" s="1980">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980">
        <f t="shared" si="271"/>
        <v>0</v>
      </c>
      <c r="AW455" s="1980">
        <f t="shared" si="272"/>
        <v>0</v>
      </c>
      <c r="AX455" s="1980">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980">
        <f t="shared" si="271"/>
        <v>0</v>
      </c>
      <c r="AW456" s="1980">
        <f t="shared" si="272"/>
        <v>0</v>
      </c>
      <c r="AX456" s="1980">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980">
        <f t="shared" si="271"/>
        <v>0</v>
      </c>
      <c r="AW457" s="1980">
        <f t="shared" si="272"/>
        <v>0</v>
      </c>
      <c r="AX457" s="1980">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980">
        <f t="shared" si="271"/>
        <v>0</v>
      </c>
      <c r="AW458" s="1980">
        <f t="shared" si="272"/>
        <v>0</v>
      </c>
      <c r="AX458" s="1980">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980">
        <f t="shared" si="271"/>
        <v>0</v>
      </c>
      <c r="AW459" s="1980">
        <f t="shared" si="272"/>
        <v>0</v>
      </c>
      <c r="AX459" s="1980">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980">
        <f t="shared" si="271"/>
        <v>0</v>
      </c>
      <c r="AW460" s="1980">
        <f t="shared" si="272"/>
        <v>0</v>
      </c>
      <c r="AX460" s="1980">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980">
        <f t="shared" si="271"/>
        <v>0</v>
      </c>
      <c r="AW461" s="1980">
        <f t="shared" si="272"/>
        <v>0</v>
      </c>
      <c r="AX461" s="1980">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980">
        <f t="shared" si="271"/>
        <v>0</v>
      </c>
      <c r="AW462" s="1980">
        <f t="shared" si="272"/>
        <v>0</v>
      </c>
      <c r="AX462" s="1980">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980">
        <f t="shared" si="271"/>
        <v>0</v>
      </c>
      <c r="AW463" s="1980">
        <f t="shared" si="272"/>
        <v>0</v>
      </c>
      <c r="AX463" s="1980">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980">
        <f t="shared" si="271"/>
        <v>0</v>
      </c>
      <c r="AW464" s="1980">
        <f t="shared" si="272"/>
        <v>0</v>
      </c>
      <c r="AX464" s="1980">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980">
        <f t="shared" si="271"/>
        <v>0</v>
      </c>
      <c r="AW465" s="1980">
        <f t="shared" si="272"/>
        <v>0</v>
      </c>
      <c r="AX465" s="1980">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980">
        <f t="shared" si="271"/>
        <v>0</v>
      </c>
      <c r="AW466" s="1980">
        <f t="shared" si="272"/>
        <v>0</v>
      </c>
      <c r="AX466" s="1980">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980">
        <f t="shared" si="271"/>
        <v>0</v>
      </c>
      <c r="AW467" s="1980">
        <f t="shared" si="272"/>
        <v>0</v>
      </c>
      <c r="AX467" s="1980">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980">
        <f t="shared" si="271"/>
        <v>0</v>
      </c>
      <c r="AW468" s="1980">
        <f t="shared" si="272"/>
        <v>0</v>
      </c>
      <c r="AX468" s="1980">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980">
        <f t="shared" si="271"/>
        <v>0</v>
      </c>
      <c r="AW469" s="1980">
        <f t="shared" si="272"/>
        <v>0</v>
      </c>
      <c r="AX469" s="1980">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980">
        <f t="shared" si="271"/>
        <v>0</v>
      </c>
      <c r="AW470" s="1980">
        <f t="shared" si="272"/>
        <v>0</v>
      </c>
      <c r="AX470" s="1980">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980">
        <f t="shared" si="271"/>
        <v>0</v>
      </c>
      <c r="AW471" s="1980">
        <f t="shared" si="272"/>
        <v>0</v>
      </c>
      <c r="AX471" s="1980">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980">
        <f t="shared" si="271"/>
        <v>0</v>
      </c>
      <c r="AW472" s="1980">
        <f t="shared" si="272"/>
        <v>0</v>
      </c>
      <c r="AX472" s="1980">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980">
        <f t="shared" si="271"/>
        <v>0</v>
      </c>
      <c r="AW473" s="1980">
        <f t="shared" si="272"/>
        <v>0</v>
      </c>
      <c r="AX473" s="1980">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980">
        <f t="shared" si="271"/>
        <v>0</v>
      </c>
      <c r="AW474" s="1980">
        <f t="shared" si="272"/>
        <v>0</v>
      </c>
      <c r="AX474" s="1980">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980">
        <f t="shared" si="271"/>
        <v>0</v>
      </c>
      <c r="AW475" s="1980">
        <f t="shared" si="272"/>
        <v>0</v>
      </c>
      <c r="AX475" s="1980">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980">
        <f t="shared" si="271"/>
        <v>0</v>
      </c>
      <c r="AW476" s="1980">
        <f t="shared" si="272"/>
        <v>0</v>
      </c>
      <c r="AX476" s="1980">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980">
        <f t="shared" si="271"/>
        <v>0</v>
      </c>
      <c r="AW477" s="1980">
        <f t="shared" si="272"/>
        <v>0</v>
      </c>
      <c r="AX477" s="1980">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71"/>
        <v>0</v>
      </c>
      <c r="AW478" s="1980">
        <f t="shared" si="272"/>
        <v>0</v>
      </c>
      <c r="AX478" s="1980">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980">
        <f t="shared" si="271"/>
        <v>0</v>
      </c>
      <c r="AW479" s="1980">
        <f t="shared" si="272"/>
        <v>0</v>
      </c>
      <c r="AX479" s="1980">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980">
        <f t="shared" si="271"/>
        <v>0</v>
      </c>
      <c r="AW480" s="1980">
        <f t="shared" si="272"/>
        <v>0</v>
      </c>
      <c r="AX480" s="1980">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94"/>
      <c r="C481" s="1395"/>
      <c r="D481" s="80"/>
      <c r="E481" s="87">
        <f t="shared" ref="E481:E504" si="321">IF($C$3="是",ROUND($A$3*G481/$B$3,2),ROUND($A$3*(G481-AT481)/$B$3,2))</f>
        <v>0</v>
      </c>
      <c r="F481" s="88"/>
      <c r="G481" s="89">
        <f t="shared" si="296"/>
        <v>0</v>
      </c>
      <c r="H481" s="90">
        <f t="shared" si="297"/>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2">A481</f>
        <v>0</v>
      </c>
      <c r="AW481" s="992">
        <f t="shared" ref="AW481:AW505" si="323">B481</f>
        <v>0</v>
      </c>
      <c r="AX481" s="992">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94"/>
      <c r="C482" s="1395"/>
      <c r="D482" s="80"/>
      <c r="E482" s="87">
        <f t="shared" si="321"/>
        <v>0</v>
      </c>
      <c r="F482" s="88"/>
      <c r="G482" s="89">
        <f t="shared" si="296"/>
        <v>0</v>
      </c>
      <c r="H482" s="90">
        <f t="shared" si="297"/>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8"/>
        <v>0</v>
      </c>
      <c r="AD482" s="1364"/>
      <c r="AE482" s="92"/>
      <c r="AF482" s="1398"/>
      <c r="AG482" s="92"/>
      <c r="AH482" s="92"/>
      <c r="AI482" s="92"/>
      <c r="AJ482" s="92"/>
      <c r="AK482" s="92"/>
      <c r="AL482" s="1364"/>
      <c r="AM482" s="92"/>
      <c r="AN482" s="1364"/>
      <c r="AO482" s="92"/>
      <c r="AP482" s="92"/>
      <c r="AQ482" s="92"/>
      <c r="AR482" s="92"/>
      <c r="AS482" s="92"/>
      <c r="AT482" s="93"/>
      <c r="AU482" s="94"/>
      <c r="AV482" s="992">
        <f t="shared" si="322"/>
        <v>0</v>
      </c>
      <c r="AW482" s="992">
        <f t="shared" si="323"/>
        <v>0</v>
      </c>
      <c r="AX482" s="992">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94"/>
      <c r="C483" s="1395"/>
      <c r="D483" s="80"/>
      <c r="E483" s="87">
        <f t="shared" si="321"/>
        <v>0</v>
      </c>
      <c r="F483" s="88"/>
      <c r="G483" s="89">
        <f t="shared" si="296"/>
        <v>0</v>
      </c>
      <c r="H483" s="90">
        <f t="shared" si="297"/>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8"/>
        <v>0</v>
      </c>
      <c r="AD483" s="92"/>
      <c r="AE483" s="92"/>
      <c r="AF483" s="1398"/>
      <c r="AG483" s="92"/>
      <c r="AH483" s="92"/>
      <c r="AI483" s="92"/>
      <c r="AJ483" s="92"/>
      <c r="AK483" s="92"/>
      <c r="AL483" s="1364"/>
      <c r="AM483" s="92"/>
      <c r="AN483" s="1364"/>
      <c r="AO483" s="92"/>
      <c r="AP483" s="92"/>
      <c r="AQ483" s="92"/>
      <c r="AR483" s="92"/>
      <c r="AS483" s="92"/>
      <c r="AT483" s="93"/>
      <c r="AU483" s="94"/>
      <c r="AV483" s="992">
        <f t="shared" si="322"/>
        <v>0</v>
      </c>
      <c r="AW483" s="992">
        <f t="shared" si="323"/>
        <v>0</v>
      </c>
      <c r="AX483" s="992">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94"/>
      <c r="C484" s="1395"/>
      <c r="D484" s="80"/>
      <c r="E484" s="87">
        <f t="shared" si="321"/>
        <v>0</v>
      </c>
      <c r="F484" s="88"/>
      <c r="G484" s="89">
        <f t="shared" si="296"/>
        <v>0</v>
      </c>
      <c r="H484" s="90">
        <f t="shared" si="297"/>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8"/>
        <v>0</v>
      </c>
      <c r="AD484" s="92"/>
      <c r="AE484" s="92"/>
      <c r="AF484" s="1398"/>
      <c r="AG484" s="92"/>
      <c r="AH484" s="92"/>
      <c r="AI484" s="92"/>
      <c r="AJ484" s="92"/>
      <c r="AK484" s="92"/>
      <c r="AL484" s="92"/>
      <c r="AM484" s="92"/>
      <c r="AN484" s="1364"/>
      <c r="AO484" s="92"/>
      <c r="AP484" s="92"/>
      <c r="AQ484" s="92"/>
      <c r="AR484" s="92"/>
      <c r="AS484" s="92"/>
      <c r="AT484" s="93"/>
      <c r="AU484" s="94"/>
      <c r="AV484" s="992">
        <f t="shared" si="322"/>
        <v>0</v>
      </c>
      <c r="AW484" s="992">
        <f t="shared" si="323"/>
        <v>0</v>
      </c>
      <c r="AX484" s="992">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94"/>
      <c r="C485" s="1395"/>
      <c r="D485" s="80"/>
      <c r="E485" s="87">
        <f t="shared" si="321"/>
        <v>0</v>
      </c>
      <c r="F485" s="88"/>
      <c r="G485" s="89">
        <f t="shared" si="296"/>
        <v>0</v>
      </c>
      <c r="H485" s="90">
        <f t="shared" si="297"/>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98"/>
      <c r="AG485" s="92"/>
      <c r="AH485" s="92"/>
      <c r="AI485" s="92"/>
      <c r="AJ485" s="92"/>
      <c r="AK485" s="92"/>
      <c r="AL485" s="92"/>
      <c r="AM485" s="92"/>
      <c r="AN485" s="92"/>
      <c r="AO485" s="92"/>
      <c r="AP485" s="92"/>
      <c r="AQ485" s="92"/>
      <c r="AR485" s="92"/>
      <c r="AS485" s="92"/>
      <c r="AT485" s="93"/>
      <c r="AU485" s="94"/>
      <c r="AV485" s="992">
        <f t="shared" si="322"/>
        <v>0</v>
      </c>
      <c r="AW485" s="992">
        <f t="shared" si="323"/>
        <v>0</v>
      </c>
      <c r="AX485" s="992">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94"/>
      <c r="C486" s="1395"/>
      <c r="D486" s="80"/>
      <c r="E486" s="87">
        <f t="shared" si="321"/>
        <v>0</v>
      </c>
      <c r="F486" s="88"/>
      <c r="G486" s="89">
        <f t="shared" si="296"/>
        <v>0</v>
      </c>
      <c r="H486" s="90">
        <f t="shared" si="297"/>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98"/>
      <c r="AG486" s="92"/>
      <c r="AH486" s="92"/>
      <c r="AI486" s="92"/>
      <c r="AJ486" s="92"/>
      <c r="AK486" s="92"/>
      <c r="AL486" s="92"/>
      <c r="AM486" s="92"/>
      <c r="AN486" s="92"/>
      <c r="AO486" s="92"/>
      <c r="AP486" s="92"/>
      <c r="AQ486" s="92"/>
      <c r="AR486" s="92"/>
      <c r="AS486" s="92"/>
      <c r="AT486" s="93"/>
      <c r="AU486" s="94"/>
      <c r="AV486" s="992">
        <f t="shared" si="322"/>
        <v>0</v>
      </c>
      <c r="AW486" s="992">
        <f t="shared" si="323"/>
        <v>0</v>
      </c>
      <c r="AX486" s="992">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94"/>
      <c r="C487" s="1395"/>
      <c r="D487" s="80"/>
      <c r="E487" s="87">
        <f t="shared" si="321"/>
        <v>0</v>
      </c>
      <c r="F487" s="88"/>
      <c r="G487" s="89">
        <f t="shared" si="296"/>
        <v>0</v>
      </c>
      <c r="H487" s="90">
        <f t="shared" si="297"/>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98"/>
      <c r="AG487" s="92"/>
      <c r="AH487" s="92"/>
      <c r="AI487" s="92"/>
      <c r="AJ487" s="92"/>
      <c r="AK487" s="92"/>
      <c r="AL487" s="92"/>
      <c r="AM487" s="92"/>
      <c r="AN487" s="92"/>
      <c r="AO487" s="92"/>
      <c r="AP487" s="92"/>
      <c r="AQ487" s="92"/>
      <c r="AR487" s="92"/>
      <c r="AS487" s="92"/>
      <c r="AT487" s="93"/>
      <c r="AU487" s="94"/>
      <c r="AV487" s="992">
        <f t="shared" si="322"/>
        <v>0</v>
      </c>
      <c r="AW487" s="992">
        <f t="shared" si="323"/>
        <v>0</v>
      </c>
      <c r="AX487" s="992">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94"/>
      <c r="C488" s="1395"/>
      <c r="D488" s="80"/>
      <c r="E488" s="87">
        <f t="shared" si="321"/>
        <v>0</v>
      </c>
      <c r="F488" s="88"/>
      <c r="G488" s="89">
        <f t="shared" si="296"/>
        <v>0</v>
      </c>
      <c r="H488" s="90">
        <f t="shared" si="297"/>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97"/>
      <c r="AG488" s="92"/>
      <c r="AH488" s="92"/>
      <c r="AI488" s="92"/>
      <c r="AJ488" s="92"/>
      <c r="AK488" s="92"/>
      <c r="AL488" s="92"/>
      <c r="AM488" s="92"/>
      <c r="AN488" s="92"/>
      <c r="AO488" s="92"/>
      <c r="AP488" s="92"/>
      <c r="AQ488" s="92"/>
      <c r="AR488" s="92"/>
      <c r="AS488" s="92"/>
      <c r="AT488" s="93"/>
      <c r="AU488" s="94"/>
      <c r="AV488" s="992">
        <f t="shared" si="322"/>
        <v>0</v>
      </c>
      <c r="AW488" s="992">
        <f t="shared" si="323"/>
        <v>0</v>
      </c>
      <c r="AX488" s="992">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96"/>
      <c r="C489" s="1397"/>
      <c r="D489" s="80"/>
      <c r="E489" s="87">
        <f t="shared" si="321"/>
        <v>0</v>
      </c>
      <c r="F489" s="88"/>
      <c r="G489" s="89">
        <f t="shared" si="296"/>
        <v>0</v>
      </c>
      <c r="H489" s="90">
        <f t="shared" si="297"/>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97"/>
      <c r="AG489" s="92"/>
      <c r="AH489" s="92"/>
      <c r="AI489" s="92"/>
      <c r="AJ489" s="92"/>
      <c r="AK489" s="92"/>
      <c r="AL489" s="92"/>
      <c r="AM489" s="92"/>
      <c r="AN489" s="92"/>
      <c r="AO489" s="92"/>
      <c r="AP489" s="92"/>
      <c r="AQ489" s="92"/>
      <c r="AR489" s="92"/>
      <c r="AS489" s="92"/>
      <c r="AT489" s="93"/>
      <c r="AU489" s="94"/>
      <c r="AV489" s="992">
        <f t="shared" si="322"/>
        <v>0</v>
      </c>
      <c r="AW489" s="992">
        <f t="shared" si="323"/>
        <v>0</v>
      </c>
      <c r="AX489" s="992">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94"/>
      <c r="C490" s="1395"/>
      <c r="D490" s="80"/>
      <c r="E490" s="87">
        <f t="shared" si="321"/>
        <v>0</v>
      </c>
      <c r="F490" s="88"/>
      <c r="G490" s="89">
        <f t="shared" si="296"/>
        <v>0</v>
      </c>
      <c r="H490" s="90">
        <f t="shared" si="297"/>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97"/>
      <c r="AG490" s="92"/>
      <c r="AH490" s="92"/>
      <c r="AI490" s="92"/>
      <c r="AJ490" s="92"/>
      <c r="AK490" s="92"/>
      <c r="AL490" s="92"/>
      <c r="AM490" s="92"/>
      <c r="AN490" s="92"/>
      <c r="AO490" s="92"/>
      <c r="AP490" s="92"/>
      <c r="AQ490" s="92"/>
      <c r="AR490" s="92"/>
      <c r="AS490" s="92"/>
      <c r="AT490" s="93"/>
      <c r="AU490" s="94"/>
      <c r="AV490" s="992">
        <f t="shared" si="322"/>
        <v>0</v>
      </c>
      <c r="AW490" s="992">
        <f t="shared" si="323"/>
        <v>0</v>
      </c>
      <c r="AX490" s="992">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94"/>
      <c r="C491" s="1395"/>
      <c r="D491" s="80"/>
      <c r="E491" s="87">
        <f t="shared" si="321"/>
        <v>0</v>
      </c>
      <c r="F491" s="88"/>
      <c r="G491" s="89">
        <f t="shared" si="296"/>
        <v>0</v>
      </c>
      <c r="H491" s="90">
        <f t="shared" si="297"/>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97"/>
      <c r="AG491" s="92"/>
      <c r="AH491" s="92"/>
      <c r="AI491" s="92"/>
      <c r="AJ491" s="92"/>
      <c r="AK491" s="92"/>
      <c r="AL491" s="92"/>
      <c r="AM491" s="92"/>
      <c r="AN491" s="92"/>
      <c r="AO491" s="92"/>
      <c r="AP491" s="92"/>
      <c r="AQ491" s="92"/>
      <c r="AR491" s="92"/>
      <c r="AS491" s="92"/>
      <c r="AT491" s="93"/>
      <c r="AU491" s="94"/>
      <c r="AV491" s="992">
        <f t="shared" si="322"/>
        <v>0</v>
      </c>
      <c r="AW491" s="992">
        <f t="shared" si="323"/>
        <v>0</v>
      </c>
      <c r="AX491" s="992">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94"/>
      <c r="C492" s="1395"/>
      <c r="D492" s="80"/>
      <c r="E492" s="87">
        <f t="shared" si="321"/>
        <v>0</v>
      </c>
      <c r="F492" s="88"/>
      <c r="G492" s="89">
        <f t="shared" si="296"/>
        <v>0</v>
      </c>
      <c r="H492" s="90">
        <f t="shared" si="297"/>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97"/>
      <c r="AG492" s="92"/>
      <c r="AH492" s="92"/>
      <c r="AI492" s="92"/>
      <c r="AJ492" s="92"/>
      <c r="AK492" s="92"/>
      <c r="AL492" s="92"/>
      <c r="AM492" s="92"/>
      <c r="AN492" s="92"/>
      <c r="AO492" s="92"/>
      <c r="AP492" s="92"/>
      <c r="AQ492" s="92"/>
      <c r="AR492" s="92"/>
      <c r="AS492" s="92"/>
      <c r="AT492" s="93"/>
      <c r="AU492" s="94"/>
      <c r="AV492" s="992">
        <f t="shared" si="322"/>
        <v>0</v>
      </c>
      <c r="AW492" s="992">
        <f t="shared" si="323"/>
        <v>0</v>
      </c>
      <c r="AX492" s="992">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94"/>
      <c r="C493" s="1395"/>
      <c r="D493" s="80"/>
      <c r="E493" s="87">
        <f t="shared" si="321"/>
        <v>0</v>
      </c>
      <c r="F493" s="88"/>
      <c r="G493" s="89">
        <f t="shared" si="296"/>
        <v>0</v>
      </c>
      <c r="H493" s="90">
        <f t="shared" si="297"/>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97"/>
      <c r="AG493" s="92"/>
      <c r="AH493" s="92"/>
      <c r="AI493" s="92"/>
      <c r="AJ493" s="92"/>
      <c r="AK493" s="92"/>
      <c r="AL493" s="92"/>
      <c r="AM493" s="92"/>
      <c r="AN493" s="92"/>
      <c r="AO493" s="92"/>
      <c r="AP493" s="92"/>
      <c r="AQ493" s="92"/>
      <c r="AR493" s="92"/>
      <c r="AS493" s="92"/>
      <c r="AT493" s="93"/>
      <c r="AU493" s="94"/>
      <c r="AV493" s="992">
        <f t="shared" si="322"/>
        <v>0</v>
      </c>
      <c r="AW493" s="992">
        <f t="shared" si="323"/>
        <v>0</v>
      </c>
      <c r="AX493" s="992">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94"/>
      <c r="C494" s="1395"/>
      <c r="D494" s="80"/>
      <c r="E494" s="87">
        <f t="shared" si="321"/>
        <v>0</v>
      </c>
      <c r="F494" s="88"/>
      <c r="G494" s="89">
        <f t="shared" si="296"/>
        <v>0</v>
      </c>
      <c r="H494" s="90">
        <f t="shared" si="297"/>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97"/>
      <c r="AG494" s="92"/>
      <c r="AH494" s="92"/>
      <c r="AI494" s="92"/>
      <c r="AJ494" s="92"/>
      <c r="AK494" s="92"/>
      <c r="AL494" s="92"/>
      <c r="AM494" s="92"/>
      <c r="AN494" s="92"/>
      <c r="AO494" s="92"/>
      <c r="AP494" s="92"/>
      <c r="AQ494" s="92"/>
      <c r="AR494" s="92"/>
      <c r="AS494" s="92"/>
      <c r="AT494" s="93"/>
      <c r="AU494" s="94"/>
      <c r="AV494" s="992">
        <f t="shared" si="322"/>
        <v>0</v>
      </c>
      <c r="AW494" s="992">
        <f t="shared" si="323"/>
        <v>0</v>
      </c>
      <c r="AX494" s="992">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94"/>
      <c r="C495" s="1395"/>
      <c r="D495" s="80"/>
      <c r="E495" s="87">
        <f t="shared" si="321"/>
        <v>0</v>
      </c>
      <c r="F495" s="88"/>
      <c r="G495" s="89">
        <f t="shared" si="296"/>
        <v>0</v>
      </c>
      <c r="H495" s="90">
        <f t="shared" si="297"/>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97"/>
      <c r="AG495" s="92"/>
      <c r="AH495" s="92"/>
      <c r="AI495" s="92"/>
      <c r="AJ495" s="92"/>
      <c r="AK495" s="92"/>
      <c r="AL495" s="92"/>
      <c r="AM495" s="92"/>
      <c r="AN495" s="92"/>
      <c r="AO495" s="92"/>
      <c r="AP495" s="92"/>
      <c r="AQ495" s="92"/>
      <c r="AR495" s="92"/>
      <c r="AS495" s="92"/>
      <c r="AT495" s="93"/>
      <c r="AU495" s="94"/>
      <c r="AV495" s="992">
        <f t="shared" si="322"/>
        <v>0</v>
      </c>
      <c r="AW495" s="992">
        <f t="shared" si="323"/>
        <v>0</v>
      </c>
      <c r="AX495" s="992">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94"/>
      <c r="C496" s="1395"/>
      <c r="D496" s="80"/>
      <c r="E496" s="87">
        <f t="shared" si="321"/>
        <v>0</v>
      </c>
      <c r="F496" s="88"/>
      <c r="G496" s="89">
        <f t="shared" si="296"/>
        <v>0</v>
      </c>
      <c r="H496" s="90">
        <f t="shared" si="297"/>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97"/>
      <c r="AG496" s="92"/>
      <c r="AH496" s="92"/>
      <c r="AI496" s="92"/>
      <c r="AJ496" s="92"/>
      <c r="AK496" s="92"/>
      <c r="AL496" s="92"/>
      <c r="AM496" s="92"/>
      <c r="AN496" s="92"/>
      <c r="AO496" s="92"/>
      <c r="AP496" s="92"/>
      <c r="AQ496" s="92"/>
      <c r="AR496" s="92"/>
      <c r="AS496" s="92"/>
      <c r="AT496" s="93"/>
      <c r="AU496" s="94"/>
      <c r="AV496" s="992">
        <f t="shared" si="322"/>
        <v>0</v>
      </c>
      <c r="AW496" s="992">
        <f t="shared" si="323"/>
        <v>0</v>
      </c>
      <c r="AX496" s="992">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94"/>
      <c r="C497" s="1395"/>
      <c r="D497" s="80"/>
      <c r="E497" s="87">
        <f t="shared" si="321"/>
        <v>0</v>
      </c>
      <c r="F497" s="88"/>
      <c r="G497" s="89">
        <f t="shared" si="296"/>
        <v>0</v>
      </c>
      <c r="H497" s="90">
        <f t="shared" si="297"/>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97"/>
      <c r="AG497" s="92"/>
      <c r="AH497" s="92"/>
      <c r="AI497" s="92"/>
      <c r="AJ497" s="92"/>
      <c r="AK497" s="92"/>
      <c r="AL497" s="92"/>
      <c r="AM497" s="92"/>
      <c r="AN497" s="92"/>
      <c r="AO497" s="92"/>
      <c r="AP497" s="92"/>
      <c r="AQ497" s="92"/>
      <c r="AR497" s="92"/>
      <c r="AS497" s="92"/>
      <c r="AT497" s="93"/>
      <c r="AU497" s="94"/>
      <c r="AV497" s="992">
        <f t="shared" si="322"/>
        <v>0</v>
      </c>
      <c r="AW497" s="992">
        <f t="shared" si="323"/>
        <v>0</v>
      </c>
      <c r="AX497" s="992">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94"/>
      <c r="C498" s="1395"/>
      <c r="D498" s="80"/>
      <c r="E498" s="87">
        <f t="shared" si="321"/>
        <v>0</v>
      </c>
      <c r="F498" s="88"/>
      <c r="G498" s="89">
        <f t="shared" si="296"/>
        <v>0</v>
      </c>
      <c r="H498" s="90">
        <f t="shared" si="297"/>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97"/>
      <c r="AG498" s="92"/>
      <c r="AH498" s="92"/>
      <c r="AI498" s="92"/>
      <c r="AJ498" s="92"/>
      <c r="AK498" s="92"/>
      <c r="AL498" s="92"/>
      <c r="AM498" s="92"/>
      <c r="AN498" s="92"/>
      <c r="AO498" s="92"/>
      <c r="AP498" s="92"/>
      <c r="AQ498" s="92"/>
      <c r="AR498" s="92"/>
      <c r="AS498" s="92"/>
      <c r="AT498" s="93"/>
      <c r="AU498" s="94"/>
      <c r="AV498" s="992">
        <f t="shared" si="322"/>
        <v>0</v>
      </c>
      <c r="AW498" s="992">
        <f t="shared" si="323"/>
        <v>0</v>
      </c>
      <c r="AX498" s="992">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94"/>
      <c r="C499" s="1395"/>
      <c r="D499" s="80"/>
      <c r="E499" s="87">
        <f t="shared" si="321"/>
        <v>0</v>
      </c>
      <c r="F499" s="88"/>
      <c r="G499" s="89">
        <f t="shared" si="296"/>
        <v>0</v>
      </c>
      <c r="H499" s="90">
        <f t="shared" si="297"/>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97"/>
      <c r="AG499" s="92"/>
      <c r="AH499" s="92"/>
      <c r="AI499" s="92"/>
      <c r="AJ499" s="92"/>
      <c r="AK499" s="92"/>
      <c r="AL499" s="92"/>
      <c r="AM499" s="92"/>
      <c r="AN499" s="92"/>
      <c r="AO499" s="92"/>
      <c r="AP499" s="92"/>
      <c r="AQ499" s="92"/>
      <c r="AR499" s="92"/>
      <c r="AS499" s="92"/>
      <c r="AT499" s="93"/>
      <c r="AU499" s="94"/>
      <c r="AV499" s="992">
        <f t="shared" si="322"/>
        <v>0</v>
      </c>
      <c r="AW499" s="992">
        <f t="shared" si="323"/>
        <v>0</v>
      </c>
      <c r="AX499" s="992">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94"/>
      <c r="C500" s="1395"/>
      <c r="D500" s="80"/>
      <c r="E500" s="87">
        <f t="shared" si="321"/>
        <v>0</v>
      </c>
      <c r="F500" s="88"/>
      <c r="G500" s="89">
        <f t="shared" si="296"/>
        <v>0</v>
      </c>
      <c r="H500" s="90">
        <f t="shared" si="297"/>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97"/>
      <c r="AG500" s="92"/>
      <c r="AH500" s="92"/>
      <c r="AI500" s="92"/>
      <c r="AJ500" s="92"/>
      <c r="AK500" s="92"/>
      <c r="AL500" s="92"/>
      <c r="AM500" s="92"/>
      <c r="AN500" s="92"/>
      <c r="AO500" s="92"/>
      <c r="AP500" s="92"/>
      <c r="AQ500" s="92"/>
      <c r="AR500" s="92"/>
      <c r="AS500" s="92"/>
      <c r="AT500" s="93"/>
      <c r="AU500" s="94"/>
      <c r="AV500" s="992">
        <f t="shared" si="322"/>
        <v>0</v>
      </c>
      <c r="AW500" s="992">
        <f t="shared" si="323"/>
        <v>0</v>
      </c>
      <c r="AX500" s="992">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94"/>
      <c r="C501" s="1395"/>
      <c r="D501" s="80"/>
      <c r="E501" s="87">
        <f t="shared" si="321"/>
        <v>0</v>
      </c>
      <c r="F501" s="88"/>
      <c r="G501" s="89">
        <f t="shared" si="296"/>
        <v>0</v>
      </c>
      <c r="H501" s="90">
        <f t="shared" si="297"/>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97"/>
      <c r="AG501" s="92"/>
      <c r="AH501" s="92"/>
      <c r="AI501" s="92"/>
      <c r="AJ501" s="92"/>
      <c r="AK501" s="92"/>
      <c r="AL501" s="92"/>
      <c r="AM501" s="92"/>
      <c r="AN501" s="92"/>
      <c r="AO501" s="92"/>
      <c r="AP501" s="92"/>
      <c r="AQ501" s="92"/>
      <c r="AR501" s="92"/>
      <c r="AS501" s="92"/>
      <c r="AT501" s="93"/>
      <c r="AU501" s="94"/>
      <c r="AV501" s="992">
        <f t="shared" si="322"/>
        <v>0</v>
      </c>
      <c r="AW501" s="992">
        <f t="shared" si="323"/>
        <v>0</v>
      </c>
      <c r="AX501" s="992">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94"/>
      <c r="C502" s="1395"/>
      <c r="D502" s="80"/>
      <c r="E502" s="87">
        <f t="shared" si="321"/>
        <v>0</v>
      </c>
      <c r="F502" s="88"/>
      <c r="G502" s="89">
        <f t="shared" si="296"/>
        <v>0</v>
      </c>
      <c r="H502" s="90">
        <f t="shared" si="297"/>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97"/>
      <c r="AG502" s="92"/>
      <c r="AH502" s="92"/>
      <c r="AI502" s="92"/>
      <c r="AJ502" s="92"/>
      <c r="AK502" s="92"/>
      <c r="AL502" s="92"/>
      <c r="AM502" s="92"/>
      <c r="AN502" s="92"/>
      <c r="AO502" s="92"/>
      <c r="AP502" s="92"/>
      <c r="AQ502" s="92"/>
      <c r="AR502" s="92"/>
      <c r="AS502" s="92"/>
      <c r="AT502" s="93"/>
      <c r="AU502" s="94"/>
      <c r="AV502" s="992">
        <f t="shared" si="322"/>
        <v>0</v>
      </c>
      <c r="AW502" s="992">
        <f t="shared" si="323"/>
        <v>0</v>
      </c>
      <c r="AX502" s="992">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94"/>
      <c r="C503" s="1395"/>
      <c r="D503" s="80"/>
      <c r="E503" s="87">
        <f t="shared" si="321"/>
        <v>0</v>
      </c>
      <c r="F503" s="88"/>
      <c r="G503" s="89">
        <f t="shared" si="296"/>
        <v>0</v>
      </c>
      <c r="H503" s="90">
        <f t="shared" si="297"/>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97"/>
      <c r="AG503" s="92"/>
      <c r="AH503" s="92"/>
      <c r="AI503" s="92"/>
      <c r="AJ503" s="92"/>
      <c r="AK503" s="92"/>
      <c r="AL503" s="92"/>
      <c r="AM503" s="92"/>
      <c r="AN503" s="92"/>
      <c r="AO503" s="92"/>
      <c r="AP503" s="92"/>
      <c r="AQ503" s="92"/>
      <c r="AR503" s="92"/>
      <c r="AS503" s="92"/>
      <c r="AT503" s="93"/>
      <c r="AU503" s="94"/>
      <c r="AV503" s="992">
        <f t="shared" si="322"/>
        <v>0</v>
      </c>
      <c r="AW503" s="992">
        <f t="shared" si="323"/>
        <v>0</v>
      </c>
      <c r="AX503" s="992">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94"/>
      <c r="C504" s="1395"/>
      <c r="D504" s="80"/>
      <c r="E504" s="87">
        <f t="shared" si="321"/>
        <v>0</v>
      </c>
      <c r="F504" s="88"/>
      <c r="G504" s="89">
        <f t="shared" si="296"/>
        <v>0</v>
      </c>
      <c r="H504" s="90">
        <f t="shared" si="297"/>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97"/>
      <c r="AG504" s="92"/>
      <c r="AH504" s="92"/>
      <c r="AI504" s="92"/>
      <c r="AJ504" s="92"/>
      <c r="AK504" s="92"/>
      <c r="AL504" s="92"/>
      <c r="AM504" s="92"/>
      <c r="AN504" s="92"/>
      <c r="AO504" s="92"/>
      <c r="AP504" s="92"/>
      <c r="AQ504" s="92"/>
      <c r="AR504" s="92"/>
      <c r="AS504" s="92"/>
      <c r="AT504" s="93"/>
      <c r="AU504" s="94"/>
      <c r="AV504" s="992">
        <f t="shared" si="322"/>
        <v>0</v>
      </c>
      <c r="AW504" s="992">
        <f t="shared" si="323"/>
        <v>0</v>
      </c>
      <c r="AX504" s="992">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94"/>
      <c r="C505" s="1395"/>
      <c r="D505" s="80"/>
      <c r="E505" s="87">
        <f t="shared" ref="E505:E536" si="325">IF($C$3="是",ROUND($A$3*G505/$B$3,2),ROUND($A$3*(G505-AT505)/$B$3,2))</f>
        <v>0</v>
      </c>
      <c r="F505" s="88"/>
      <c r="G505" s="89">
        <f t="shared" si="296"/>
        <v>0</v>
      </c>
      <c r="H505" s="90">
        <f t="shared" si="297"/>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97"/>
      <c r="AG505" s="92"/>
      <c r="AH505" s="92"/>
      <c r="AI505" s="92"/>
      <c r="AJ505" s="92"/>
      <c r="AK505" s="92"/>
      <c r="AL505" s="92"/>
      <c r="AM505" s="92"/>
      <c r="AN505" s="92"/>
      <c r="AO505" s="92"/>
      <c r="AP505" s="92"/>
      <c r="AQ505" s="92"/>
      <c r="AR505" s="92"/>
      <c r="AS505" s="92"/>
      <c r="AT505" s="93"/>
      <c r="AU505" s="94"/>
      <c r="AV505" s="992">
        <f t="shared" si="322"/>
        <v>0</v>
      </c>
      <c r="AW505" s="992">
        <f t="shared" si="323"/>
        <v>0</v>
      </c>
      <c r="AX505" s="992">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94"/>
      <c r="C506" s="1395"/>
      <c r="D506" s="80"/>
      <c r="E506" s="87">
        <f t="shared" si="325"/>
        <v>0</v>
      </c>
      <c r="F506" s="88"/>
      <c r="G506" s="89">
        <f t="shared" si="296"/>
        <v>0</v>
      </c>
      <c r="H506" s="90">
        <f t="shared" si="297"/>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6">A506</f>
        <v>0</v>
      </c>
      <c r="AW506" s="992">
        <f t="shared" ref="AW506:AW537" si="327">B506</f>
        <v>0</v>
      </c>
      <c r="AX506" s="992">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94"/>
      <c r="C507" s="1395"/>
      <c r="D507" s="80"/>
      <c r="E507" s="87">
        <f t="shared" si="325"/>
        <v>0</v>
      </c>
      <c r="F507" s="88"/>
      <c r="G507" s="89">
        <f t="shared" si="296"/>
        <v>0</v>
      </c>
      <c r="H507" s="90">
        <f t="shared" si="297"/>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95"/>
      <c r="AG507" s="92"/>
      <c r="AH507" s="92"/>
      <c r="AI507" s="92"/>
      <c r="AJ507" s="92"/>
      <c r="AK507" s="92"/>
      <c r="AL507" s="92"/>
      <c r="AM507" s="92"/>
      <c r="AN507" s="92"/>
      <c r="AO507" s="92"/>
      <c r="AP507" s="92"/>
      <c r="AQ507" s="92"/>
      <c r="AR507" s="92"/>
      <c r="AS507" s="92"/>
      <c r="AT507" s="93"/>
      <c r="AU507" s="94"/>
      <c r="AV507" s="992">
        <f t="shared" si="326"/>
        <v>0</v>
      </c>
      <c r="AW507" s="992">
        <f t="shared" si="327"/>
        <v>0</v>
      </c>
      <c r="AX507" s="992">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94"/>
      <c r="C508" s="1395"/>
      <c r="D508" s="80"/>
      <c r="E508" s="87">
        <f t="shared" si="325"/>
        <v>0</v>
      </c>
      <c r="F508" s="88"/>
      <c r="G508" s="89">
        <f t="shared" si="296"/>
        <v>0</v>
      </c>
      <c r="H508" s="90">
        <f t="shared" si="297"/>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95"/>
      <c r="AG508" s="92"/>
      <c r="AH508" s="92"/>
      <c r="AI508" s="92"/>
      <c r="AJ508" s="92"/>
      <c r="AK508" s="92"/>
      <c r="AL508" s="92"/>
      <c r="AM508" s="92"/>
      <c r="AN508" s="92"/>
      <c r="AO508" s="92"/>
      <c r="AP508" s="92"/>
      <c r="AQ508" s="92"/>
      <c r="AR508" s="92"/>
      <c r="AS508" s="92"/>
      <c r="AT508" s="93"/>
      <c r="AU508" s="94"/>
      <c r="AV508" s="992">
        <f t="shared" si="326"/>
        <v>0</v>
      </c>
      <c r="AW508" s="992">
        <f t="shared" si="327"/>
        <v>0</v>
      </c>
      <c r="AX508" s="992">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94"/>
      <c r="C509" s="1395"/>
      <c r="D509" s="80"/>
      <c r="E509" s="87">
        <f t="shared" si="325"/>
        <v>0</v>
      </c>
      <c r="F509" s="88"/>
      <c r="G509" s="89">
        <f t="shared" si="296"/>
        <v>0</v>
      </c>
      <c r="H509" s="90">
        <f t="shared" si="297"/>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95"/>
      <c r="AG509" s="92"/>
      <c r="AH509" s="92"/>
      <c r="AI509" s="92"/>
      <c r="AJ509" s="92"/>
      <c r="AK509" s="92"/>
      <c r="AL509" s="92"/>
      <c r="AM509" s="92"/>
      <c r="AN509" s="92"/>
      <c r="AO509" s="92"/>
      <c r="AP509" s="92"/>
      <c r="AQ509" s="92"/>
      <c r="AR509" s="92"/>
      <c r="AS509" s="92"/>
      <c r="AT509" s="93"/>
      <c r="AU509" s="94"/>
      <c r="AV509" s="992">
        <f t="shared" si="326"/>
        <v>0</v>
      </c>
      <c r="AW509" s="992">
        <f t="shared" si="327"/>
        <v>0</v>
      </c>
      <c r="AX509" s="992">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94"/>
      <c r="C510" s="1395"/>
      <c r="D510" s="80"/>
      <c r="E510" s="87">
        <f t="shared" si="325"/>
        <v>0</v>
      </c>
      <c r="F510" s="88"/>
      <c r="G510" s="89">
        <f t="shared" ref="G510:G537" si="329">H510+AC510+AT510</f>
        <v>0</v>
      </c>
      <c r="H510" s="90">
        <f t="shared" ref="H510:H537" si="330">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6"/>
        <v>0</v>
      </c>
      <c r="AW510" s="992">
        <f t="shared" si="327"/>
        <v>0</v>
      </c>
      <c r="AX510" s="992">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94"/>
      <c r="C511" s="1395"/>
      <c r="D511" s="80"/>
      <c r="E511" s="87">
        <f t="shared" si="325"/>
        <v>0</v>
      </c>
      <c r="F511" s="88"/>
      <c r="G511" s="89">
        <f t="shared" si="329"/>
        <v>0</v>
      </c>
      <c r="H511" s="90">
        <f t="shared" si="330"/>
        <v>0</v>
      </c>
      <c r="I511" s="1395"/>
      <c r="J511" s="91"/>
      <c r="K511" s="1395"/>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95"/>
      <c r="AG511" s="92"/>
      <c r="AH511" s="92"/>
      <c r="AI511" s="92"/>
      <c r="AJ511" s="92"/>
      <c r="AK511" s="92"/>
      <c r="AL511" s="92"/>
      <c r="AM511" s="92"/>
      <c r="AN511" s="92"/>
      <c r="AO511" s="92"/>
      <c r="AP511" s="92"/>
      <c r="AQ511" s="92"/>
      <c r="AR511" s="92"/>
      <c r="AS511" s="92"/>
      <c r="AT511" s="93"/>
      <c r="AU511" s="94"/>
      <c r="AV511" s="992">
        <f t="shared" si="326"/>
        <v>0</v>
      </c>
      <c r="AW511" s="992">
        <f t="shared" si="327"/>
        <v>0</v>
      </c>
      <c r="AX511" s="992">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94"/>
      <c r="C512" s="1395"/>
      <c r="D512" s="80"/>
      <c r="E512" s="87">
        <f t="shared" si="325"/>
        <v>0</v>
      </c>
      <c r="F512" s="88"/>
      <c r="G512" s="89">
        <f t="shared" si="329"/>
        <v>0</v>
      </c>
      <c r="H512" s="90">
        <f t="shared" si="330"/>
        <v>0</v>
      </c>
      <c r="I512" s="1395"/>
      <c r="J512" s="91"/>
      <c r="K512" s="1395"/>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95"/>
      <c r="AG512" s="92"/>
      <c r="AH512" s="92"/>
      <c r="AI512" s="92"/>
      <c r="AJ512" s="92"/>
      <c r="AK512" s="92"/>
      <c r="AL512" s="92"/>
      <c r="AM512" s="92"/>
      <c r="AN512" s="92"/>
      <c r="AO512" s="92"/>
      <c r="AP512" s="92"/>
      <c r="AQ512" s="92"/>
      <c r="AR512" s="92"/>
      <c r="AS512" s="92"/>
      <c r="AT512" s="93"/>
      <c r="AU512" s="94"/>
      <c r="AV512" s="992">
        <f t="shared" si="326"/>
        <v>0</v>
      </c>
      <c r="AW512" s="992">
        <f t="shared" si="327"/>
        <v>0</v>
      </c>
      <c r="AX512" s="992">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94"/>
      <c r="C513" s="1395"/>
      <c r="D513" s="80"/>
      <c r="E513" s="87">
        <f t="shared" si="325"/>
        <v>0</v>
      </c>
      <c r="F513" s="88"/>
      <c r="G513" s="89">
        <f t="shared" si="329"/>
        <v>0</v>
      </c>
      <c r="H513" s="90">
        <f t="shared" si="330"/>
        <v>0</v>
      </c>
      <c r="I513" s="1395"/>
      <c r="J513" s="91"/>
      <c r="K513" s="1395"/>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95"/>
      <c r="AG513" s="92"/>
      <c r="AH513" s="92"/>
      <c r="AI513" s="92"/>
      <c r="AJ513" s="92"/>
      <c r="AK513" s="92"/>
      <c r="AL513" s="92"/>
      <c r="AM513" s="92"/>
      <c r="AN513" s="92"/>
      <c r="AO513" s="92"/>
      <c r="AP513" s="92"/>
      <c r="AQ513" s="92"/>
      <c r="AR513" s="92"/>
      <c r="AS513" s="92"/>
      <c r="AT513" s="93"/>
      <c r="AU513" s="94"/>
      <c r="AV513" s="992">
        <f t="shared" si="326"/>
        <v>0</v>
      </c>
      <c r="AW513" s="992">
        <f t="shared" si="327"/>
        <v>0</v>
      </c>
      <c r="AX513" s="992">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94"/>
      <c r="C514" s="1395"/>
      <c r="D514" s="80"/>
      <c r="E514" s="87">
        <f t="shared" si="325"/>
        <v>0</v>
      </c>
      <c r="F514" s="88"/>
      <c r="G514" s="89">
        <f t="shared" si="329"/>
        <v>0</v>
      </c>
      <c r="H514" s="90">
        <f t="shared" si="330"/>
        <v>0</v>
      </c>
      <c r="I514" s="1395"/>
      <c r="J514" s="91"/>
      <c r="K514" s="1395"/>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95"/>
      <c r="AG514" s="92"/>
      <c r="AH514" s="92"/>
      <c r="AI514" s="92"/>
      <c r="AJ514" s="92"/>
      <c r="AK514" s="92"/>
      <c r="AL514" s="92"/>
      <c r="AM514" s="92"/>
      <c r="AN514" s="92"/>
      <c r="AO514" s="92"/>
      <c r="AP514" s="92"/>
      <c r="AQ514" s="92"/>
      <c r="AR514" s="92"/>
      <c r="AS514" s="92"/>
      <c r="AT514" s="93"/>
      <c r="AU514" s="94"/>
      <c r="AV514" s="992">
        <f t="shared" si="326"/>
        <v>0</v>
      </c>
      <c r="AW514" s="992">
        <f t="shared" si="327"/>
        <v>0</v>
      </c>
      <c r="AX514" s="992">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96"/>
      <c r="C515" s="1397"/>
      <c r="D515" s="80"/>
      <c r="E515" s="87">
        <f t="shared" si="325"/>
        <v>0</v>
      </c>
      <c r="F515" s="88"/>
      <c r="G515" s="89">
        <f t="shared" si="329"/>
        <v>0</v>
      </c>
      <c r="H515" s="90">
        <f t="shared" si="330"/>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31"/>
        <v>0</v>
      </c>
      <c r="AD515" s="92"/>
      <c r="AE515" s="92"/>
      <c r="AF515" s="1395"/>
      <c r="AG515" s="92"/>
      <c r="AH515" s="92"/>
      <c r="AI515" s="92"/>
      <c r="AJ515" s="92"/>
      <c r="AK515" s="92"/>
      <c r="AL515" s="92"/>
      <c r="AM515" s="92"/>
      <c r="AN515" s="92"/>
      <c r="AO515" s="92"/>
      <c r="AP515" s="92"/>
      <c r="AQ515" s="92"/>
      <c r="AR515" s="92"/>
      <c r="AS515" s="92"/>
      <c r="AT515" s="93"/>
      <c r="AU515" s="94"/>
      <c r="AV515" s="992">
        <f t="shared" si="326"/>
        <v>0</v>
      </c>
      <c r="AW515" s="992">
        <f t="shared" si="327"/>
        <v>0</v>
      </c>
      <c r="AX515" s="992">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92">
        <f t="shared" si="326"/>
        <v>0</v>
      </c>
      <c r="AW516" s="992">
        <f t="shared" si="327"/>
        <v>0</v>
      </c>
      <c r="AX516" s="992">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92">
        <f t="shared" si="326"/>
        <v>0</v>
      </c>
      <c r="AW517" s="992">
        <f t="shared" si="327"/>
        <v>0</v>
      </c>
      <c r="AX517" s="992">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92">
        <f t="shared" si="326"/>
        <v>0</v>
      </c>
      <c r="AW518" s="992">
        <f t="shared" si="327"/>
        <v>0</v>
      </c>
      <c r="AX518" s="992">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92">
        <f t="shared" si="326"/>
        <v>0</v>
      </c>
      <c r="AW519" s="992">
        <f t="shared" si="327"/>
        <v>0</v>
      </c>
      <c r="AX519" s="992">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92">
        <f t="shared" si="326"/>
        <v>0</v>
      </c>
      <c r="AW520" s="992">
        <f t="shared" si="327"/>
        <v>0</v>
      </c>
      <c r="AX520" s="992">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92">
        <f t="shared" si="326"/>
        <v>0</v>
      </c>
      <c r="AW521" s="992">
        <f t="shared" si="327"/>
        <v>0</v>
      </c>
      <c r="AX521" s="992">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92">
        <f t="shared" si="326"/>
        <v>0</v>
      </c>
      <c r="AW522" s="992">
        <f t="shared" si="327"/>
        <v>0</v>
      </c>
      <c r="AX522" s="992">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92">
        <f t="shared" si="326"/>
        <v>0</v>
      </c>
      <c r="AW523" s="992">
        <f t="shared" si="327"/>
        <v>0</v>
      </c>
      <c r="AX523" s="992">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92">
        <f t="shared" si="326"/>
        <v>0</v>
      </c>
      <c r="AW524" s="992">
        <f t="shared" si="327"/>
        <v>0</v>
      </c>
      <c r="AX524" s="992">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92">
        <f t="shared" si="326"/>
        <v>0</v>
      </c>
      <c r="AW525" s="992">
        <f t="shared" si="327"/>
        <v>0</v>
      </c>
      <c r="AX525" s="992">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92">
        <f t="shared" si="326"/>
        <v>0</v>
      </c>
      <c r="AW526" s="992">
        <f t="shared" si="327"/>
        <v>0</v>
      </c>
      <c r="AX526" s="992">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92">
        <f t="shared" si="326"/>
        <v>0</v>
      </c>
      <c r="AW527" s="992">
        <f t="shared" si="327"/>
        <v>0</v>
      </c>
      <c r="AX527" s="992">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92">
        <f t="shared" si="326"/>
        <v>0</v>
      </c>
      <c r="AW528" s="992">
        <f t="shared" si="327"/>
        <v>0</v>
      </c>
      <c r="AX528" s="992">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92">
        <f t="shared" si="326"/>
        <v>0</v>
      </c>
      <c r="AW529" s="992">
        <f t="shared" si="327"/>
        <v>0</v>
      </c>
      <c r="AX529" s="992">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92">
        <f t="shared" si="326"/>
        <v>0</v>
      </c>
      <c r="AW530" s="992">
        <f t="shared" si="327"/>
        <v>0</v>
      </c>
      <c r="AX530" s="992">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92">
        <f t="shared" si="326"/>
        <v>0</v>
      </c>
      <c r="AW531" s="992">
        <f t="shared" si="327"/>
        <v>0</v>
      </c>
      <c r="AX531" s="992">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92">
        <f t="shared" si="326"/>
        <v>0</v>
      </c>
      <c r="AW532" s="992">
        <f t="shared" si="327"/>
        <v>0</v>
      </c>
      <c r="AX532" s="992">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92">
        <f t="shared" si="326"/>
        <v>0</v>
      </c>
      <c r="AW533" s="992">
        <f t="shared" si="327"/>
        <v>0</v>
      </c>
      <c r="AX533" s="992">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92">
        <f t="shared" si="326"/>
        <v>0</v>
      </c>
      <c r="AW534" s="992">
        <f t="shared" si="327"/>
        <v>0</v>
      </c>
      <c r="AX534" s="992">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92">
        <f t="shared" si="326"/>
        <v>0</v>
      </c>
      <c r="AW535" s="992">
        <f t="shared" si="327"/>
        <v>0</v>
      </c>
      <c r="AX535" s="992">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92">
        <f t="shared" si="326"/>
        <v>0</v>
      </c>
      <c r="AW536" s="992">
        <f t="shared" si="327"/>
        <v>0</v>
      </c>
      <c r="AX536" s="992">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92">
        <f t="shared" si="326"/>
        <v>0</v>
      </c>
      <c r="AW537" s="992">
        <f t="shared" si="327"/>
        <v>0</v>
      </c>
      <c r="AX537" s="992">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8">A538</f>
        <v>0</v>
      </c>
      <c r="AW538" s="992">
        <f t="shared" ref="AW538:AW572" si="359">B538</f>
        <v>0</v>
      </c>
      <c r="AX538" s="992">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92">
        <f t="shared" si="358"/>
        <v>0</v>
      </c>
      <c r="AW539" s="992">
        <f t="shared" si="359"/>
        <v>0</v>
      </c>
      <c r="AX539" s="992">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92">
        <f t="shared" si="358"/>
        <v>0</v>
      </c>
      <c r="AW540" s="992">
        <f t="shared" si="359"/>
        <v>0</v>
      </c>
      <c r="AX540" s="992">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92">
        <f t="shared" si="358"/>
        <v>0</v>
      </c>
      <c r="AW541" s="992">
        <f t="shared" si="359"/>
        <v>0</v>
      </c>
      <c r="AX541" s="992">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92">
        <f t="shared" si="358"/>
        <v>0</v>
      </c>
      <c r="AW542" s="992">
        <f t="shared" si="359"/>
        <v>0</v>
      </c>
      <c r="AX542" s="992">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92">
        <f t="shared" si="358"/>
        <v>0</v>
      </c>
      <c r="AW543" s="992">
        <f t="shared" si="359"/>
        <v>0</v>
      </c>
      <c r="AX543" s="992">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92">
        <f t="shared" si="358"/>
        <v>0</v>
      </c>
      <c r="AW544" s="992">
        <f t="shared" si="359"/>
        <v>0</v>
      </c>
      <c r="AX544" s="992">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92">
        <f t="shared" si="358"/>
        <v>0</v>
      </c>
      <c r="AW545" s="992">
        <f t="shared" si="359"/>
        <v>0</v>
      </c>
      <c r="AX545" s="992">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92">
        <f t="shared" si="358"/>
        <v>0</v>
      </c>
      <c r="AW546" s="992">
        <f t="shared" si="359"/>
        <v>0</v>
      </c>
      <c r="AX546" s="992">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92">
        <f t="shared" si="358"/>
        <v>0</v>
      </c>
      <c r="AW547" s="992">
        <f t="shared" si="359"/>
        <v>0</v>
      </c>
      <c r="AX547" s="992">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92">
        <f t="shared" si="358"/>
        <v>0</v>
      </c>
      <c r="AW548" s="992">
        <f t="shared" si="359"/>
        <v>0</v>
      </c>
      <c r="AX548" s="992">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92">
        <f t="shared" si="358"/>
        <v>0</v>
      </c>
      <c r="AW549" s="992">
        <f t="shared" si="359"/>
        <v>0</v>
      </c>
      <c r="AX549" s="992">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92">
        <f t="shared" si="358"/>
        <v>0</v>
      </c>
      <c r="AW550" s="992">
        <f t="shared" si="359"/>
        <v>0</v>
      </c>
      <c r="AX550" s="992">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92">
        <f t="shared" si="358"/>
        <v>0</v>
      </c>
      <c r="AW551" s="992">
        <f t="shared" si="359"/>
        <v>0</v>
      </c>
      <c r="AX551" s="992">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92">
        <f t="shared" si="358"/>
        <v>0</v>
      </c>
      <c r="AW552" s="992">
        <f t="shared" si="359"/>
        <v>0</v>
      </c>
      <c r="AX552" s="992">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92">
        <f t="shared" si="358"/>
        <v>0</v>
      </c>
      <c r="AW553" s="992">
        <f t="shared" si="359"/>
        <v>0</v>
      </c>
      <c r="AX553" s="992">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92">
        <f t="shared" si="358"/>
        <v>0</v>
      </c>
      <c r="AW554" s="992">
        <f t="shared" si="359"/>
        <v>0</v>
      </c>
      <c r="AX554" s="992">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92">
        <f t="shared" si="358"/>
        <v>0</v>
      </c>
      <c r="AW555" s="992">
        <f t="shared" si="359"/>
        <v>0</v>
      </c>
      <c r="AX555" s="992">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92">
        <f t="shared" si="358"/>
        <v>0</v>
      </c>
      <c r="AW556" s="992">
        <f t="shared" si="359"/>
        <v>0</v>
      </c>
      <c r="AX556" s="992">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92">
        <f t="shared" si="358"/>
        <v>0</v>
      </c>
      <c r="AW557" s="992">
        <f t="shared" si="359"/>
        <v>0</v>
      </c>
      <c r="AX557" s="992">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92">
        <f t="shared" si="358"/>
        <v>0</v>
      </c>
      <c r="AW558" s="992">
        <f t="shared" si="359"/>
        <v>0</v>
      </c>
      <c r="AX558" s="992">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92">
        <f t="shared" si="358"/>
        <v>0</v>
      </c>
      <c r="AW559" s="992">
        <f t="shared" si="359"/>
        <v>0</v>
      </c>
      <c r="AX559" s="992">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92">
        <f t="shared" si="358"/>
        <v>0</v>
      </c>
      <c r="AW560" s="992">
        <f t="shared" si="359"/>
        <v>0</v>
      </c>
      <c r="AX560" s="992">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92">
        <f t="shared" si="358"/>
        <v>0</v>
      </c>
      <c r="AW561" s="992">
        <f t="shared" si="359"/>
        <v>0</v>
      </c>
      <c r="AX561" s="992">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92">
        <f t="shared" si="358"/>
        <v>0</v>
      </c>
      <c r="AW562" s="992">
        <f t="shared" si="359"/>
        <v>0</v>
      </c>
      <c r="AX562" s="992">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92">
        <f t="shared" si="358"/>
        <v>0</v>
      </c>
      <c r="AW563" s="992">
        <f t="shared" si="359"/>
        <v>0</v>
      </c>
      <c r="AX563" s="992">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92">
        <f t="shared" si="358"/>
        <v>0</v>
      </c>
      <c r="AW564" s="992">
        <f t="shared" si="359"/>
        <v>0</v>
      </c>
      <c r="AX564" s="992">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92">
        <f t="shared" si="358"/>
        <v>0</v>
      </c>
      <c r="AW565" s="992">
        <f t="shared" si="359"/>
        <v>0</v>
      </c>
      <c r="AX565" s="992">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92">
        <f t="shared" si="358"/>
        <v>0</v>
      </c>
      <c r="AW566" s="992">
        <f t="shared" si="359"/>
        <v>0</v>
      </c>
      <c r="AX566" s="992">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92">
        <f t="shared" si="358"/>
        <v>0</v>
      </c>
      <c r="AW567" s="992">
        <f t="shared" si="359"/>
        <v>0</v>
      </c>
      <c r="AX567" s="992">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92">
        <f t="shared" si="358"/>
        <v>0</v>
      </c>
      <c r="AW568" s="992">
        <f t="shared" si="359"/>
        <v>0</v>
      </c>
      <c r="AX568" s="992">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92">
        <f t="shared" si="358"/>
        <v>0</v>
      </c>
      <c r="AW569" s="992">
        <f t="shared" si="359"/>
        <v>0</v>
      </c>
      <c r="AX569" s="992">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8"/>
        <v>0</v>
      </c>
      <c r="AW570" s="992">
        <f t="shared" si="359"/>
        <v>0</v>
      </c>
      <c r="AX570" s="992">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8"/>
        <v>0</v>
      </c>
      <c r="AW571" s="992">
        <f t="shared" si="359"/>
        <v>0</v>
      </c>
      <c r="AX571" s="992">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8"/>
        <v>0</v>
      </c>
      <c r="AW572" s="992">
        <f t="shared" si="359"/>
        <v>0</v>
      </c>
      <c r="AX572" s="992">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2" t="s">
        <v>203</v>
      </c>
      <c r="B2" s="3292"/>
      <c r="C2" s="3292"/>
      <c r="D2" s="1976" t="s">
        <v>204</v>
      </c>
      <c r="E2" s="106" t="s">
        <v>205</v>
      </c>
      <c r="F2" s="1985"/>
      <c r="G2" s="1198"/>
      <c r="H2" s="1199"/>
      <c r="I2" s="1200" t="s">
        <v>857</v>
      </c>
      <c r="J2" s="1985"/>
      <c r="K2" s="1985"/>
      <c r="L2" s="1985"/>
    </row>
    <row r="3" spans="1:16" ht="15.75" thickBot="1">
      <c r="A3" s="3293" t="s">
        <v>206</v>
      </c>
      <c r="B3" s="3293"/>
      <c r="C3" s="3293"/>
      <c r="D3" s="107">
        <f>'数据-基础表'!AY6</f>
        <v>47310.04</v>
      </c>
      <c r="E3" s="107">
        <f>'数据-基础表'!AZ5</f>
        <v>150957.27000000002</v>
      </c>
      <c r="F3" s="1985"/>
      <c r="G3" s="280" t="s">
        <v>858</v>
      </c>
      <c r="H3" s="275" t="s">
        <v>859</v>
      </c>
      <c r="I3" s="1977">
        <f>ROUND('数据-基础表'!B3/'数据-基础表'!A3,2)</f>
        <v>3.19</v>
      </c>
      <c r="J3" s="1985"/>
      <c r="K3" s="1985"/>
      <c r="L3" s="1985"/>
    </row>
    <row r="4" spans="1:16" ht="15">
      <c r="A4" s="3294"/>
      <c r="B4" s="3295"/>
      <c r="C4" s="3296"/>
      <c r="D4" s="108" t="s">
        <v>204</v>
      </c>
      <c r="E4" s="109" t="s">
        <v>205</v>
      </c>
      <c r="F4" s="1985"/>
      <c r="G4" s="1201"/>
      <c r="H4" s="275" t="s">
        <v>860</v>
      </c>
      <c r="I4" s="1977">
        <f>ROUND(SUMIF('数据-基础表'!I9:AS9,"地上",'数据-基础表'!I5:AS5)/'数据-基础表'!A3,2)</f>
        <v>2.25</v>
      </c>
      <c r="J4" s="1985"/>
      <c r="K4" s="1985"/>
      <c r="L4" s="1985"/>
    </row>
    <row r="5" spans="1:16">
      <c r="A5" s="110" t="s">
        <v>207</v>
      </c>
      <c r="B5" s="3297" t="s">
        <v>230</v>
      </c>
      <c r="C5" s="3297"/>
      <c r="D5" s="111">
        <f>ROUND($D$3*E5/$E$3,2)</f>
        <v>31507.75</v>
      </c>
      <c r="E5" s="112">
        <f>SUMIF('数据-基础表'!$11:$11,"住宅",'数据-基础表'!$5:$5)</f>
        <v>100535.19</v>
      </c>
      <c r="F5" s="1985"/>
      <c r="G5" s="280" t="s">
        <v>861</v>
      </c>
      <c r="H5" s="275" t="s">
        <v>859</v>
      </c>
      <c r="I5" s="1977">
        <f>ROUND(E31/D31,2)</f>
        <v>3.19</v>
      </c>
      <c r="J5" s="1985"/>
      <c r="K5" s="1985"/>
      <c r="L5" s="1985"/>
    </row>
    <row r="6" spans="1:16" ht="15" thickBot="1">
      <c r="A6" s="113"/>
      <c r="B6" s="3297" t="s">
        <v>208</v>
      </c>
      <c r="C6" s="3297"/>
      <c r="D6" s="111">
        <f>ROUND($D$3*E6/$E$3,2)</f>
        <v>15802.29</v>
      </c>
      <c r="E6" s="112">
        <f>E3-E5</f>
        <v>50422.080000000016</v>
      </c>
      <c r="F6" s="1985"/>
      <c r="G6" s="1201"/>
      <c r="H6" s="275" t="s">
        <v>860</v>
      </c>
      <c r="I6" s="1977">
        <f>ROUND(F31/D31,2)</f>
        <v>2.2599999999999998</v>
      </c>
      <c r="J6" s="1985"/>
      <c r="K6" s="1985"/>
      <c r="L6" s="1985"/>
    </row>
    <row r="7" spans="1:16" ht="15">
      <c r="A7" s="3289"/>
      <c r="B7" s="3290"/>
      <c r="C7" s="3291"/>
      <c r="D7" s="108" t="s">
        <v>204</v>
      </c>
      <c r="E7" s="114" t="s">
        <v>231</v>
      </c>
      <c r="F7" s="1985"/>
      <c r="G7" s="1156" t="s">
        <v>1646</v>
      </c>
      <c r="H7" s="1157"/>
      <c r="I7" s="1847">
        <f>ROUND(133267.5/60675,2)</f>
        <v>2.2000000000000002</v>
      </c>
      <c r="J7" s="1985"/>
      <c r="K7" s="1985"/>
      <c r="L7" s="1985"/>
    </row>
    <row r="8" spans="1:16">
      <c r="A8" s="110" t="s">
        <v>209</v>
      </c>
      <c r="B8" s="115" t="s">
        <v>210</v>
      </c>
      <c r="C8" s="111" t="s">
        <v>211</v>
      </c>
      <c r="D8" s="111">
        <f t="shared" ref="D8:D15" si="0">ROUND($D$3*E8/$E$3,2)</f>
        <v>31674.17</v>
      </c>
      <c r="E8" s="116">
        <f>SUMIF('数据-基础表'!BB10:BK10,"地上",'数据-基础表'!BB5:BK5)</f>
        <v>101066.19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13862.19</v>
      </c>
      <c r="E13" s="116">
        <f>SUMPRODUCT(('数据-基础表'!BB10:BK10="地下")*('数据-基础表'!BB11:BK11="车库")*('数据-基础表'!BB5:BK5))</f>
        <v>44231.600000000006</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45536.36</v>
      </c>
      <c r="E16" s="120">
        <f>SUM(E8:E15)</f>
        <v>145297.79</v>
      </c>
      <c r="F16" s="1985"/>
      <c r="G16" s="1987"/>
      <c r="H16" s="968" t="s">
        <v>219</v>
      </c>
      <c r="I16" s="969"/>
      <c r="J16" s="1985"/>
      <c r="K16" s="3283" t="s">
        <v>2568</v>
      </c>
      <c r="L16" s="3284"/>
      <c r="M16" s="3284"/>
      <c r="N16" s="3284"/>
      <c r="O16" s="3284"/>
      <c r="P16" s="3285"/>
    </row>
    <row r="17" spans="1:19" ht="15">
      <c r="A17" s="121" t="s">
        <v>216</v>
      </c>
      <c r="B17" s="122" t="s">
        <v>217</v>
      </c>
      <c r="C17" s="2299" t="s">
        <v>2315</v>
      </c>
      <c r="D17" s="108" t="s">
        <v>204</v>
      </c>
      <c r="E17" s="124" t="s">
        <v>205</v>
      </c>
      <c r="F17" s="125"/>
      <c r="G17" s="1366"/>
      <c r="H17" s="970" t="s">
        <v>218</v>
      </c>
      <c r="I17" s="971" t="s">
        <v>2314</v>
      </c>
      <c r="J17" s="1985"/>
      <c r="K17" s="3286" t="s">
        <v>2569</v>
      </c>
      <c r="L17" s="3287"/>
      <c r="M17" s="3288"/>
      <c r="N17" s="3286" t="s">
        <v>2570</v>
      </c>
      <c r="O17" s="3287"/>
      <c r="P17" s="3288"/>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3024" t="s">
        <v>3009</v>
      </c>
      <c r="D19" s="111">
        <f t="shared" ref="D19:D26" si="1">ROUND($D$3*E19/$E$3,2)</f>
        <v>31507.75</v>
      </c>
      <c r="E19" s="134">
        <f t="shared" ref="E19:E26" si="2">SUM(F19:G19)</f>
        <v>100535.19</v>
      </c>
      <c r="F19" s="135">
        <f>'数据-基础表'!I13+'数据-基础表'!I14+'数据-基础表'!I15+'数据-基础表'!I18+'数据-基础表'!I19+'数据-基础表'!I20+'数据-基础表'!I21</f>
        <v>100535.19</v>
      </c>
      <c r="G19" s="1368"/>
      <c r="H19" s="974">
        <f>ROUND($D$3*I19/$E$3,2)</f>
        <v>1513.43</v>
      </c>
      <c r="I19" s="116">
        <f>IF($I$17="自定义",P19,M19)</f>
        <v>4829.07</v>
      </c>
      <c r="J19" s="1985"/>
      <c r="K19" s="2609">
        <f t="shared" ref="K19:K26" si="3">ROUND(E$28*E19/E$27,2)</f>
        <v>1865.07</v>
      </c>
      <c r="L19" s="275">
        <f t="shared" ref="L19:L26" si="4">ROUND(IF(COUNTIF(C19,"*住宅*")&gt;0,E$29*E19/E$32,0),2)</f>
        <v>2964</v>
      </c>
      <c r="M19" s="2610">
        <f>K19+L19</f>
        <v>4829.07</v>
      </c>
      <c r="N19" s="2611"/>
      <c r="O19" s="2612"/>
      <c r="P19" s="2613">
        <f>N19+O19</f>
        <v>0</v>
      </c>
      <c r="R19" s="275">
        <f t="shared" ref="R19:S26" si="5">D19+H19</f>
        <v>33021.18</v>
      </c>
      <c r="S19" s="2302">
        <f t="shared" si="5"/>
        <v>105364.26000000001</v>
      </c>
    </row>
    <row r="20" spans="1:19">
      <c r="A20" s="138"/>
      <c r="B20" s="115" t="s">
        <v>226</v>
      </c>
      <c r="C20" s="3024" t="s">
        <v>3010</v>
      </c>
      <c r="D20" s="111">
        <f t="shared" si="1"/>
        <v>166.42</v>
      </c>
      <c r="E20" s="134">
        <f t="shared" si="2"/>
        <v>531</v>
      </c>
      <c r="F20" s="135">
        <f>'数据-基础表'!K22</f>
        <v>531</v>
      </c>
      <c r="G20" s="1368"/>
      <c r="H20" s="974">
        <f t="shared" ref="H20:H26" si="6">ROUND($D$3*I20/$E$3,2)</f>
        <v>3.09</v>
      </c>
      <c r="I20" s="116">
        <f t="shared" ref="I20:I26" si="7">IF($I$17="自定义",P20,M20)</f>
        <v>9.85</v>
      </c>
      <c r="J20" s="1985"/>
      <c r="K20" s="2609">
        <f t="shared" si="3"/>
        <v>9.85</v>
      </c>
      <c r="L20" s="275">
        <f t="shared" si="4"/>
        <v>0</v>
      </c>
      <c r="M20" s="2610">
        <f t="shared" ref="M20:M26" si="8">K20+L20</f>
        <v>9.85</v>
      </c>
      <c r="N20" s="2611"/>
      <c r="O20" s="2612"/>
      <c r="P20" s="2613">
        <f t="shared" ref="P20:P26" si="9">N20+O20</f>
        <v>0</v>
      </c>
      <c r="R20" s="275">
        <f t="shared" si="5"/>
        <v>169.51</v>
      </c>
      <c r="S20" s="2302">
        <f t="shared" si="5"/>
        <v>540.85</v>
      </c>
    </row>
    <row r="21" spans="1:19">
      <c r="A21" s="138"/>
      <c r="B21" s="115" t="s">
        <v>226</v>
      </c>
      <c r="C21" s="3024" t="s">
        <v>3011</v>
      </c>
      <c r="D21" s="111">
        <f t="shared" si="1"/>
        <v>13862.19</v>
      </c>
      <c r="E21" s="134">
        <f t="shared" si="2"/>
        <v>44231.600000000006</v>
      </c>
      <c r="F21" s="135"/>
      <c r="G21" s="1368">
        <f>'数据-基础表'!M13+'数据-基础表'!M14+'数据-基础表'!M15+'数据-基础表'!M18+'数据-基础表'!M19+'数据-基础表'!M20+'数据-基础表'!M21</f>
        <v>44231.600000000006</v>
      </c>
      <c r="H21" s="974">
        <f t="shared" si="6"/>
        <v>257.16000000000003</v>
      </c>
      <c r="I21" s="116">
        <f t="shared" si="7"/>
        <v>820.56</v>
      </c>
      <c r="J21" s="1985"/>
      <c r="K21" s="2609">
        <f t="shared" si="3"/>
        <v>820.56</v>
      </c>
      <c r="L21" s="275">
        <f t="shared" si="4"/>
        <v>0</v>
      </c>
      <c r="M21" s="2610">
        <f t="shared" si="8"/>
        <v>820.56</v>
      </c>
      <c r="N21" s="2611"/>
      <c r="O21" s="2612"/>
      <c r="P21" s="2613">
        <f t="shared" si="9"/>
        <v>0</v>
      </c>
      <c r="R21" s="275">
        <f t="shared" si="5"/>
        <v>14119.35</v>
      </c>
      <c r="S21" s="2302">
        <f t="shared" si="5"/>
        <v>45052.160000000003</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45536.36</v>
      </c>
      <c r="E27" s="143">
        <f>IF(SUM(E19:E26)='数据-基础表'!BA5,SUM(E19:E26),IF(F27="地上面积有误","面积有误","地下面积有误"))</f>
        <v>145297.79</v>
      </c>
      <c r="F27" s="134">
        <f>IF(SUM(F19:F26)=E8,SUM(F19:F26),"地上面积有误")</f>
        <v>101066.19</v>
      </c>
      <c r="G27" s="112">
        <f>SUM(G19:G26)</f>
        <v>44231.600000000006</v>
      </c>
      <c r="H27" s="975">
        <f>SUM(H19:H26)</f>
        <v>1773.68</v>
      </c>
      <c r="I27" s="976">
        <f>SUM(I19:I26)</f>
        <v>5659.48</v>
      </c>
      <c r="J27" s="1985"/>
      <c r="K27" s="2618">
        <f>SUM(K19:K26)</f>
        <v>2695.4799999999996</v>
      </c>
      <c r="L27" s="2619">
        <f>SUM(L19:L26)</f>
        <v>2964</v>
      </c>
      <c r="M27" s="2620">
        <f>SUM(M19:M26)</f>
        <v>5659.48</v>
      </c>
      <c r="N27" s="2618">
        <f t="shared" ref="N27:O27" si="10">SUM(N19:N26)</f>
        <v>0</v>
      </c>
      <c r="O27" s="2619">
        <f t="shared" si="10"/>
        <v>0</v>
      </c>
      <c r="P27" s="2621">
        <f>SUM(P19:P26)</f>
        <v>0</v>
      </c>
      <c r="R27" s="2306">
        <f>IF(SUM(R19:R26)=$D$3,SUM(R19:R26),SUM(R19:R26)&amp;"误差"&amp;ROUND(SUM(R19:R26)-$D$3,2))</f>
        <v>47310.04</v>
      </c>
      <c r="S27" s="275">
        <f>IF(SUM(S19:S26)=$E$3,SUM(S19:S26),SUM(S19:S26)&amp;"误差"&amp;ROUND(SUM(S19:S26)-E3,2))</f>
        <v>150957.27000000002</v>
      </c>
    </row>
    <row r="28" spans="1:19">
      <c r="A28" s="138"/>
      <c r="B28" s="115" t="s">
        <v>227</v>
      </c>
      <c r="C28" s="136" t="s">
        <v>228</v>
      </c>
      <c r="D28" s="111">
        <f>ROUND($D$3*E28/$E$3,2)</f>
        <v>844.76</v>
      </c>
      <c r="E28" s="134">
        <f>SUM(F28:G28)</f>
        <v>2695.4799999999996</v>
      </c>
      <c r="F28" s="144">
        <f>'数据-基础表'!BQ5+'数据-基础表'!BS5</f>
        <v>2695.4799999999996</v>
      </c>
      <c r="G28" s="145">
        <f>'数据-基础表'!BR5+'数据-基础表'!BT5</f>
        <v>0</v>
      </c>
      <c r="H28" s="1985"/>
      <c r="I28" s="1985"/>
      <c r="J28" s="1985"/>
      <c r="K28" s="1985"/>
      <c r="L28" s="1985"/>
    </row>
    <row r="29" spans="1:19">
      <c r="A29" s="138"/>
      <c r="B29" s="115" t="s">
        <v>227</v>
      </c>
      <c r="C29" s="2314" t="s">
        <v>2322</v>
      </c>
      <c r="D29" s="111">
        <f>ROUND($D$3*E29/$E$3,2)</f>
        <v>928.92</v>
      </c>
      <c r="E29" s="134">
        <f>SUM(F29:G29)</f>
        <v>2964</v>
      </c>
      <c r="F29" s="144">
        <f>'数据-基础表'!BM5+'数据-基础表'!BO5</f>
        <v>2931</v>
      </c>
      <c r="G29" s="146">
        <f>'数据-基础表'!BN5+'数据-基础表'!BP5</f>
        <v>33</v>
      </c>
      <c r="H29" s="1985"/>
      <c r="I29" s="1985"/>
      <c r="J29" s="1985"/>
      <c r="K29" s="1985"/>
      <c r="L29" s="1985"/>
    </row>
    <row r="30" spans="1:19">
      <c r="A30" s="138"/>
      <c r="B30" s="111"/>
      <c r="C30" s="147" t="s">
        <v>215</v>
      </c>
      <c r="D30" s="134">
        <f>SUM(D28:D29)</f>
        <v>1773.6799999999998</v>
      </c>
      <c r="E30" s="134">
        <f>SUM(E28:E29)</f>
        <v>5659.48</v>
      </c>
      <c r="F30" s="134">
        <f>SUM(F28:F29)</f>
        <v>5626.48</v>
      </c>
      <c r="G30" s="112">
        <f>SUM(G28:G29)</f>
        <v>33</v>
      </c>
      <c r="H30" s="1985"/>
      <c r="I30" s="1985"/>
      <c r="J30" s="1985"/>
      <c r="K30" s="1985"/>
      <c r="L30" s="1985"/>
    </row>
    <row r="31" spans="1:19" ht="32.25" customHeight="1" thickBot="1">
      <c r="A31" s="1370"/>
      <c r="B31" s="1371" t="s">
        <v>229</v>
      </c>
      <c r="C31" s="2331" t="s">
        <v>2324</v>
      </c>
      <c r="D31" s="1372">
        <f>D27+D30</f>
        <v>47310.04</v>
      </c>
      <c r="E31" s="1372">
        <f>E27+E30</f>
        <v>150957.27000000002</v>
      </c>
      <c r="F31" s="1373">
        <f>F27+F30</f>
        <v>106692.67</v>
      </c>
      <c r="G31" s="1374">
        <f>G27+G30</f>
        <v>44264.600000000006</v>
      </c>
      <c r="H31" s="1985"/>
      <c r="I31" s="1985"/>
      <c r="J31" s="1985"/>
      <c r="K31" s="1985"/>
      <c r="L31" s="1985"/>
    </row>
    <row r="32" spans="1:19">
      <c r="A32" s="1985"/>
      <c r="B32" s="2364" t="s">
        <v>2323</v>
      </c>
      <c r="C32" s="2648"/>
      <c r="D32" s="1201"/>
      <c r="E32" s="1201">
        <f>SUMIF(C19:C26,"*住宅*",E19:E26)</f>
        <v>100535.19</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36" activePane="bottomRight" state="frozen"/>
      <selection pane="topRight" activeCell="D1" sqref="D1"/>
      <selection pane="bottomLeft" activeCell="A4" sqref="A4"/>
      <selection pane="bottomRight" activeCell="S57" sqref="S5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1" width="12.375" style="1218" customWidth="1"/>
    <col min="12" max="12" width="14"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43305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67572</v>
      </c>
      <c r="F6" s="174">
        <f>SUMIF(项目基本情况!D$15:I$15,C6,项目基本情况!D$19:I$19)</f>
        <v>66.48</v>
      </c>
      <c r="G6" s="175">
        <f>IF(ISERROR(ROUND(POWER(1+H6,D6-F6)*(POWER(1+H6,F6)-1)/(POWER(1+H6,D6)-1),3)),0,ROUND(POWER(1+H6,D6-F6)*(POWER(1+H6,F6)-1)/(POWER(1+H6,D6)-1),3))</f>
        <v>0.99399999999999999</v>
      </c>
      <c r="H6" s="3025">
        <v>0.05</v>
      </c>
      <c r="I6" s="3025">
        <v>5.5E-2</v>
      </c>
      <c r="J6" s="176">
        <v>0.08</v>
      </c>
      <c r="K6" s="179">
        <f>SUMIF('数据-汇总表'!C$19:C$33,'数据-取费表'!A6,'数据-汇总表'!E$19:E$33)</f>
        <v>100535.19</v>
      </c>
      <c r="L6" s="3026">
        <v>2200</v>
      </c>
      <c r="M6" s="177">
        <f t="shared" ref="M6:M14" si="0">ROUND(K6*L6/10000,0)</f>
        <v>22118</v>
      </c>
      <c r="N6" s="3027">
        <v>0</v>
      </c>
      <c r="O6" s="177">
        <f>IF($N$5="成新度","——",ROUND(M6*N6,0))</f>
        <v>0</v>
      </c>
      <c r="P6" s="178">
        <f>IF($N$5="成新度","——",M6-O6)</f>
        <v>22118</v>
      </c>
      <c r="Q6" s="3028">
        <v>0.1</v>
      </c>
      <c r="R6" s="179">
        <f>SUMIF('数据-汇总表'!C$19:C$33,A6,'数据-汇总表'!R$19:R$33)</f>
        <v>33021.18</v>
      </c>
      <c r="S6" s="132">
        <f>IF('数据-汇总表'!$I$17="按面积比例",SUMIF('数据-汇总表'!C$19:C$33,A6,'数据-汇总表'!K$19:K$33),SUMIF('数据-汇总表'!C$19:C$33,A6,'数据-汇总表'!N$19:N$33))</f>
        <v>1865.07</v>
      </c>
      <c r="T6" s="2235">
        <f>IF($T$4="按面积比例",IF(ISERROR(ROUND($M$14*S6/S$16,0)),"0",ROUND($M$14*S6/S$16,0)),"需自行计算录入")</f>
        <v>410</v>
      </c>
      <c r="U6" s="180"/>
      <c r="V6" s="181"/>
      <c r="W6" s="181"/>
      <c r="X6" s="2322"/>
      <c r="Y6" s="182">
        <v>1</v>
      </c>
      <c r="Z6" s="183"/>
      <c r="AA6" s="176"/>
      <c r="AB6" s="176"/>
      <c r="AC6" s="2325"/>
      <c r="AD6" s="184"/>
      <c r="AE6" s="972">
        <f ca="1">IF(AN6="",0,SUMIF(INDIRECT("'"&amp;AN6&amp;"'"&amp;"!E:E"),$AE$5,INDIRECT("'"&amp;AN6&amp;"'"&amp;"!F:F")))</f>
        <v>0</v>
      </c>
      <c r="AF6" s="141"/>
      <c r="AG6" s="1213">
        <f>IF(AF6="",0,AE6-AF6)</f>
        <v>0</v>
      </c>
      <c r="AH6" s="141"/>
      <c r="AI6" s="187"/>
      <c r="AJ6" s="188"/>
      <c r="AK6" s="189"/>
      <c r="AL6" s="190"/>
      <c r="AM6" s="3039"/>
      <c r="AN6" s="2393"/>
      <c r="AO6" s="2001"/>
      <c r="AP6" s="1204">
        <f>ROUND(1-1/(1+H6)^F6,3)</f>
        <v>0.96099999999999997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2997</v>
      </c>
      <c r="D7" s="2309">
        <f>SUMIF(项目基本情况!D$15:I$15,C7,项目基本情况!D$18:I$18)</f>
        <v>40</v>
      </c>
      <c r="E7" s="2310">
        <f>IF(B7="","",SUMIF(项目基本情况!D$15:I$15,C7,项目基本情况!D$17:I$17))</f>
        <v>56614</v>
      </c>
      <c r="F7" s="174">
        <f>SUMIF(项目基本情况!D$15:I$15,C7,项目基本情况!D$19:I$19)</f>
        <v>36.46</v>
      </c>
      <c r="G7" s="175">
        <f t="shared" ref="G7:G11" si="2">IF(ISERROR(ROUND(POWER(1+H7,D7-F7)*(POWER(1+H7,F7)-1)/(POWER(1+H7,D7)-1),3)),0,ROUND(POWER(1+H7,D7-F7)*(POWER(1+H7,F7)-1)/(POWER(1+H7,D7)-1),3))</f>
        <v>0.97199999999999998</v>
      </c>
      <c r="H7" s="3025">
        <v>5.5E-2</v>
      </c>
      <c r="I7" s="3025">
        <v>0.06</v>
      </c>
      <c r="J7" s="176">
        <v>0.08</v>
      </c>
      <c r="K7" s="179">
        <f>SUMIF('数据-汇总表'!C$19:C$33,'数据-取费表'!A7,'数据-汇总表'!E$19:E$33)</f>
        <v>531</v>
      </c>
      <c r="L7" s="3026">
        <v>2500</v>
      </c>
      <c r="M7" s="177">
        <f t="shared" si="0"/>
        <v>133</v>
      </c>
      <c r="N7" s="3027">
        <v>0</v>
      </c>
      <c r="O7" s="177">
        <f t="shared" ref="O7:O14" si="3">IF($N$5="成新度","——",ROUND(M7*N7,0))</f>
        <v>0</v>
      </c>
      <c r="P7" s="178">
        <f t="shared" ref="P7:P14" si="4">IF($N$5="成新度","——",M7-O7)</f>
        <v>133</v>
      </c>
      <c r="Q7" s="3028">
        <v>0.1</v>
      </c>
      <c r="R7" s="179">
        <f>SUMIF('数据-汇总表'!C$19:C$33,A7,'数据-汇总表'!R$19:R$33)</f>
        <v>169.51</v>
      </c>
      <c r="S7" s="132">
        <f>IF('数据-汇总表'!$I$17="按面积比例",SUMIF('数据-汇总表'!C$19:C$33,A7,'数据-汇总表'!K$19:K$33),SUMIF('数据-汇总表'!C$19:C$33,A7,'数据-汇总表'!N$19:N$33))</f>
        <v>9.85</v>
      </c>
      <c r="T7" s="2235">
        <f t="shared" ref="T7:T13" si="5">IF($T$4="按面积比例",IF(ISERROR(ROUND($M$14*S7/S$16,0)),"0",ROUND($M$14*S7/S$16,0)),"需自行计算录入")</f>
        <v>2</v>
      </c>
      <c r="U7" s="180"/>
      <c r="V7" s="181"/>
      <c r="W7" s="181"/>
      <c r="X7" s="2322"/>
      <c r="Y7" s="182">
        <v>1</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0.85799999999999998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3008</v>
      </c>
      <c r="D8" s="2309">
        <f>SUMIF(项目基本情况!D$15:I$15,C8,项目基本情况!D$18:I$18)</f>
        <v>50</v>
      </c>
      <c r="E8" s="2310">
        <f>IF(B8="","",SUMIF(项目基本情况!D$15:I$15,C8,项目基本情况!D$17:I$17))</f>
        <v>60267</v>
      </c>
      <c r="F8" s="174">
        <f>SUMIF(项目基本情况!D$15:I$15,C8,项目基本情况!D$19:I$19)</f>
        <v>46.47</v>
      </c>
      <c r="G8" s="175">
        <f t="shared" si="2"/>
        <v>0.97899999999999998</v>
      </c>
      <c r="H8" s="3025">
        <v>4.4999999999999998E-2</v>
      </c>
      <c r="I8" s="3025">
        <v>0.05</v>
      </c>
      <c r="J8" s="176">
        <v>0.08</v>
      </c>
      <c r="K8" s="179">
        <f>SUMIF('数据-汇总表'!C$19:C$33,'数据-取费表'!A8,'数据-汇总表'!E$19:E$33)</f>
        <v>44231.600000000006</v>
      </c>
      <c r="L8" s="3026">
        <v>2200</v>
      </c>
      <c r="M8" s="177">
        <f>ROUND(K8*L8/10000,0)</f>
        <v>9731</v>
      </c>
      <c r="N8" s="3027">
        <v>0</v>
      </c>
      <c r="O8" s="177">
        <f t="shared" si="3"/>
        <v>0</v>
      </c>
      <c r="P8" s="178">
        <f t="shared" si="4"/>
        <v>9731</v>
      </c>
      <c r="Q8" s="3028">
        <v>0.05</v>
      </c>
      <c r="R8" s="179">
        <f>SUMIF('数据-汇总表'!C$19:C$33,A8,'数据-汇总表'!R$19:R$33)</f>
        <v>14119.35</v>
      </c>
      <c r="S8" s="132">
        <f>IF('数据-汇总表'!$I$17="按面积比例",SUMIF('数据-汇总表'!C$19:C$33,A8,'数据-汇总表'!K$19:K$33),SUMIF('数据-汇总表'!C$19:C$33,A8,'数据-汇总表'!N$19:N$33))</f>
        <v>820.56</v>
      </c>
      <c r="T8" s="2235">
        <f t="shared" si="5"/>
        <v>181</v>
      </c>
      <c r="U8" s="180"/>
      <c r="V8" s="181"/>
      <c r="W8" s="181"/>
      <c r="X8" s="2322"/>
      <c r="Y8" s="182">
        <v>1</v>
      </c>
      <c r="Z8" s="183"/>
      <c r="AA8" s="176"/>
      <c r="AB8" s="176"/>
      <c r="AC8" s="2325"/>
      <c r="AD8" s="184"/>
      <c r="AE8" s="972">
        <f t="shared" ca="1" si="6"/>
        <v>0</v>
      </c>
      <c r="AF8" s="141"/>
      <c r="AG8" s="1213">
        <f t="shared" si="7"/>
        <v>0</v>
      </c>
      <c r="AH8" s="141">
        <f>ROUND(1650*7/9,0)</f>
        <v>1283</v>
      </c>
      <c r="AI8" s="187">
        <v>12</v>
      </c>
      <c r="AJ8" s="188"/>
      <c r="AK8" s="189"/>
      <c r="AL8" s="190"/>
      <c r="AM8" s="2391"/>
      <c r="AN8" s="2393"/>
      <c r="AO8" s="2001"/>
      <c r="AP8" s="1204">
        <f t="shared" si="8"/>
        <v>0.871</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1680</v>
      </c>
      <c r="C14" s="2308" t="s">
        <v>2316</v>
      </c>
      <c r="D14" s="2309"/>
      <c r="E14" s="2310"/>
      <c r="F14" s="174"/>
      <c r="G14" s="175"/>
      <c r="H14" s="2311"/>
      <c r="I14" s="2311"/>
      <c r="J14" s="2311"/>
      <c r="K14" s="179">
        <f>SUMIF('数据-汇总表'!C$19:C$33,'数据-取费表'!A14,'数据-汇总表'!E$19:E$33)</f>
        <v>2695.4799999999996</v>
      </c>
      <c r="L14" s="193">
        <v>2200</v>
      </c>
      <c r="M14" s="177">
        <f t="shared" si="0"/>
        <v>593</v>
      </c>
      <c r="N14" s="194">
        <v>0</v>
      </c>
      <c r="O14" s="177">
        <f t="shared" si="3"/>
        <v>0</v>
      </c>
      <c r="P14" s="178">
        <f t="shared" si="4"/>
        <v>593</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1680</v>
      </c>
      <c r="C15" s="2308" t="s">
        <v>2317</v>
      </c>
      <c r="D15" s="2309"/>
      <c r="E15" s="2310"/>
      <c r="F15" s="174"/>
      <c r="G15" s="175"/>
      <c r="H15" s="2311"/>
      <c r="I15" s="2311"/>
      <c r="J15" s="2311"/>
      <c r="K15" s="179">
        <f>SUMIF('数据-汇总表'!C$19:C$33,'数据-取费表'!A15,'数据-汇总表'!E$19:E$33)</f>
        <v>2964</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150957.27000000002</v>
      </c>
      <c r="L16" s="206">
        <f>ROUND(M16*10000/SUM(K6:K14),0)</f>
        <v>2201</v>
      </c>
      <c r="M16" s="206">
        <f>SUM(M6:M14)</f>
        <v>32575</v>
      </c>
      <c r="N16" s="207">
        <f>ROUND(SUMPRODUCT(M6:M14,N6:N14)/M16,3)</f>
        <v>0</v>
      </c>
      <c r="O16" s="206">
        <f>SUM(O6:O14)</f>
        <v>0</v>
      </c>
      <c r="P16" s="206">
        <f>SUM(P6:P14)</f>
        <v>32575</v>
      </c>
      <c r="Q16" s="208">
        <f>ROUND(SUMPRODUCT(Q6:Q13,K6:K13)/SUMPRODUCT((Q6:Q13&gt;0)*(K6:K13)),2)</f>
        <v>0.08</v>
      </c>
      <c r="R16" s="2312">
        <f>SUM(R6:R13)</f>
        <v>47310.04</v>
      </c>
      <c r="S16" s="209">
        <f>SUM(S6:S13)</f>
        <v>2695.4799999999996</v>
      </c>
      <c r="T16" s="210">
        <f>IF(SUMIF(T6:T13,"&lt;9E307")=M14,SUMIF(T6:T13,"&lt;9E307"),"有误，请检查")</f>
        <v>593</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0.93300000000000005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f>ROUND((K6*L6+K7*L7+K8*L8)/10000,0)</f>
        <v>31981</v>
      </c>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f>15572+38720</f>
        <v>54292</v>
      </c>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88</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50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6" t="s">
        <v>2895</v>
      </c>
      <c r="D35" s="1994"/>
      <c r="E35" s="1993"/>
      <c r="F35" s="1993"/>
      <c r="G35" s="1993"/>
      <c r="H35" s="1993"/>
      <c r="I35" s="1993"/>
      <c r="J35" s="1993"/>
      <c r="K35" s="1992"/>
      <c r="L35" s="1992"/>
      <c r="M35" s="1990"/>
      <c r="N35" s="1990">
        <v>3</v>
      </c>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4"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5"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5"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6" t="s">
        <v>2904</v>
      </c>
      <c r="D53" s="3077"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9" t="s">
        <v>2906</v>
      </c>
      <c r="B54" s="186">
        <v>8</v>
      </c>
      <c r="C54" s="1995">
        <v>30</v>
      </c>
      <c r="D54" s="3078"/>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9" t="s">
        <v>2907</v>
      </c>
      <c r="B55" s="186">
        <v>6</v>
      </c>
      <c r="C55" s="1995">
        <v>24</v>
      </c>
      <c r="D55" s="3078"/>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9" t="s">
        <v>2908</v>
      </c>
      <c r="B56" s="186"/>
      <c r="C56" s="1995">
        <v>18</v>
      </c>
      <c r="D56" s="3078"/>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9" t="s">
        <v>2909</v>
      </c>
      <c r="B57" s="186"/>
      <c r="C57" s="1995">
        <v>12</v>
      </c>
      <c r="D57" s="3078"/>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9" t="s">
        <v>2910</v>
      </c>
      <c r="B58" s="186"/>
      <c r="C58" s="1995">
        <v>3</v>
      </c>
      <c r="D58" s="3078"/>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9" t="s">
        <v>2911</v>
      </c>
      <c r="B59" s="186"/>
      <c r="C59" s="1995">
        <v>1.5</v>
      </c>
      <c r="D59" s="3078"/>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9"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9"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9"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0"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4" sqref="I4"/>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8" t="s">
        <v>1664</v>
      </c>
      <c r="B1" s="3299"/>
      <c r="C1" s="3299"/>
      <c r="D1" s="3299"/>
      <c r="E1" s="3299"/>
      <c r="F1" s="3299"/>
      <c r="G1" s="3299"/>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1" t="s">
        <v>2922</v>
      </c>
      <c r="D3" s="2010"/>
      <c r="E3" s="1229" t="s">
        <v>1667</v>
      </c>
      <c r="F3" s="1230" t="s">
        <v>1655</v>
      </c>
      <c r="G3" s="3085" t="s">
        <v>2921</v>
      </c>
      <c r="H3" s="2009"/>
      <c r="I3" s="2009"/>
      <c r="J3" s="2009"/>
      <c r="K3" s="2009"/>
      <c r="L3" s="2009"/>
      <c r="M3" s="2009"/>
      <c r="N3" s="2009"/>
      <c r="O3" s="2009"/>
      <c r="P3" s="2009"/>
      <c r="Q3" s="2009"/>
      <c r="R3" s="2009"/>
    </row>
    <row r="4" spans="1:18" ht="41.25">
      <c r="A4" s="1229"/>
      <c r="B4" s="1231" t="s">
        <v>1668</v>
      </c>
      <c r="C4" s="3082" t="s">
        <v>2923</v>
      </c>
      <c r="D4" s="2010"/>
      <c r="E4" s="1232"/>
      <c r="F4" s="1233" t="s">
        <v>1669</v>
      </c>
      <c r="G4" s="3083" t="s">
        <v>2918</v>
      </c>
      <c r="H4" s="2009"/>
      <c r="I4" s="2009"/>
      <c r="J4" s="2009"/>
      <c r="K4" s="2009"/>
      <c r="L4" s="2009"/>
      <c r="M4" s="2009"/>
      <c r="N4" s="2009"/>
      <c r="O4" s="2009"/>
      <c r="P4" s="2009"/>
      <c r="Q4" s="2009"/>
      <c r="R4" s="2009"/>
    </row>
    <row r="5" spans="1:18" ht="41.25">
      <c r="A5" s="1229"/>
      <c r="B5" s="1231" t="s">
        <v>1670</v>
      </c>
      <c r="C5" s="3082" t="s">
        <v>2924</v>
      </c>
      <c r="D5" s="2010"/>
      <c r="E5" s="1232"/>
      <c r="F5" s="1231" t="s">
        <v>2548</v>
      </c>
      <c r="G5" s="3083" t="s">
        <v>2919</v>
      </c>
      <c r="H5" s="2009"/>
      <c r="I5" s="2009"/>
      <c r="J5" s="2009"/>
      <c r="K5" s="2009"/>
      <c r="L5" s="2009"/>
      <c r="M5" s="2009"/>
      <c r="N5" s="2009"/>
      <c r="O5" s="2009"/>
      <c r="P5" s="2009"/>
      <c r="Q5" s="2009"/>
      <c r="R5" s="2009"/>
    </row>
    <row r="6" spans="1:18" ht="54">
      <c r="A6" s="1229"/>
      <c r="B6" s="1231" t="s">
        <v>1656</v>
      </c>
      <c r="C6" s="3083" t="s">
        <v>2918</v>
      </c>
      <c r="D6" s="2010"/>
      <c r="E6" s="1232"/>
      <c r="F6" s="1231" t="s">
        <v>2549</v>
      </c>
      <c r="G6" s="3083" t="s">
        <v>2916</v>
      </c>
      <c r="H6" s="2009"/>
      <c r="I6" s="2009"/>
      <c r="J6" s="2009"/>
      <c r="K6" s="2009"/>
      <c r="L6" s="2009"/>
      <c r="M6" s="2009"/>
      <c r="N6" s="2009"/>
      <c r="O6" s="2009"/>
      <c r="P6" s="2009"/>
      <c r="Q6" s="2009"/>
      <c r="R6" s="2009"/>
    </row>
    <row r="7" spans="1:18" ht="41.25" thickBot="1">
      <c r="A7" s="1229"/>
      <c r="B7" s="1231" t="s">
        <v>2548</v>
      </c>
      <c r="C7" s="3083" t="s">
        <v>2919</v>
      </c>
      <c r="D7" s="2011"/>
      <c r="E7" s="1234"/>
      <c r="F7" s="1235" t="s">
        <v>1671</v>
      </c>
      <c r="G7" s="3086" t="s">
        <v>2920</v>
      </c>
      <c r="H7" s="2009"/>
      <c r="I7" s="2009"/>
      <c r="J7" s="2009"/>
      <c r="K7" s="2009"/>
      <c r="L7" s="2009"/>
      <c r="M7" s="2009"/>
      <c r="N7" s="2009"/>
      <c r="O7" s="2009"/>
      <c r="P7" s="2009"/>
      <c r="Q7" s="2009"/>
      <c r="R7" s="2009"/>
    </row>
    <row r="8" spans="1:18" ht="27">
      <c r="A8" s="1229"/>
      <c r="B8" s="1231" t="s">
        <v>2549</v>
      </c>
      <c r="C8" s="3083" t="s">
        <v>2916</v>
      </c>
      <c r="D8" s="2011"/>
      <c r="E8" s="2011"/>
      <c r="F8" s="1554"/>
      <c r="G8" s="1554"/>
      <c r="H8" s="2009"/>
      <c r="I8" s="2009"/>
      <c r="J8" s="2009"/>
      <c r="K8" s="2009"/>
      <c r="L8" s="2009"/>
      <c r="M8" s="2009"/>
      <c r="N8" s="2009"/>
      <c r="O8" s="2009"/>
      <c r="P8" s="2009"/>
      <c r="Q8" s="2009"/>
      <c r="R8" s="2009"/>
    </row>
    <row r="9" spans="1:18" ht="40.5">
      <c r="A9" s="1229"/>
      <c r="B9" s="1231" t="s">
        <v>1657</v>
      </c>
      <c r="C9" s="3082"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2548</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1662</v>
      </c>
      <c r="G21" s="3087"/>
    </row>
    <row r="22" spans="1:7" ht="27">
      <c r="A22" s="2590"/>
      <c r="B22" s="1231" t="s">
        <v>2549</v>
      </c>
      <c r="C22" s="1005" t="str">
        <f>C8</f>
        <v>估价对象所在区域基础设施水平</v>
      </c>
      <c r="D22" s="2010"/>
      <c r="E22" s="2587"/>
      <c r="F22" s="1247" t="s">
        <v>1672</v>
      </c>
      <c r="G22" s="2795"/>
    </row>
    <row r="23" spans="1:7" ht="15" thickBot="1">
      <c r="A23" s="2590"/>
      <c r="B23" s="1247" t="s">
        <v>1662</v>
      </c>
      <c r="C23" s="3087"/>
      <c r="E23" s="2588"/>
      <c r="F23" s="1248" t="s">
        <v>1676</v>
      </c>
      <c r="G23" s="3088"/>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customWidth="1"/>
  </cols>
  <sheetData>
    <row r="1" spans="1:9" ht="16.5">
      <c r="A1" s="3045" t="s">
        <v>2845</v>
      </c>
      <c r="B1" s="3045">
        <f>SUM(B14:B23)</f>
        <v>193203.35000000003</v>
      </c>
      <c r="C1" s="3046"/>
      <c r="D1" s="3046"/>
      <c r="E1" s="3046"/>
      <c r="F1" s="3046"/>
    </row>
    <row r="2" spans="1:9" ht="16.5">
      <c r="A2" s="3045" t="s">
        <v>2846</v>
      </c>
      <c r="B2" s="3045">
        <f>SUM(C14:C23)</f>
        <v>60549.97</v>
      </c>
      <c r="C2" s="3046"/>
      <c r="D2" s="3046"/>
      <c r="E2" s="3046"/>
      <c r="F2" s="3046"/>
    </row>
    <row r="3" spans="1:9" ht="16.5">
      <c r="A3" s="3045" t="s">
        <v>2847</v>
      </c>
      <c r="B3" s="3047">
        <f>项目基本情况!D3</f>
        <v>43305</v>
      </c>
      <c r="C3" s="3046"/>
      <c r="D3" s="3046"/>
      <c r="E3" s="3046"/>
      <c r="F3" s="3046"/>
    </row>
    <row r="4" spans="1:9" ht="33">
      <c r="A4" s="3045" t="s">
        <v>2848</v>
      </c>
      <c r="B4" s="3045" t="s">
        <v>2849</v>
      </c>
      <c r="C4" s="3045" t="s">
        <v>2850</v>
      </c>
      <c r="D4" s="3045" t="s">
        <v>2851</v>
      </c>
      <c r="E4" s="3046"/>
      <c r="F4" s="3046"/>
    </row>
    <row r="5" spans="1:9" ht="16.5">
      <c r="A5" s="3045" t="s">
        <v>2852</v>
      </c>
      <c r="B5" s="3045">
        <f ca="1">SUM(D14:D23)</f>
        <v>52103</v>
      </c>
      <c r="C5" s="3045">
        <f ca="1">ROUND(B5*10000/$B$1,0)</f>
        <v>2697</v>
      </c>
      <c r="D5" s="3045">
        <f ca="1">ROUND(B5*10000/$B$2,0)</f>
        <v>8605</v>
      </c>
      <c r="E5" s="3046"/>
      <c r="F5" s="3046"/>
    </row>
    <row r="6" spans="1:9" ht="16.5">
      <c r="A6" s="3045" t="s">
        <v>2853</v>
      </c>
      <c r="B6" s="3045">
        <f ca="1">SUM(G14:G23)</f>
        <v>52103</v>
      </c>
      <c r="C6" s="3045">
        <f t="shared" ref="C6:C8" ca="1" si="0">ROUND(B6*10000/$B$1,0)</f>
        <v>2697</v>
      </c>
      <c r="D6" s="3045">
        <f t="shared" ref="D6:D8" ca="1" si="1">ROUND(B6*10000/$B$2,0)</f>
        <v>8605</v>
      </c>
      <c r="E6" s="3046"/>
      <c r="F6" s="3046"/>
    </row>
    <row r="7" spans="1:9" ht="16.5">
      <c r="A7" s="3045" t="s">
        <v>2854</v>
      </c>
      <c r="B7" s="3045">
        <f>SUM(H14:H23)</f>
        <v>0</v>
      </c>
      <c r="C7" s="3045">
        <f t="shared" si="0"/>
        <v>0</v>
      </c>
      <c r="D7" s="3045">
        <f t="shared" si="1"/>
        <v>0</v>
      </c>
      <c r="E7" s="3046"/>
      <c r="F7" s="3046"/>
    </row>
    <row r="8" spans="1:9" ht="16.5">
      <c r="A8" s="3045" t="s">
        <v>2855</v>
      </c>
      <c r="B8" s="3045">
        <f>SUM(I14:I23)</f>
        <v>0</v>
      </c>
      <c r="C8" s="3045">
        <f t="shared" si="0"/>
        <v>0</v>
      </c>
      <c r="D8" s="3045">
        <f t="shared" si="1"/>
        <v>0</v>
      </c>
      <c r="E8" s="3046"/>
      <c r="F8" s="3046"/>
    </row>
    <row r="9" spans="1:9" ht="16.5">
      <c r="A9" s="3045" t="s">
        <v>2856</v>
      </c>
      <c r="B9" s="3048"/>
      <c r="C9" s="3046"/>
      <c r="D9" s="3046"/>
      <c r="E9" s="3046"/>
      <c r="F9" s="3046"/>
    </row>
    <row r="10" spans="1:9" ht="16.5">
      <c r="A10" s="3045" t="s">
        <v>2857</v>
      </c>
      <c r="B10" s="3048"/>
      <c r="C10" s="3046"/>
      <c r="D10" s="3046"/>
      <c r="E10" s="3046"/>
      <c r="F10" s="3046"/>
    </row>
    <row r="11" spans="1:9" ht="16.5">
      <c r="A11" s="3045" t="s">
        <v>2874</v>
      </c>
      <c r="B11" s="3048"/>
      <c r="C11" s="3046"/>
      <c r="D11" s="3046"/>
      <c r="E11" s="3046"/>
      <c r="F11" s="3046"/>
    </row>
    <row r="12" spans="1:9" ht="16.5">
      <c r="A12" s="3046"/>
      <c r="B12" s="3046"/>
      <c r="C12" s="3046"/>
      <c r="D12" s="3046"/>
      <c r="E12" s="3046"/>
      <c r="F12" s="3046"/>
    </row>
    <row r="13" spans="1:9" ht="33">
      <c r="A13" s="3051" t="s">
        <v>2873</v>
      </c>
      <c r="B13" s="3049" t="s">
        <v>2845</v>
      </c>
      <c r="C13" s="3049" t="s">
        <v>2846</v>
      </c>
      <c r="D13" s="3049" t="s">
        <v>2858</v>
      </c>
      <c r="E13" s="3045" t="s">
        <v>2872</v>
      </c>
      <c r="F13" s="3045" t="s">
        <v>2851</v>
      </c>
      <c r="G13" s="3049" t="s">
        <v>2859</v>
      </c>
      <c r="H13" s="3049" t="s">
        <v>2860</v>
      </c>
      <c r="I13" s="3049" t="s">
        <v>2861</v>
      </c>
    </row>
    <row r="14" spans="1:9" ht="16.5">
      <c r="A14" s="3052" t="s">
        <v>2871</v>
      </c>
      <c r="B14" s="3049">
        <f>结果表!L38</f>
        <v>150957.27000000002</v>
      </c>
      <c r="C14" s="3049">
        <f>结果表!K38</f>
        <v>47310.04</v>
      </c>
      <c r="D14" s="3049">
        <f ca="1">结果表!C42</f>
        <v>37369</v>
      </c>
      <c r="E14" s="3049">
        <f ca="1">ROUND(D14*10000/B14,0)</f>
        <v>2475</v>
      </c>
      <c r="F14" s="3049">
        <f ca="1">ROUND(D14*10000/C14,0)</f>
        <v>7899</v>
      </c>
      <c r="G14" s="3049">
        <f ca="1">结果表!C44</f>
        <v>37369</v>
      </c>
      <c r="H14" s="3049" t="str">
        <f>结果表!C45</f>
        <v>——</v>
      </c>
      <c r="I14" s="3049" t="str">
        <f>结果表!C46</f>
        <v>——</v>
      </c>
    </row>
    <row r="15" spans="1:9" ht="16.5">
      <c r="A15" s="3052" t="s">
        <v>2862</v>
      </c>
      <c r="B15" s="3053">
        <f>[1]结果表!$L$18</f>
        <v>42246.080000000002</v>
      </c>
      <c r="C15" s="3053">
        <f>[1]结果表!$L$19</f>
        <v>13239.93</v>
      </c>
      <c r="D15" s="3053">
        <f>[1]结果表!$G$19</f>
        <v>14734</v>
      </c>
      <c r="E15" s="3049">
        <f t="shared" ref="E15:E23" si="2">ROUND(D15*10000/B15,0)</f>
        <v>3488</v>
      </c>
      <c r="F15" s="3049">
        <f t="shared" ref="F15:F23" si="3">ROUND(D15*10000/C15,0)</f>
        <v>11128</v>
      </c>
      <c r="G15" s="3050">
        <f>D15</f>
        <v>14734</v>
      </c>
      <c r="H15" s="3050"/>
      <c r="I15" s="3053"/>
    </row>
    <row r="16" spans="1:9" ht="16.5">
      <c r="A16" s="3052" t="s">
        <v>2863</v>
      </c>
      <c r="B16" s="3053"/>
      <c r="C16" s="3053"/>
      <c r="D16" s="3053"/>
      <c r="E16" s="3049" t="e">
        <f t="shared" si="2"/>
        <v>#DIV/0!</v>
      </c>
      <c r="F16" s="3049" t="e">
        <f t="shared" si="3"/>
        <v>#DIV/0!</v>
      </c>
      <c r="G16" s="3050"/>
      <c r="H16" s="3050"/>
      <c r="I16" s="3053"/>
    </row>
    <row r="17" spans="1:9" ht="16.5">
      <c r="A17" s="3052" t="s">
        <v>2864</v>
      </c>
      <c r="B17" s="3053"/>
      <c r="C17" s="3053"/>
      <c r="D17" s="3053"/>
      <c r="E17" s="3049" t="e">
        <f t="shared" si="2"/>
        <v>#DIV/0!</v>
      </c>
      <c r="F17" s="3049" t="e">
        <f t="shared" si="3"/>
        <v>#DIV/0!</v>
      </c>
      <c r="G17" s="3050"/>
      <c r="H17" s="3050"/>
      <c r="I17" s="3053"/>
    </row>
    <row r="18" spans="1:9" ht="16.5">
      <c r="A18" s="3052" t="s">
        <v>2865</v>
      </c>
      <c r="B18" s="3053"/>
      <c r="C18" s="3053"/>
      <c r="D18" s="3053"/>
      <c r="E18" s="3049" t="e">
        <f t="shared" si="2"/>
        <v>#DIV/0!</v>
      </c>
      <c r="F18" s="3049" t="e">
        <f t="shared" si="3"/>
        <v>#DIV/0!</v>
      </c>
      <c r="G18" s="3053"/>
      <c r="H18" s="3053"/>
      <c r="I18" s="3053"/>
    </row>
    <row r="19" spans="1:9" ht="16.5">
      <c r="A19" s="3052" t="s">
        <v>2866</v>
      </c>
      <c r="B19" s="3053"/>
      <c r="C19" s="3053"/>
      <c r="D19" s="3053"/>
      <c r="E19" s="3049" t="e">
        <f t="shared" si="2"/>
        <v>#DIV/0!</v>
      </c>
      <c r="F19" s="3049" t="e">
        <f t="shared" si="3"/>
        <v>#DIV/0!</v>
      </c>
      <c r="G19" s="3053"/>
      <c r="H19" s="3053"/>
      <c r="I19" s="3053"/>
    </row>
    <row r="20" spans="1:9" ht="16.5">
      <c r="A20" s="3052" t="s">
        <v>2867</v>
      </c>
      <c r="B20" s="3053"/>
      <c r="C20" s="3053"/>
      <c r="D20" s="3053"/>
      <c r="E20" s="3049" t="e">
        <f t="shared" si="2"/>
        <v>#DIV/0!</v>
      </c>
      <c r="F20" s="3049" t="e">
        <f t="shared" si="3"/>
        <v>#DIV/0!</v>
      </c>
      <c r="G20" s="3053"/>
      <c r="H20" s="3053"/>
      <c r="I20" s="3053"/>
    </row>
    <row r="21" spans="1:9" ht="16.5">
      <c r="A21" s="3052" t="s">
        <v>2868</v>
      </c>
      <c r="B21" s="3053"/>
      <c r="C21" s="3053"/>
      <c r="D21" s="3053"/>
      <c r="E21" s="3049" t="e">
        <f t="shared" si="2"/>
        <v>#DIV/0!</v>
      </c>
      <c r="F21" s="3049" t="e">
        <f t="shared" si="3"/>
        <v>#DIV/0!</v>
      </c>
      <c r="G21" s="3053"/>
      <c r="H21" s="3053"/>
      <c r="I21" s="3053"/>
    </row>
    <row r="22" spans="1:9" ht="16.5">
      <c r="A22" s="3052" t="s">
        <v>2869</v>
      </c>
      <c r="B22" s="3053"/>
      <c r="C22" s="3053"/>
      <c r="D22" s="3053"/>
      <c r="E22" s="3049" t="e">
        <f t="shared" si="2"/>
        <v>#DIV/0!</v>
      </c>
      <c r="F22" s="3049" t="e">
        <f t="shared" si="3"/>
        <v>#DIV/0!</v>
      </c>
      <c r="G22" s="3053"/>
      <c r="H22" s="3053"/>
      <c r="I22" s="3053"/>
    </row>
    <row r="23" spans="1:9" ht="16.5">
      <c r="A23" s="3052" t="s">
        <v>2870</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3101</v>
      </c>
      <c r="E1" s="1806" t="s">
        <v>2059</v>
      </c>
      <c r="F1" s="1808" t="s">
        <v>3102</v>
      </c>
      <c r="G1" s="311"/>
      <c r="H1" s="311"/>
      <c r="I1" s="311"/>
      <c r="J1" s="2030"/>
      <c r="K1" s="2030"/>
      <c r="L1" s="2030"/>
      <c r="M1" s="2030"/>
      <c r="N1" s="2030"/>
      <c r="O1" s="2030"/>
      <c r="P1" s="2030"/>
      <c r="Q1" s="2030"/>
      <c r="R1" s="2030"/>
      <c r="S1" s="2030"/>
      <c r="T1" s="2030"/>
      <c r="U1" s="2030"/>
      <c r="V1" s="2030"/>
    </row>
    <row r="2" spans="1:22" ht="21.75" customHeight="1" thickBot="1">
      <c r="A2" s="3336" t="str">
        <f>项目基本情况!K2</f>
        <v>广东省河源市出让国有建设用地使用权</v>
      </c>
      <c r="B2" s="3337"/>
      <c r="C2" s="3338"/>
      <c r="D2" s="3338"/>
      <c r="E2" s="3338"/>
      <c r="F2" s="3338"/>
      <c r="G2" s="3337"/>
      <c r="H2" s="3337"/>
      <c r="I2" s="3339"/>
      <c r="J2" s="2031"/>
      <c r="K2" s="2030"/>
      <c r="L2" s="2030"/>
      <c r="M2" s="2030"/>
      <c r="N2" s="2030"/>
      <c r="O2" s="2030"/>
      <c r="P2" s="2030"/>
      <c r="Q2" s="2030"/>
      <c r="R2" s="2030"/>
      <c r="S2" s="2030"/>
      <c r="T2" s="2030"/>
      <c r="U2" s="2030"/>
      <c r="V2" s="2030"/>
    </row>
    <row r="3" spans="1:22" ht="14.25">
      <c r="A3" s="3329" t="s">
        <v>298</v>
      </c>
      <c r="B3" s="3330"/>
      <c r="C3" s="3330"/>
      <c r="D3" s="3330"/>
      <c r="E3" s="3330"/>
      <c r="F3" s="3330"/>
      <c r="G3" s="3330"/>
      <c r="H3" s="3330"/>
      <c r="I3" s="3330"/>
      <c r="J3" s="2031"/>
      <c r="K3" s="2030"/>
      <c r="L3" s="2030"/>
      <c r="M3" s="2030"/>
      <c r="N3" s="2030"/>
      <c r="O3" s="2030"/>
      <c r="P3" s="2030"/>
      <c r="Q3" s="2030"/>
      <c r="R3" s="2030"/>
      <c r="S3" s="2030"/>
      <c r="T3" s="2030"/>
      <c r="U3" s="2030"/>
      <c r="V3" s="2030"/>
    </row>
    <row r="4" spans="1:22" ht="14.25">
      <c r="A4" s="258" t="s">
        <v>299</v>
      </c>
      <c r="B4" s="259" t="s">
        <v>300</v>
      </c>
      <c r="C4" s="260" t="s">
        <v>3103</v>
      </c>
      <c r="D4" s="260" t="s">
        <v>3104</v>
      </c>
      <c r="E4" s="3301" t="s">
        <v>301</v>
      </c>
      <c r="F4" s="3302"/>
      <c r="G4" s="3302"/>
      <c r="H4" s="3302"/>
      <c r="I4" s="333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0" t="s">
        <v>302</v>
      </c>
      <c r="B5" s="3326">
        <v>25</v>
      </c>
      <c r="C5" s="3324"/>
      <c r="D5" s="3328"/>
      <c r="E5" s="261" t="s">
        <v>303</v>
      </c>
      <c r="F5" s="262"/>
      <c r="G5" s="262"/>
      <c r="H5" s="262"/>
      <c r="I5" s="263"/>
      <c r="J5" s="2031"/>
      <c r="K5" s="2030"/>
      <c r="L5" s="2030"/>
      <c r="M5" s="2030"/>
      <c r="N5" s="2030"/>
      <c r="O5" s="2030"/>
      <c r="P5" s="2030"/>
      <c r="Q5" s="2030"/>
      <c r="R5" s="2030"/>
      <c r="S5" s="2030"/>
      <c r="T5" s="2030"/>
      <c r="U5" s="2030"/>
      <c r="V5" s="2030"/>
    </row>
    <row r="6" spans="1:22" ht="14.25">
      <c r="A6" s="3300"/>
      <c r="B6" s="3326"/>
      <c r="C6" s="3327"/>
      <c r="D6" s="3328"/>
      <c r="E6" s="261" t="s">
        <v>304</v>
      </c>
      <c r="F6" s="262"/>
      <c r="G6" s="262"/>
      <c r="H6" s="262"/>
      <c r="I6" s="263"/>
      <c r="J6" s="2031"/>
      <c r="K6" s="2030"/>
      <c r="L6" s="2030"/>
      <c r="M6" s="2030"/>
      <c r="N6" s="2030"/>
      <c r="O6" s="2030"/>
      <c r="P6" s="2030"/>
      <c r="Q6" s="2030"/>
      <c r="R6" s="2030"/>
      <c r="S6" s="2030"/>
      <c r="T6" s="2030"/>
      <c r="U6" s="2030"/>
      <c r="V6" s="2030"/>
    </row>
    <row r="7" spans="1:22" ht="14.25">
      <c r="A7" s="3300"/>
      <c r="B7" s="3326"/>
      <c r="C7" s="3325"/>
      <c r="D7" s="3328"/>
      <c r="E7" s="261" t="s">
        <v>305</v>
      </c>
      <c r="F7" s="262"/>
      <c r="G7" s="262"/>
      <c r="H7" s="262"/>
      <c r="I7" s="263"/>
      <c r="J7" s="2031"/>
      <c r="K7" s="2030"/>
      <c r="L7" s="2030"/>
      <c r="M7" s="2030"/>
      <c r="N7" s="2030"/>
      <c r="O7" s="2030"/>
      <c r="P7" s="2030"/>
      <c r="Q7" s="2030"/>
      <c r="R7" s="2030"/>
      <c r="S7" s="2030"/>
      <c r="T7" s="2030"/>
      <c r="U7" s="2030"/>
      <c r="V7" s="2030"/>
    </row>
    <row r="8" spans="1:22" ht="14.25">
      <c r="A8" s="3300" t="s">
        <v>306</v>
      </c>
      <c r="B8" s="3326">
        <v>15</v>
      </c>
      <c r="C8" s="3324"/>
      <c r="D8" s="3328"/>
      <c r="E8" s="261" t="s">
        <v>307</v>
      </c>
      <c r="F8" s="262"/>
      <c r="G8" s="262"/>
      <c r="H8" s="262"/>
      <c r="I8" s="263"/>
      <c r="J8" s="2031"/>
      <c r="K8" s="2030"/>
      <c r="L8" s="2030"/>
      <c r="M8" s="2030"/>
      <c r="N8" s="2030"/>
      <c r="O8" s="2030"/>
      <c r="P8" s="2030"/>
      <c r="Q8" s="2030"/>
      <c r="R8" s="2030"/>
      <c r="S8" s="2030"/>
      <c r="T8" s="2030"/>
      <c r="U8" s="2030"/>
      <c r="V8" s="2030"/>
    </row>
    <row r="9" spans="1:22" ht="14.25">
      <c r="A9" s="3300"/>
      <c r="B9" s="3326"/>
      <c r="C9" s="3325"/>
      <c r="D9" s="3328"/>
      <c r="E9" s="261" t="s">
        <v>308</v>
      </c>
      <c r="F9" s="262"/>
      <c r="G9" s="262"/>
      <c r="H9" s="262"/>
      <c r="I9" s="263"/>
      <c r="J9" s="2031"/>
      <c r="K9" s="2030"/>
      <c r="L9" s="2030"/>
      <c r="M9" s="2030"/>
      <c r="N9" s="2030"/>
      <c r="O9" s="2030"/>
      <c r="P9" s="2030"/>
      <c r="Q9" s="2030"/>
      <c r="R9" s="2030"/>
      <c r="S9" s="2030"/>
      <c r="T9" s="2030"/>
      <c r="U9" s="2030"/>
      <c r="V9" s="2030"/>
    </row>
    <row r="10" spans="1:22" ht="14.25">
      <c r="A10" s="3300" t="s">
        <v>309</v>
      </c>
      <c r="B10" s="3326">
        <v>15</v>
      </c>
      <c r="C10" s="3324"/>
      <c r="D10" s="3328"/>
      <c r="E10" s="261" t="s">
        <v>310</v>
      </c>
      <c r="F10" s="262"/>
      <c r="G10" s="262"/>
      <c r="H10" s="262"/>
      <c r="I10" s="263"/>
      <c r="J10" s="2031"/>
      <c r="K10" s="2030"/>
      <c r="L10" s="2030"/>
      <c r="M10" s="2030"/>
      <c r="N10" s="2030"/>
      <c r="O10" s="2030"/>
      <c r="P10" s="2030"/>
      <c r="Q10" s="2030"/>
      <c r="R10" s="2030"/>
      <c r="S10" s="2030"/>
      <c r="T10" s="2030"/>
      <c r="U10" s="2030"/>
      <c r="V10" s="2030"/>
    </row>
    <row r="11" spans="1:22" ht="14.25">
      <c r="A11" s="3300"/>
      <c r="B11" s="3326"/>
      <c r="C11" s="3325"/>
      <c r="D11" s="3328"/>
      <c r="E11" s="261" t="s">
        <v>311</v>
      </c>
      <c r="F11" s="262"/>
      <c r="G11" s="262"/>
      <c r="H11" s="262"/>
      <c r="I11" s="263"/>
      <c r="J11" s="2031"/>
      <c r="K11" s="2030"/>
      <c r="L11" s="2030"/>
      <c r="M11" s="2030"/>
      <c r="N11" s="2030"/>
      <c r="O11" s="2030"/>
      <c r="P11" s="2030"/>
      <c r="Q11" s="2030"/>
      <c r="R11" s="2030"/>
      <c r="S11" s="2030"/>
      <c r="T11" s="2030"/>
      <c r="U11" s="2030"/>
      <c r="V11" s="2030"/>
    </row>
    <row r="12" spans="1:22" ht="14.25">
      <c r="A12" s="3300" t="s">
        <v>312</v>
      </c>
      <c r="B12" s="3326">
        <v>15</v>
      </c>
      <c r="C12" s="3324"/>
      <c r="D12" s="3328"/>
      <c r="E12" s="261" t="s">
        <v>313</v>
      </c>
      <c r="F12" s="262"/>
      <c r="G12" s="262"/>
      <c r="H12" s="262"/>
      <c r="I12" s="263"/>
      <c r="J12" s="2031"/>
      <c r="K12" s="2030"/>
      <c r="L12" s="2030"/>
      <c r="M12" s="2030"/>
      <c r="N12" s="2030"/>
      <c r="O12" s="2030"/>
      <c r="P12" s="2030"/>
      <c r="Q12" s="2030"/>
      <c r="R12" s="2030"/>
      <c r="S12" s="2030"/>
      <c r="T12" s="2030"/>
      <c r="U12" s="2030"/>
      <c r="V12" s="2030"/>
    </row>
    <row r="13" spans="1:22" ht="14.25">
      <c r="A13" s="3300"/>
      <c r="B13" s="3326"/>
      <c r="C13" s="3325"/>
      <c r="D13" s="3328"/>
      <c r="E13" s="261" t="s">
        <v>314</v>
      </c>
      <c r="F13" s="262"/>
      <c r="G13" s="262"/>
      <c r="H13" s="262"/>
      <c r="I13" s="263"/>
      <c r="J13" s="2031"/>
      <c r="K13" s="2030"/>
      <c r="L13" s="2030"/>
      <c r="M13" s="2030"/>
      <c r="N13" s="2030"/>
      <c r="O13" s="2030"/>
      <c r="P13" s="2030"/>
      <c r="Q13" s="2030"/>
      <c r="R13" s="2030"/>
      <c r="S13" s="2030"/>
      <c r="T13" s="2030"/>
      <c r="U13" s="2030"/>
      <c r="V13" s="2030"/>
    </row>
    <row r="14" spans="1:22" ht="14.25">
      <c r="A14" s="3300" t="s">
        <v>315</v>
      </c>
      <c r="B14" s="3326">
        <v>30</v>
      </c>
      <c r="C14" s="3324">
        <v>4</v>
      </c>
      <c r="D14" s="3328">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00"/>
      <c r="B15" s="3326"/>
      <c r="C15" s="3327"/>
      <c r="D15" s="3328"/>
      <c r="E15" s="261" t="s">
        <v>317</v>
      </c>
      <c r="F15" s="262"/>
      <c r="G15" s="262"/>
      <c r="H15" s="262"/>
      <c r="I15" s="263"/>
      <c r="J15" s="2031"/>
      <c r="K15" s="2030"/>
      <c r="L15" s="2030"/>
      <c r="M15" s="2030"/>
      <c r="N15" s="2030"/>
      <c r="O15" s="2030"/>
      <c r="P15" s="2030"/>
      <c r="Q15" s="2030"/>
      <c r="R15" s="2030"/>
      <c r="S15" s="2030"/>
      <c r="T15" s="2030"/>
      <c r="U15" s="2030"/>
      <c r="V15" s="2030"/>
    </row>
    <row r="16" spans="1:22" ht="14.25">
      <c r="A16" s="3300"/>
      <c r="B16" s="3326"/>
      <c r="C16" s="3325"/>
      <c r="D16" s="332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f ca="1">G19+[1]结果表!$G$19</f>
        <v>52103</v>
      </c>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25004</v>
      </c>
      <c r="D19" s="271">
        <f ca="1">SUMIF(INDIRECT("'"&amp;D4&amp;"'"&amp;"!A:A"),结果表!B19,INDIRECT("'"&amp;D4&amp;"'"&amp;"!B:B"))</f>
        <v>45613</v>
      </c>
      <c r="E19" s="268" t="s">
        <v>323</v>
      </c>
      <c r="F19" s="269" t="s">
        <v>322</v>
      </c>
      <c r="G19" s="272">
        <f ca="1">ROUND(C19*$C$18+D19*$D$18,0)</f>
        <v>37369</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1656</v>
      </c>
      <c r="D20" s="277">
        <f ca="1">SUMIF(INDIRECT("'"&amp;D4&amp;"'"&amp;"!A:A"),结果表!B20,INDIRECT("'"&amp;D4&amp;"'"&amp;"!B:B"))</f>
        <v>3022</v>
      </c>
      <c r="E20" s="274"/>
      <c r="F20" s="275" t="s">
        <v>325</v>
      </c>
      <c r="G20" s="278">
        <f ca="1">ROUND(C20*$C$18+D20*$D$18,0)</f>
        <v>2476</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5285</v>
      </c>
      <c r="D21" s="151">
        <f ca="1">SUMIF(INDIRECT("'"&amp;D4&amp;"'"&amp;"!A:A"),结果表!B21,INDIRECT("'"&amp;D4&amp;"'"&amp;"!B:B"))</f>
        <v>9641</v>
      </c>
      <c r="E21" s="274"/>
      <c r="F21" s="280" t="s">
        <v>327</v>
      </c>
      <c r="G21" s="282">
        <f ca="1">ROUND(C21*$C$18+D21*$D$18,0)</f>
        <v>7899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0.82422812350024</v>
      </c>
      <c r="E22" s="284"/>
      <c r="F22" s="285"/>
      <c r="G22" s="286">
        <f ca="1">ROUND(G19/('数据-汇总表'!D3/666.67),0)</f>
        <v>527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07"/>
      <c r="B25" s="1321" t="s">
        <v>331</v>
      </c>
      <c r="C25" s="290">
        <f>IF(B30=0,0,C30)</f>
        <v>0</v>
      </c>
      <c r="D25" s="291"/>
      <c r="E25" s="311"/>
      <c r="F25" s="311"/>
      <c r="G25" s="311"/>
      <c r="H25" s="311"/>
      <c r="I25" s="311"/>
      <c r="J25" s="2030"/>
      <c r="K25" s="1255" t="str">
        <f ca="1">项目基本情况!B16&amp;"国有建设用地使用权价格："&amp;O38&amp;"万元"</f>
        <v>出让国有建设用地使用权价格：37369万元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大写金额：人民币叁亿柒仟叁佰陆拾玖万元整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G19/'数据-汇总表'!F31*10000</f>
        <v>3502.4899086319615</v>
      </c>
      <c r="E27" s="311"/>
      <c r="F27" s="311"/>
      <c r="G27" s="311"/>
      <c r="H27" s="311"/>
      <c r="I27" s="311"/>
      <c r="J27" s="2030"/>
      <c r="K27" s="1258" t="str">
        <f ca="1">"单位面积地价："&amp;M38&amp;"元/平方米"</f>
        <v>单位面积地价：7899元/平方米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楼面地价：2475元/平方米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抵押价格：37369万元</v>
      </c>
      <c r="L29" s="1252"/>
      <c r="M29" s="1252"/>
      <c r="N29" s="1252"/>
      <c r="O29" s="1251"/>
      <c r="P29" s="2030"/>
      <c r="V29" s="2030"/>
    </row>
    <row r="30" spans="1:26" ht="18.75" thickBot="1">
      <c r="A30" s="3130" t="s">
        <v>336</v>
      </c>
      <c r="B30" s="309"/>
      <c r="C30" s="309"/>
      <c r="D30" s="310"/>
      <c r="E30" s="3131" t="s">
        <v>2971</v>
      </c>
      <c r="F30" s="311"/>
      <c r="G30" s="311"/>
      <c r="H30" s="311"/>
      <c r="I30" s="311"/>
      <c r="J30" s="2030"/>
      <c r="K30" s="1258" t="str">
        <f ca="1">IF(K29="——","——","大写金额：人民币"&amp;NUMBERSTRING(INT(O39*10000),2)&amp;"元整")</f>
        <v>大写金额：人民币叁亿柒仟叁佰陆拾玖万元整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37369</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2475</v>
      </c>
      <c r="D33" s="1386" t="s">
        <v>1692</v>
      </c>
      <c r="E33" s="330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7899</v>
      </c>
      <c r="D34" s="1388" t="s">
        <v>1692</v>
      </c>
      <c r="E34" s="334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527</v>
      </c>
      <c r="D35" s="1391" t="s">
        <v>1694</v>
      </c>
      <c r="E35" s="3348"/>
      <c r="F35" s="301" t="s">
        <v>342</v>
      </c>
      <c r="G35" s="982"/>
      <c r="H35" s="981" t="s">
        <v>343</v>
      </c>
      <c r="I35" s="311"/>
      <c r="J35" s="2030"/>
      <c r="K35" s="3321" t="s">
        <v>350</v>
      </c>
      <c r="L35" s="3321" t="s">
        <v>351</v>
      </c>
      <c r="M35" s="1264" t="s">
        <v>352</v>
      </c>
      <c r="N35" s="3321" t="s">
        <v>353</v>
      </c>
      <c r="O35" s="3321" t="s">
        <v>354</v>
      </c>
      <c r="P35" s="2030"/>
      <c r="V35" s="2030"/>
    </row>
    <row r="36" spans="1:26" ht="16.5" customHeight="1">
      <c r="A36" s="303" t="s">
        <v>344</v>
      </c>
      <c r="B36" s="304" t="s">
        <v>333</v>
      </c>
      <c r="C36" s="305" t="s">
        <v>345</v>
      </c>
      <c r="D36" s="305" t="s">
        <v>346</v>
      </c>
      <c r="E36" s="306" t="s">
        <v>347</v>
      </c>
      <c r="F36" s="311"/>
      <c r="G36" s="311"/>
      <c r="H36" s="311"/>
      <c r="I36" s="311"/>
      <c r="J36" s="2032"/>
      <c r="K36" s="3322"/>
      <c r="L36" s="3322"/>
      <c r="M36" s="1266" t="s">
        <v>355</v>
      </c>
      <c r="N36" s="3322"/>
      <c r="O36" s="3322"/>
      <c r="P36" s="2030"/>
      <c r="V36" s="2030"/>
    </row>
    <row r="37" spans="1:26" ht="16.5" customHeight="1" thickBot="1">
      <c r="A37" s="1260" t="s">
        <v>348</v>
      </c>
      <c r="B37" s="307"/>
      <c r="C37" s="294"/>
      <c r="D37" s="294"/>
      <c r="E37" s="295"/>
      <c r="F37" s="311"/>
      <c r="G37" s="311"/>
      <c r="H37" s="311"/>
      <c r="I37" s="311"/>
      <c r="J37" s="2032"/>
      <c r="K37" s="3323"/>
      <c r="L37" s="3323"/>
      <c r="M37" s="1267"/>
      <c r="N37" s="3323"/>
      <c r="O37" s="3323"/>
      <c r="P37" s="2030"/>
      <c r="V37" s="2030"/>
    </row>
    <row r="38" spans="1:26" ht="16.5" customHeight="1" thickBot="1">
      <c r="A38" s="1260" t="s">
        <v>349</v>
      </c>
      <c r="B38" s="307"/>
      <c r="C38" s="294"/>
      <c r="D38" s="294"/>
      <c r="E38" s="295"/>
      <c r="F38" s="311"/>
      <c r="G38" s="311"/>
      <c r="H38" s="311"/>
      <c r="I38" s="311"/>
      <c r="J38" s="2032"/>
      <c r="K38" s="1268">
        <f>'数据-汇总表'!D3</f>
        <v>47310.04</v>
      </c>
      <c r="L38" s="1269">
        <f>'数据-汇总表'!E3</f>
        <v>150957.27000000002</v>
      </c>
      <c r="M38" s="1269">
        <f ca="1">C34</f>
        <v>7899</v>
      </c>
      <c r="N38" s="1269">
        <f ca="1">C33</f>
        <v>2475</v>
      </c>
      <c r="O38" s="1270">
        <f ca="1">C32</f>
        <v>37369</v>
      </c>
      <c r="P38" s="2030"/>
      <c r="V38" s="2030"/>
    </row>
    <row r="39" spans="1:26" ht="16.5" customHeight="1" thickBot="1">
      <c r="A39" s="1265"/>
      <c r="B39" s="308"/>
      <c r="C39" s="309"/>
      <c r="D39" s="309"/>
      <c r="E39" s="310"/>
      <c r="F39" s="311"/>
      <c r="G39" s="311"/>
      <c r="H39" s="311"/>
      <c r="I39" s="311"/>
      <c r="J39" s="2032"/>
      <c r="K39" s="3366" t="str">
        <f>MID(A44,3,LEN(A44)-2)</f>
        <v>抵押价格</v>
      </c>
      <c r="L39" s="3367"/>
      <c r="M39" s="3367"/>
      <c r="N39" s="3368"/>
      <c r="O39" s="1393">
        <f ca="1">C44</f>
        <v>37369</v>
      </c>
      <c r="P39" s="2030"/>
      <c r="V39" s="2030"/>
    </row>
    <row r="40" spans="1:26" ht="19.5" thickBot="1">
      <c r="A40" s="104" t="s">
        <v>873</v>
      </c>
      <c r="B40" s="311"/>
      <c r="C40" s="311"/>
      <c r="D40" s="311"/>
      <c r="E40" s="311"/>
      <c r="F40" s="311"/>
      <c r="G40" s="311"/>
      <c r="H40" s="311"/>
      <c r="I40" s="311"/>
      <c r="J40" s="2032"/>
      <c r="K40" s="3366" t="str">
        <f t="shared" ref="K40:K41" si="0">MID(A45,3,LEN(A45)-2)</f>
        <v/>
      </c>
      <c r="L40" s="3367"/>
      <c r="M40" s="3367"/>
      <c r="N40" s="3368"/>
      <c r="O40" s="1393" t="str">
        <f>C45</f>
        <v>——</v>
      </c>
      <c r="P40" s="2030"/>
      <c r="V40" s="2030"/>
    </row>
    <row r="41" spans="1:26" ht="16.5" thickBot="1">
      <c r="A41" s="312" t="s">
        <v>356</v>
      </c>
      <c r="B41" s="313"/>
      <c r="C41" s="314" t="s">
        <v>357</v>
      </c>
      <c r="D41" s="315" t="s">
        <v>358</v>
      </c>
      <c r="E41" s="315" t="s">
        <v>359</v>
      </c>
      <c r="F41" s="316" t="s">
        <v>360</v>
      </c>
      <c r="G41" s="311"/>
      <c r="H41" s="311"/>
      <c r="I41" s="311"/>
      <c r="J41" s="2032"/>
      <c r="K41" s="3366" t="str">
        <f t="shared" si="0"/>
        <v/>
      </c>
      <c r="L41" s="3367"/>
      <c r="M41" s="3367"/>
      <c r="N41" s="3368"/>
      <c r="O41" s="1393" t="str">
        <f>C46</f>
        <v>——</v>
      </c>
      <c r="P41" s="2030"/>
      <c r="V41" s="2030"/>
    </row>
    <row r="42" spans="1:26" ht="29.25">
      <c r="A42" s="3308" t="s">
        <v>2069</v>
      </c>
      <c r="B42" s="3309"/>
      <c r="C42" s="264">
        <f ca="1">C32</f>
        <v>37369</v>
      </c>
      <c r="D42" s="317">
        <f ca="1">C33</f>
        <v>2475</v>
      </c>
      <c r="E42" s="317">
        <f ca="1">C34</f>
        <v>7899</v>
      </c>
      <c r="F42" s="318">
        <f ca="1">C35</f>
        <v>527</v>
      </c>
      <c r="G42" s="311"/>
      <c r="H42" s="311"/>
      <c r="I42" s="319"/>
      <c r="J42" s="2032"/>
      <c r="K42" s="1271" t="s">
        <v>361</v>
      </c>
      <c r="L42" s="2049" t="s">
        <v>362</v>
      </c>
      <c r="M42" s="1272" t="s">
        <v>363</v>
      </c>
      <c r="N42" s="2050" t="s">
        <v>364</v>
      </c>
      <c r="O42" s="2051" t="s">
        <v>365</v>
      </c>
      <c r="P42" s="2030"/>
      <c r="V42" s="2030"/>
    </row>
    <row r="43" spans="1:26" ht="30">
      <c r="A43" s="3319" t="s">
        <v>2731</v>
      </c>
      <c r="B43" s="3320"/>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25004</v>
      </c>
      <c r="M43" s="1275">
        <f>C18</f>
        <v>0.4</v>
      </c>
      <c r="N43" s="1276">
        <f ca="1">IF(N42="测算结果/万元",G19,G20)</f>
        <v>37369</v>
      </c>
      <c r="O43" s="1277">
        <f ca="1">IF(O42="最终结果/万元",C32,C33)</f>
        <v>37369</v>
      </c>
      <c r="P43" s="2030"/>
      <c r="V43" s="2030"/>
    </row>
    <row r="44" spans="1:26" ht="30.75" thickBot="1">
      <c r="A44" s="3308" t="str">
        <f>IF(OR(项目基本情况!E8="抵押价格",项目基本情况!E8="已注销及未注销"),"3.抵押价格","——")</f>
        <v>3.抵押价格</v>
      </c>
      <c r="B44" s="3309"/>
      <c r="C44" s="264">
        <f ca="1">IF(A44="——","——",C42-C43)</f>
        <v>37369</v>
      </c>
      <c r="D44" s="317">
        <f ca="1">ROUND(C44*10000/'数据-汇总表'!E3,0)</f>
        <v>2475</v>
      </c>
      <c r="E44" s="317">
        <f ca="1">ROUND(C44*10000/'数据-汇总表'!D3,0)</f>
        <v>7899</v>
      </c>
      <c r="F44" s="318">
        <f ca="1">ROUND(C44/('数据-汇总表'!D3/666.67),0)</f>
        <v>527</v>
      </c>
      <c r="G44" s="311"/>
      <c r="H44" s="311"/>
      <c r="I44" s="319"/>
      <c r="J44" s="2032"/>
      <c r="K44" s="1278" t="str">
        <f>D4</f>
        <v>剩余法-待开发</v>
      </c>
      <c r="L44" s="1279">
        <f ca="1">IF(L42="估价结果/万元",D19,D20)</f>
        <v>45613</v>
      </c>
      <c r="M44" s="1280">
        <f>D18</f>
        <v>0.6</v>
      </c>
      <c r="N44" s="1281"/>
      <c r="O44" s="1282"/>
      <c r="P44" s="2030"/>
      <c r="V44" s="2030"/>
    </row>
    <row r="45" spans="1:26" ht="15">
      <c r="A45" s="3314" t="str">
        <f>IF(项目基本情况!E8="已注销及未注销","4.抵押担保权已注销时的抵押价格",IF(项目基本情况!E8="已注销","3.抵押担保权已注销时的抵押价格","——"))</f>
        <v>——</v>
      </c>
      <c r="B45" s="331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0" t="str">
        <f>IF(项目基本情况!E9="抵押净值",IF(A45="——","4.抵押净值","5.抵押净值"),"——")</f>
        <v>——</v>
      </c>
      <c r="B46" s="331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5" t="s">
        <v>374</v>
      </c>
      <c r="B63" s="3356"/>
      <c r="C63" s="3357"/>
      <c r="D63" s="341">
        <f ca="1">ROUND(C42*F63,0)</f>
        <v>22421</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16" t="s">
        <v>378</v>
      </c>
      <c r="B64" s="3317"/>
      <c r="C64" s="3317"/>
      <c r="D64" s="3317"/>
      <c r="E64" s="3317"/>
      <c r="F64" s="3317"/>
      <c r="G64" s="331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12" t="s">
        <v>386</v>
      </c>
      <c r="B66" s="3313"/>
      <c r="C66" s="3313"/>
      <c r="D66" s="261">
        <f ca="1">IF(H66="情况1",0,IF(H66="情况2",D70,IF(H66="情况3",D71,IF(H66="情况4",D72))))</f>
        <v>1196</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70" t="s">
        <v>385</v>
      </c>
      <c r="M66" s="3371"/>
      <c r="N66" s="2460"/>
      <c r="O66" s="2461"/>
      <c r="P66" s="2462"/>
      <c r="Q66" s="2030"/>
      <c r="R66" s="2030"/>
      <c r="S66" s="2030"/>
      <c r="T66" s="2030"/>
      <c r="U66" s="2030"/>
      <c r="V66" s="2030"/>
    </row>
    <row r="67" spans="1:22" ht="25.5" customHeight="1">
      <c r="A67" s="352" t="s">
        <v>390</v>
      </c>
      <c r="B67" s="3303" t="s">
        <v>391</v>
      </c>
      <c r="C67" s="3303"/>
      <c r="D67" s="353">
        <v>0</v>
      </c>
      <c r="E67" s="41" t="s">
        <v>392</v>
      </c>
      <c r="F67" s="62" t="s">
        <v>21</v>
      </c>
      <c r="G67" s="3358"/>
      <c r="H67" s="311"/>
      <c r="I67" s="1292"/>
      <c r="J67" s="2037"/>
      <c r="K67" s="1978">
        <v>2</v>
      </c>
      <c r="L67" s="3369" t="s">
        <v>389</v>
      </c>
      <c r="M67" s="3369"/>
      <c r="N67" s="1325">
        <f>'数据-取费表'!B2</f>
        <v>43305</v>
      </c>
      <c r="O67" s="1325"/>
      <c r="P67" s="1325"/>
      <c r="Q67" s="2030"/>
      <c r="R67" s="2030"/>
      <c r="S67" s="2030"/>
      <c r="T67" s="2030"/>
      <c r="U67" s="2030"/>
      <c r="V67" s="2030"/>
    </row>
    <row r="68" spans="1:22" ht="25.5" customHeight="1">
      <c r="A68" s="354"/>
      <c r="B68" s="3303" t="s">
        <v>394</v>
      </c>
      <c r="C68" s="3303"/>
      <c r="D68" s="355"/>
      <c r="E68" s="77"/>
      <c r="F68" s="356"/>
      <c r="G68" s="3359"/>
      <c r="H68" s="311"/>
      <c r="I68" s="1292"/>
      <c r="J68" s="2037"/>
      <c r="K68" s="1978">
        <v>3</v>
      </c>
      <c r="L68" s="3369" t="s">
        <v>393</v>
      </c>
      <c r="M68" s="3369"/>
      <c r="N68" s="1293">
        <f ca="1">C42</f>
        <v>37369</v>
      </c>
      <c r="O68" s="1293"/>
      <c r="P68" s="1293"/>
      <c r="Q68" s="2030"/>
      <c r="R68" s="2030"/>
      <c r="S68" s="2030"/>
      <c r="T68" s="2030"/>
      <c r="U68" s="2030"/>
      <c r="V68" s="2030"/>
    </row>
    <row r="69" spans="1:22" ht="12" customHeight="1">
      <c r="A69" s="357"/>
      <c r="B69" s="3303" t="s">
        <v>395</v>
      </c>
      <c r="C69" s="3303"/>
      <c r="D69" s="358"/>
      <c r="E69" s="73"/>
      <c r="F69" s="356"/>
      <c r="G69" s="3360"/>
      <c r="H69" s="311"/>
      <c r="I69" s="1292"/>
      <c r="J69" s="2037"/>
      <c r="K69" s="1294">
        <v>4</v>
      </c>
      <c r="L69" s="3374" t="s">
        <v>2884</v>
      </c>
      <c r="M69" s="3375"/>
      <c r="N69" s="1295">
        <f ca="1">C44</f>
        <v>37369</v>
      </c>
      <c r="O69" s="1295"/>
      <c r="P69" s="1295"/>
      <c r="Q69" s="2030"/>
      <c r="R69" s="2030"/>
      <c r="S69" s="2030"/>
      <c r="T69" s="2030"/>
      <c r="U69" s="2030"/>
      <c r="V69" s="2030"/>
    </row>
    <row r="70" spans="1:22" ht="24" customHeight="1">
      <c r="A70" s="359" t="s">
        <v>396</v>
      </c>
      <c r="B70" s="3303" t="s">
        <v>397</v>
      </c>
      <c r="C70" s="3303"/>
      <c r="D70" s="358">
        <f ca="1">ROUND(D63*'数据-取费表'!B41/(1+'数据-取费表'!C42),0)</f>
        <v>1196</v>
      </c>
      <c r="E70" s="17" t="s">
        <v>398</v>
      </c>
      <c r="F70" s="360">
        <f>'数据-取费表'!B41</f>
        <v>5.6000000000000001E-2</v>
      </c>
      <c r="G70" s="361"/>
      <c r="H70" s="311"/>
      <c r="I70" s="1292"/>
      <c r="J70" s="2037"/>
      <c r="K70" s="3062"/>
      <c r="L70" s="3063"/>
      <c r="M70" s="3063"/>
      <c r="N70" s="3064" t="s">
        <v>2889</v>
      </c>
      <c r="O70" s="3063"/>
      <c r="P70" s="3065"/>
      <c r="Q70" s="2030"/>
      <c r="R70" s="2030"/>
      <c r="S70" s="2030"/>
      <c r="T70" s="2030"/>
      <c r="U70" s="2030"/>
      <c r="V70" s="2030"/>
    </row>
    <row r="71" spans="1:22" ht="12" customHeight="1">
      <c r="A71" s="359" t="s">
        <v>404</v>
      </c>
      <c r="B71" s="3304" t="s">
        <v>405</v>
      </c>
      <c r="C71" s="3305"/>
      <c r="D71" s="358">
        <f ca="1">ROUND(D63*'数据-取费表'!B41/(1+'数据-取费表'!C42),0)</f>
        <v>1196</v>
      </c>
      <c r="E71" s="17" t="s">
        <v>398</v>
      </c>
      <c r="F71" s="360">
        <f>'数据-取费表'!B41</f>
        <v>5.6000000000000001E-2</v>
      </c>
      <c r="G71" s="361"/>
      <c r="H71" s="311"/>
      <c r="I71" s="1292"/>
      <c r="J71" s="2037"/>
      <c r="K71" s="3061" t="s">
        <v>399</v>
      </c>
      <c r="L71" s="3376" t="s">
        <v>400</v>
      </c>
      <c r="M71" s="3376"/>
      <c r="N71" s="3061" t="s">
        <v>401</v>
      </c>
      <c r="O71" s="3061" t="s">
        <v>402</v>
      </c>
      <c r="P71" s="3061" t="s">
        <v>403</v>
      </c>
      <c r="Q71" s="2030"/>
      <c r="R71" s="2030"/>
      <c r="S71" s="2030"/>
      <c r="T71" s="2030"/>
      <c r="U71" s="2030"/>
      <c r="V71" s="2030"/>
    </row>
    <row r="72" spans="1:22" ht="12" customHeight="1">
      <c r="A72" s="359" t="s">
        <v>407</v>
      </c>
      <c r="B72" s="3304" t="s">
        <v>408</v>
      </c>
      <c r="C72" s="3305"/>
      <c r="D72" s="358">
        <f ca="1">C86</f>
        <v>1084</v>
      </c>
      <c r="E72" s="73" t="s">
        <v>409</v>
      </c>
      <c r="F72" s="360">
        <f>'数据-取费表'!B41</f>
        <v>5.6000000000000001E-2</v>
      </c>
      <c r="G72" s="361"/>
      <c r="H72" s="1298"/>
      <c r="I72" s="1292"/>
      <c r="J72" s="2037"/>
      <c r="K72" s="1978">
        <v>1</v>
      </c>
      <c r="L72" s="3351" t="s">
        <v>406</v>
      </c>
      <c r="M72" s="3351"/>
      <c r="N72" s="1296">
        <f ca="1">D66</f>
        <v>1196</v>
      </c>
      <c r="O72" s="1861" t="str">
        <f>E66</f>
        <v>销售额×税（费）率</v>
      </c>
      <c r="P72" s="1297">
        <f>F66</f>
        <v>5.6000000000000001E-2</v>
      </c>
      <c r="Q72" s="2030"/>
      <c r="R72" s="2030"/>
      <c r="S72" s="2030"/>
      <c r="T72" s="2030"/>
      <c r="U72" s="2030"/>
      <c r="V72" s="2030"/>
    </row>
    <row r="73" spans="1:22" ht="24" customHeight="1">
      <c r="A73" s="3345" t="s">
        <v>411</v>
      </c>
      <c r="B73" s="3313"/>
      <c r="C73" s="3313"/>
      <c r="D73" s="362">
        <f>IF(H73="个人住宅",0,ROUND(D63*I73,0))</f>
        <v>0</v>
      </c>
      <c r="E73" s="17" t="s">
        <v>412</v>
      </c>
      <c r="F73" s="360" t="str">
        <f>IF(H73="正常",I73,"免征")</f>
        <v>免征</v>
      </c>
      <c r="G73" s="361"/>
      <c r="H73" s="191" t="s">
        <v>2457</v>
      </c>
      <c r="I73" s="360">
        <f>'数据-取费表'!B49</f>
        <v>5.0000000000000001E-4</v>
      </c>
      <c r="J73" s="2037"/>
      <c r="K73" s="1978">
        <v>2</v>
      </c>
      <c r="L73" s="3351" t="s">
        <v>410</v>
      </c>
      <c r="M73" s="3351"/>
      <c r="N73" s="1296">
        <f t="shared" ref="N73:P74" si="1">D73</f>
        <v>0</v>
      </c>
      <c r="O73" s="1861" t="str">
        <f t="shared" si="1"/>
        <v>销售额×税（费）率</v>
      </c>
      <c r="P73" s="1297" t="str">
        <f t="shared" si="1"/>
        <v>免征</v>
      </c>
      <c r="Q73" s="2030"/>
      <c r="R73" s="2030"/>
      <c r="S73" s="2030"/>
      <c r="T73" s="2030"/>
      <c r="U73" s="2030"/>
      <c r="V73" s="2030"/>
    </row>
    <row r="74" spans="1:22" ht="24.75">
      <c r="A74" s="3345" t="s">
        <v>415</v>
      </c>
      <c r="B74" s="3313"/>
      <c r="C74" s="3313"/>
      <c r="D74" s="362">
        <f ca="1">IF(H74="个人住宅",D75,D76)</f>
        <v>12035</v>
      </c>
      <c r="E74" s="17" t="s">
        <v>416</v>
      </c>
      <c r="F74" s="360" t="str">
        <f>IF(H74="正常",F76,"免征")</f>
        <v>——</v>
      </c>
      <c r="G74" s="983" t="s">
        <v>417</v>
      </c>
      <c r="H74" s="363" t="s">
        <v>413</v>
      </c>
      <c r="I74" s="42"/>
      <c r="J74" s="2037"/>
      <c r="K74" s="1978">
        <v>3</v>
      </c>
      <c r="L74" s="3351" t="s">
        <v>414</v>
      </c>
      <c r="M74" s="3351"/>
      <c r="N74" s="1296">
        <f t="shared" ca="1" si="1"/>
        <v>12035</v>
      </c>
      <c r="O74" s="1861" t="str">
        <f t="shared" si="1"/>
        <v>增值额×税（费）率</v>
      </c>
      <c r="P74" s="1299" t="str">
        <f t="shared" si="1"/>
        <v>——</v>
      </c>
      <c r="Q74" s="2030"/>
      <c r="R74" s="2030"/>
      <c r="S74" s="2030"/>
      <c r="T74" s="2030"/>
      <c r="U74" s="2030"/>
      <c r="V74" s="2030"/>
    </row>
    <row r="75" spans="1:22" ht="24">
      <c r="A75" s="359" t="s">
        <v>418</v>
      </c>
      <c r="B75" s="3301" t="s">
        <v>419</v>
      </c>
      <c r="C75" s="3331"/>
      <c r="D75" s="364">
        <v>0</v>
      </c>
      <c r="E75" s="41" t="s">
        <v>420</v>
      </c>
      <c r="F75" s="365"/>
      <c r="G75" s="361"/>
      <c r="H75" s="42"/>
      <c r="I75" s="42"/>
      <c r="J75" s="2037"/>
      <c r="K75" s="3054">
        <f>IF(H77="非个人房产","",4)</f>
        <v>4</v>
      </c>
      <c r="L75" s="3351" t="str">
        <f>IF(H77="非个人房产","——","个人所得税")</f>
        <v>个人所得税</v>
      </c>
      <c r="M75" s="3351"/>
      <c r="N75" s="1300">
        <f ca="1">D77</f>
        <v>224</v>
      </c>
      <c r="O75" s="1874" t="str">
        <f>E77</f>
        <v>销售额×税（费）率</v>
      </c>
      <c r="P75" s="1301">
        <f>F77</f>
        <v>0.01</v>
      </c>
      <c r="Q75" s="2030"/>
      <c r="R75" s="2030"/>
      <c r="S75" s="2030"/>
      <c r="T75" s="2030"/>
      <c r="U75" s="2030"/>
      <c r="V75" s="2030"/>
    </row>
    <row r="76" spans="1:22" ht="24.75">
      <c r="A76" s="359" t="s">
        <v>396</v>
      </c>
      <c r="B76" s="3301" t="s">
        <v>422</v>
      </c>
      <c r="C76" s="3302"/>
      <c r="D76" s="362">
        <f ca="1">IF(H76="转让取得",C99,C115)</f>
        <v>12035</v>
      </c>
      <c r="E76" s="17" t="s">
        <v>423</v>
      </c>
      <c r="F76" s="53" t="s">
        <v>21</v>
      </c>
      <c r="G76" s="361"/>
      <c r="H76" s="363" t="s">
        <v>424</v>
      </c>
      <c r="I76" s="42"/>
      <c r="J76" s="2037"/>
      <c r="K76" s="3054" t="str">
        <f>IF(项目基本情况!K6="上海银行",IF(K75="",4,K75+1),"")</f>
        <v/>
      </c>
      <c r="L76" s="3362" t="str">
        <f>IF(项目基本情况!K6="上海银行","其他处置费用","")</f>
        <v/>
      </c>
      <c r="M76" s="3363"/>
      <c r="N76" s="1296" t="str">
        <f>IF(项目基本情况!K6="上海银行",N89,"")</f>
        <v/>
      </c>
      <c r="O76" s="3364" t="str">
        <f>IF(项目基本情况!K6="上海银行","包含处置中涉及的律师、诉讼、拍卖、评估等费用","")</f>
        <v/>
      </c>
      <c r="P76" s="3365"/>
      <c r="Q76" s="2030"/>
      <c r="R76" s="2030"/>
      <c r="S76" s="2030"/>
      <c r="T76" s="2030"/>
      <c r="U76" s="2030"/>
      <c r="V76" s="2030"/>
    </row>
    <row r="77" spans="1:22" ht="26.25" thickBot="1">
      <c r="A77" s="3353" t="s">
        <v>426</v>
      </c>
      <c r="B77" s="3354"/>
      <c r="C77" s="3354"/>
      <c r="D77" s="366">
        <f ca="1">IF(H77="非个人房产","——",IF(H77="个人住宅",0,ROUND(D63*I77,0)))</f>
        <v>224</v>
      </c>
      <c r="E77" s="367" t="str">
        <f>IF(H77="非个人房产","——","销售额×税（费）率")</f>
        <v>销售额×税（费）率</v>
      </c>
      <c r="F77" s="368">
        <f>IF(H77="非个人房产","——",IF(H77="个人住宅","免征",I77))</f>
        <v>0.01</v>
      </c>
      <c r="G77" s="984" t="s">
        <v>417</v>
      </c>
      <c r="H77" s="363" t="s">
        <v>2885</v>
      </c>
      <c r="I77" s="369">
        <v>0.01</v>
      </c>
      <c r="J77" s="2037"/>
      <c r="K77" s="3352">
        <f>IF(AND(K75="",K76=""),4,IF(项目基本情况!K6="上海银行",K76+1,K75+1))</f>
        <v>5</v>
      </c>
      <c r="L77" s="3351" t="s">
        <v>2886</v>
      </c>
      <c r="M77" s="3060" t="s">
        <v>421</v>
      </c>
      <c r="N77" s="1302"/>
      <c r="O77" s="1303">
        <f ca="1">SUMIF(N72:N76,"&lt;9e307")</f>
        <v>13455</v>
      </c>
      <c r="P77" s="1304"/>
      <c r="Q77" s="3058">
        <f ca="1">O77/N69</f>
        <v>0.36005780192137871</v>
      </c>
      <c r="R77" s="2030"/>
      <c r="S77" s="2030"/>
      <c r="T77" s="2030"/>
      <c r="U77" s="2030"/>
      <c r="V77" s="2030"/>
    </row>
    <row r="78" spans="1:22" ht="12" customHeight="1">
      <c r="A78" s="1305"/>
      <c r="B78" s="311"/>
      <c r="C78" s="311"/>
      <c r="D78" s="311"/>
      <c r="E78" s="42"/>
      <c r="F78" s="42"/>
      <c r="G78" s="42"/>
      <c r="H78" s="1003"/>
      <c r="I78" s="311"/>
      <c r="J78" s="2037"/>
      <c r="K78" s="3352"/>
      <c r="L78" s="3351"/>
      <c r="M78" s="3060" t="s">
        <v>425</v>
      </c>
      <c r="N78" s="1302"/>
      <c r="O78" s="1303" t="str">
        <f ca="1">NUMBERSTRING(INT(O77*10000),2)&amp;"元整"</f>
        <v>壹亿叁仟肆佰伍拾伍万元整</v>
      </c>
      <c r="P78" s="1304"/>
      <c r="Q78" s="2030"/>
      <c r="R78" s="2030"/>
      <c r="S78" s="2030"/>
      <c r="T78" s="2030"/>
      <c r="U78" s="2030"/>
      <c r="V78" s="2030"/>
    </row>
    <row r="79" spans="1:22" ht="13.5" thickBot="1">
      <c r="A79" s="3346" t="s">
        <v>427</v>
      </c>
      <c r="B79" s="3346"/>
      <c r="C79" s="3346"/>
      <c r="D79" s="3346"/>
      <c r="E79" s="3346"/>
      <c r="F79" s="42"/>
      <c r="G79" s="42"/>
      <c r="H79" s="1003"/>
      <c r="I79" s="311"/>
      <c r="J79" s="2037"/>
      <c r="K79" s="3372">
        <f>K77+1</f>
        <v>6</v>
      </c>
      <c r="L79" s="3351" t="s">
        <v>2887</v>
      </c>
      <c r="M79" s="3060" t="s">
        <v>421</v>
      </c>
      <c r="N79" s="1302"/>
      <c r="O79" s="1303">
        <f ca="1">N69-O77</f>
        <v>23914</v>
      </c>
      <c r="P79" s="1304"/>
      <c r="Q79" s="2030"/>
      <c r="R79" s="2030"/>
      <c r="S79" s="2030"/>
      <c r="T79" s="2030"/>
      <c r="U79" s="2030"/>
      <c r="V79" s="2030"/>
    </row>
    <row r="80" spans="1:22" ht="25.5">
      <c r="A80" s="3341" t="s">
        <v>428</v>
      </c>
      <c r="B80" s="3342"/>
      <c r="C80" s="994"/>
      <c r="D80" s="994" t="s">
        <v>429</v>
      </c>
      <c r="E80" s="370" t="s">
        <v>430</v>
      </c>
      <c r="F80" s="42"/>
      <c r="G80" s="42"/>
      <c r="H80" s="1003"/>
      <c r="I80" s="311"/>
      <c r="J80" s="2030"/>
      <c r="K80" s="3373"/>
      <c r="L80" s="3351"/>
      <c r="M80" s="3060" t="s">
        <v>425</v>
      </c>
      <c r="N80" s="1302"/>
      <c r="O80" s="1303" t="str">
        <f ca="1">NUMBERSTRING(INT(O79*10000),2)&amp;"元整"</f>
        <v>贰亿叁仟玖佰壹拾肆万元整</v>
      </c>
      <c r="P80" s="1304"/>
      <c r="Q80" s="2030"/>
      <c r="R80" s="2030"/>
      <c r="S80" s="2030"/>
      <c r="T80" s="2030"/>
      <c r="U80" s="2030"/>
      <c r="V80" s="2030"/>
    </row>
    <row r="81" spans="1:26" ht="13.5" thickBot="1">
      <c r="A81" s="381" t="s">
        <v>1824</v>
      </c>
      <c r="B81" s="371" t="s">
        <v>431</v>
      </c>
      <c r="C81" s="372">
        <f ca="1">ROUND((C82+C83)/(1+'数据-取费表'!C42),0)</f>
        <v>21353</v>
      </c>
      <c r="D81" s="373"/>
      <c r="E81" s="374"/>
      <c r="F81" s="42"/>
      <c r="G81" s="42"/>
      <c r="H81" s="1003"/>
      <c r="I81" s="311"/>
      <c r="J81" s="2030"/>
      <c r="K81" s="3054">
        <f>K79+1</f>
        <v>7</v>
      </c>
      <c r="L81" s="3349" t="s">
        <v>2888</v>
      </c>
      <c r="M81" s="3350"/>
      <c r="N81" s="1306"/>
      <c r="O81" s="1307">
        <f ca="1">ROUND(O79*10000/'数据-汇总表'!E3,0)</f>
        <v>1584</v>
      </c>
      <c r="P81" s="1308"/>
      <c r="Q81" s="2030"/>
      <c r="R81" s="2030"/>
      <c r="S81" s="2030"/>
      <c r="T81" s="2030"/>
      <c r="U81" s="2030"/>
      <c r="V81" s="2030"/>
    </row>
    <row r="82" spans="1:26" ht="13.5" thickTop="1">
      <c r="A82" s="375" t="s">
        <v>1825</v>
      </c>
      <c r="B82" s="376" t="s">
        <v>432</v>
      </c>
      <c r="C82" s="377">
        <f ca="1">D63</f>
        <v>22421</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61" t="s">
        <v>2875</v>
      </c>
      <c r="L83" s="3066" t="s">
        <v>2876</v>
      </c>
      <c r="M83" s="3056">
        <f ca="1">IF(N69&gt;10000,N69*0.5%,IF(AND(N69&gt;1000,N69&lt;=10000),N69*1%,IF(AND(N69&gt;100,N69&lt;=1000),N69*3%,IF(AND(N69&gt;10,N69&lt;=100),N69*5%,N69*8%))))</f>
        <v>186.845</v>
      </c>
      <c r="N83" s="53">
        <f ca="1">ROUND(M83,1)</f>
        <v>186.8</v>
      </c>
      <c r="O83" s="3059"/>
      <c r="P83" s="2030"/>
      <c r="Q83" s="2030"/>
      <c r="R83" s="2030"/>
      <c r="S83" s="2030"/>
      <c r="T83" s="2030"/>
      <c r="U83" s="2030"/>
      <c r="V83" s="2030"/>
    </row>
    <row r="84" spans="1:26" ht="12.75">
      <c r="A84" s="381" t="s">
        <v>1827</v>
      </c>
      <c r="B84" s="382" t="s">
        <v>434</v>
      </c>
      <c r="C84" s="383">
        <v>2000</v>
      </c>
      <c r="D84" s="384" t="s">
        <v>19</v>
      </c>
      <c r="E84" s="3101" t="s">
        <v>2943</v>
      </c>
      <c r="F84" s="42"/>
      <c r="G84" s="42"/>
      <c r="H84" s="1003"/>
      <c r="I84" s="311"/>
      <c r="J84" s="2030"/>
      <c r="K84" s="3361"/>
      <c r="L84" s="3066" t="s">
        <v>2877</v>
      </c>
      <c r="M84" s="3056">
        <f ca="1">IF(N69&gt;2000,N69*0.5%,IF(AND(N69&gt;1000,N69&lt;=2000),N69*0.6%,IF(AND(N69&gt;500,N69&lt;=1000),N69*0.7%,IF(AND(N69&gt;200,N69&lt;=500),N69*0.8%,IF(AND(N69&gt;100,N69&lt;=200),N69*0.9%,IF(AND(N69&gt;50,N69&lt;=100),N69*1%,IF(AND(N69&gt;20,N69&lt;=50),N69*1.5%,IF(AND(N69&gt;10,N69&lt;=20),N69*2%,IF(AND(N69&gt;1,N69&lt;=10),N69*2.5%)))))))))</f>
        <v>186.845</v>
      </c>
      <c r="N84" s="53">
        <f t="shared" ref="N84:N85" ca="1" si="2">ROUND(M84,1)</f>
        <v>186.8</v>
      </c>
      <c r="O84" s="2030" t="s">
        <v>2878</v>
      </c>
      <c r="P84" s="2030"/>
      <c r="Q84" s="2030"/>
      <c r="R84" s="2030"/>
      <c r="S84" s="2030"/>
      <c r="T84" s="2030"/>
      <c r="U84" s="2030"/>
      <c r="V84" s="2030"/>
    </row>
    <row r="85" spans="1:26" ht="12.75">
      <c r="A85" s="381" t="s">
        <v>1828</v>
      </c>
      <c r="B85" s="382" t="s">
        <v>435</v>
      </c>
      <c r="C85" s="385">
        <f ca="1">C81-C84</f>
        <v>19353</v>
      </c>
      <c r="D85" s="378" t="s">
        <v>19</v>
      </c>
      <c r="E85" s="379"/>
      <c r="F85" s="42"/>
      <c r="G85" s="42"/>
      <c r="H85" s="1003"/>
      <c r="I85" s="311"/>
      <c r="J85" s="2030"/>
      <c r="K85" s="3361"/>
      <c r="L85" s="3066" t="s">
        <v>2879</v>
      </c>
      <c r="M85" s="3056">
        <f ca="1">IF(N69&gt;1000,N69*0.1%,IF(AND(N69&gt;500,N69&lt;=1000),N69*0.5%,IF(AND(N69&gt;50,N69&lt;=500),N69*1%,IF(AND(N69&gt;1,N69&lt;=50),N69*1.5%))))</f>
        <v>37.369</v>
      </c>
      <c r="N85" s="53">
        <f t="shared" ca="1" si="2"/>
        <v>37.4</v>
      </c>
      <c r="O85" s="2030" t="s">
        <v>2878</v>
      </c>
      <c r="P85" s="2030"/>
      <c r="Q85" s="2030"/>
      <c r="R85" s="2030"/>
      <c r="S85" s="2030"/>
      <c r="T85" s="2030"/>
      <c r="U85" s="2030"/>
      <c r="V85" s="2030"/>
    </row>
    <row r="86" spans="1:26" ht="13.5" thickBot="1">
      <c r="A86" s="386" t="s">
        <v>1829</v>
      </c>
      <c r="B86" s="387" t="s">
        <v>436</v>
      </c>
      <c r="C86" s="388">
        <f ca="1">IF(C85&lt;=0,0,ROUND(C85*D86,0))</f>
        <v>1084</v>
      </c>
      <c r="D86" s="389">
        <f>'数据-取费表'!B41</f>
        <v>5.6000000000000001E-2</v>
      </c>
      <c r="E86" s="390"/>
      <c r="F86" s="42"/>
      <c r="G86" s="42"/>
      <c r="H86" s="1003"/>
      <c r="I86" s="311"/>
      <c r="J86" s="2030"/>
      <c r="K86" s="3361"/>
      <c r="L86" s="3066" t="s">
        <v>2880</v>
      </c>
      <c r="M86" s="3056">
        <f ca="1">N69*0.5%</f>
        <v>186.845</v>
      </c>
      <c r="N86" s="53">
        <f ca="1">IF(M86&gt;0.5,0.5,ROUND(M86,0))</f>
        <v>0.5</v>
      </c>
      <c r="O86" s="2030" t="s">
        <v>2881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1"/>
      <c r="L87" s="3066" t="s">
        <v>2882</v>
      </c>
      <c r="M87" s="3056">
        <f ca="1">IF(N69&gt;=10000,(8.25+(N69-10000)*0.01%),IF(AND(N69&gt;=8000,N69&lt;10000),(7.85+(N69-8000)*0.02%),IF(AND(N69&gt;=5000,N69&lt;8000),(6.65+(N69-5000)*0.04%),IF(AND(N69&gt;=2000,N69&lt;5000),(4.25+(PN69-2000)*0.08%),IF(AND(N69&gt;=1000,N69&lt;2000),(2.75+(N69-1000)*0.15%),IF(AND(N69&gt;=100,N69&lt;1000),(0.5+(N69-100)*0.25%),IF(AND(N69&gt;0,N69&lt;100),N69*0.5%)))))))</f>
        <v>10.9869</v>
      </c>
      <c r="N87" s="53">
        <f ca="1">ROUND(M87*0.9,1)</f>
        <v>9.9</v>
      </c>
      <c r="O87" s="3059"/>
      <c r="P87" s="311"/>
      <c r="Q87" s="2030"/>
      <c r="R87" s="2030"/>
      <c r="S87" s="2030"/>
      <c r="T87" s="2030"/>
      <c r="U87" s="2030"/>
      <c r="V87" s="2030"/>
      <c r="W87" s="292"/>
      <c r="X87" s="292"/>
      <c r="Y87" s="292"/>
      <c r="Z87" s="292"/>
    </row>
    <row r="88" spans="1:26" s="1314" customFormat="1" ht="15" thickBot="1">
      <c r="A88" s="3343" t="s">
        <v>437</v>
      </c>
      <c r="B88" s="3344"/>
      <c r="C88" s="3344"/>
      <c r="D88" s="3344"/>
      <c r="E88" s="3344"/>
      <c r="F88" s="3344"/>
      <c r="G88" s="3344"/>
      <c r="H88" s="3344"/>
      <c r="I88" s="1315"/>
      <c r="J88" s="2038"/>
      <c r="K88" s="3361"/>
      <c r="L88" s="3066" t="s">
        <v>2883</v>
      </c>
      <c r="M88" s="3056">
        <f ca="1">IF(N69&gt;10000,N69*0.5%,IF(AND(N69&gt;5000,N69&lt;=10000),N69*1%,IF(AND(N69&gt;1000,N69&lt;=5000),N69*2%,IF(AND(N69&gt;200,N69&lt;=1000),N69*3%,N69*5%))))</f>
        <v>186.845</v>
      </c>
      <c r="N88" s="53">
        <f ca="1">ROUND(M88,1)</f>
        <v>186.8</v>
      </c>
      <c r="O88" s="3059"/>
      <c r="P88" s="11"/>
      <c r="Q88" s="2035"/>
      <c r="R88" s="2035"/>
      <c r="S88" s="2035"/>
      <c r="T88" s="2035"/>
      <c r="U88" s="2035"/>
      <c r="V88" s="2035"/>
      <c r="W88" s="2039"/>
      <c r="X88" s="2039"/>
      <c r="Y88" s="2039"/>
      <c r="Z88" s="2039"/>
    </row>
    <row r="89" spans="1:26" s="1314" customFormat="1" ht="14.25">
      <c r="A89" s="3341" t="s">
        <v>428</v>
      </c>
      <c r="B89" s="3342"/>
      <c r="C89" s="994"/>
      <c r="D89" s="994" t="s">
        <v>429</v>
      </c>
      <c r="E89" s="391" t="s">
        <v>438</v>
      </c>
      <c r="F89" s="392"/>
      <c r="G89" s="392"/>
      <c r="H89" s="393"/>
      <c r="I89" s="1316"/>
      <c r="J89" s="2040"/>
      <c r="K89" s="3361"/>
      <c r="L89" s="3066" t="s">
        <v>27</v>
      </c>
      <c r="M89" s="3057"/>
      <c r="N89" s="53">
        <f ca="1">ROUND(SUM(N83:N88),0)</f>
        <v>608</v>
      </c>
      <c r="O89" s="3067">
        <f ca="1">N89/N69</f>
        <v>1.6270170462147768E-2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21353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2689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04" t="s">
        <v>447</v>
      </c>
      <c r="F94" s="3303"/>
      <c r="G94" s="3303"/>
      <c r="H94" s="334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128</v>
      </c>
      <c r="D96" s="406">
        <f>'数据-取费表'!B43</f>
        <v>6.000000000000001E-3</v>
      </c>
      <c r="E96" s="3332" t="s">
        <v>2430</v>
      </c>
      <c r="F96" s="3333"/>
      <c r="G96" s="3333"/>
      <c r="H96" s="333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18664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6.9408702119747119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10257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3" t="s">
        <v>454</v>
      </c>
      <c r="B101" s="3344"/>
      <c r="C101" s="3344"/>
      <c r="D101" s="3344"/>
      <c r="E101" s="3344"/>
      <c r="F101" s="3344"/>
      <c r="G101" s="3344"/>
      <c r="H101" s="334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1" t="s">
        <v>428</v>
      </c>
      <c r="B102" s="334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21353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818</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5" t="s">
        <v>462</v>
      </c>
      <c r="F109" s="3333"/>
      <c r="G109" s="3333"/>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5" t="s">
        <v>464</v>
      </c>
      <c r="F110" s="3333"/>
      <c r="G110" s="3333"/>
      <c r="H110" s="333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128</v>
      </c>
      <c r="D111" s="406">
        <f>'数据-取费表'!B43</f>
        <v>6.000000000000001E-3</v>
      </c>
      <c r="E111" s="3332" t="s">
        <v>2430</v>
      </c>
      <c r="F111" s="3333"/>
      <c r="G111" s="3333"/>
      <c r="H111" s="333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5" t="s">
        <v>2455</v>
      </c>
      <c r="F112" s="3333"/>
      <c r="G112" s="3333"/>
      <c r="H112" s="333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20535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25.103911980440099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12035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32575</v>
      </c>
      <c r="D13" s="451"/>
      <c r="E13" s="365"/>
      <c r="F13" s="452"/>
      <c r="G13" s="444"/>
      <c r="H13" s="447"/>
      <c r="I13" s="447"/>
      <c r="J13" s="447"/>
      <c r="K13" s="448"/>
    </row>
    <row r="14" spans="1:41" s="2118" customFormat="1" ht="13.5" customHeight="1">
      <c r="A14" s="1634" t="s">
        <v>1850</v>
      </c>
      <c r="B14" s="449" t="s">
        <v>480</v>
      </c>
      <c r="C14" s="53">
        <f ca="1">ROUND(C13*F14,0)</f>
        <v>977</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664</v>
      </c>
      <c r="D15" s="451"/>
      <c r="E15" s="365"/>
      <c r="F15" s="453">
        <f>'数据-取费表'!B34</f>
        <v>0.03</v>
      </c>
      <c r="G15" s="444" t="s">
        <v>502</v>
      </c>
      <c r="H15" s="447"/>
      <c r="I15" s="447"/>
      <c r="J15" s="447"/>
      <c r="K15" s="448"/>
    </row>
    <row r="16" spans="1:41" s="2119" customFormat="1" ht="13.5" customHeight="1">
      <c r="A16" s="1634" t="s">
        <v>1852</v>
      </c>
      <c r="B16" s="449" t="s">
        <v>484</v>
      </c>
      <c r="C16" s="53">
        <f ca="1">ROUND(D16*E16/10000,0)</f>
        <v>2264</v>
      </c>
      <c r="D16" s="451">
        <f ca="1">IF(B1="",'数据-汇总表'!E3,INDIRECT("'数据-取费表'!K"&amp;$K$1)+INDIRECT("'数据-取费表'!S"&amp;$K$1))</f>
        <v>150957.27000000002</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489</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36969</v>
      </c>
      <c r="D18" s="461"/>
      <c r="E18" s="462"/>
      <c r="F18" s="462"/>
      <c r="G18" s="1327" t="s">
        <v>2434</v>
      </c>
      <c r="H18" s="447"/>
      <c r="I18" s="447"/>
      <c r="J18" s="447"/>
      <c r="K18" s="448"/>
    </row>
    <row r="19" spans="1:14" s="2121" customFormat="1" ht="13.5" customHeight="1">
      <c r="A19" s="1635" t="s">
        <v>1855</v>
      </c>
      <c r="B19" s="459" t="s">
        <v>493</v>
      </c>
      <c r="C19" s="460">
        <f ca="1">ROUND(C18*F19,0)</f>
        <v>739</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0">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1791</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2437</v>
      </c>
      <c r="C22" s="487">
        <f ca="1">ROUND(IF('数据-取费表'!B22&lt;=1,(C18+C19)*F21*'数据-取费表'!B20/2,(C18+C19)*(POWER((1+F21),'数据-取费表'!B20/2)-1)),0)</f>
        <v>1791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2" t="s">
        <v>2833</v>
      </c>
      <c r="C24" s="478">
        <f ca="1">C25</f>
        <v>3017</v>
      </c>
      <c r="D24" s="489">
        <f ca="1">C26</f>
        <v>1.6000000000000001E-3</v>
      </c>
      <c r="E24" s="469" t="s">
        <v>507</v>
      </c>
      <c r="F24" s="479">
        <f ca="1">IF(B1="",'数据-取费表'!Q16,INDIRECT("'数据-取费表'!q"&amp;$K$1))</f>
        <v>0.08</v>
      </c>
      <c r="G24" s="444"/>
      <c r="H24" s="447"/>
      <c r="I24" s="447"/>
      <c r="J24" s="447"/>
      <c r="K24" s="448"/>
    </row>
    <row r="25" spans="1:14" s="2122" customFormat="1" ht="13.5" customHeight="1">
      <c r="A25" s="1634" t="s">
        <v>1849</v>
      </c>
      <c r="B25" s="1328" t="s">
        <v>2438</v>
      </c>
      <c r="C25" s="490">
        <f ca="1">ROUND((C18+C19)*F24,0)</f>
        <v>3017</v>
      </c>
      <c r="D25" s="472"/>
      <c r="E25" s="473"/>
      <c r="F25" s="480"/>
      <c r="G25" s="1326" t="s">
        <v>2435</v>
      </c>
      <c r="H25" s="457"/>
      <c r="I25" s="457"/>
      <c r="J25" s="457"/>
      <c r="K25" s="458"/>
    </row>
    <row r="26" spans="1:14" s="2122" customFormat="1" ht="13.5" customHeight="1">
      <c r="A26" s="1634" t="s">
        <v>1850</v>
      </c>
      <c r="B26" s="1328" t="s">
        <v>509</v>
      </c>
      <c r="C26" s="491">
        <f ca="1">ROUND(F20*F24,4)</f>
        <v>1.6000000000000001E-3</v>
      </c>
      <c r="D26" s="472"/>
      <c r="E26" s="481"/>
      <c r="F26" s="480"/>
      <c r="G26" s="1326" t="s">
        <v>510</v>
      </c>
      <c r="H26" s="457"/>
      <c r="I26" s="457"/>
      <c r="J26" s="457"/>
      <c r="K26" s="458"/>
    </row>
    <row r="27" spans="1:14" s="2122" customFormat="1" ht="13.5" customHeight="1">
      <c r="A27" s="1638" t="s">
        <v>1868</v>
      </c>
      <c r="B27" s="459" t="s">
        <v>511</v>
      </c>
      <c r="C27" s="3031">
        <f>ROUND(F27/(1+'数据-取费表'!C42),4)</f>
        <v>5.33E-2</v>
      </c>
      <c r="D27" s="462" t="s">
        <v>2831</v>
      </c>
      <c r="E27" s="462"/>
      <c r="F27" s="466">
        <f>'数据-取费表'!B41</f>
        <v>5.6000000000000001E-2</v>
      </c>
      <c r="G27" s="1962" t="s">
        <v>2293</v>
      </c>
      <c r="H27" s="447"/>
      <c r="I27" s="447"/>
      <c r="J27" s="447"/>
      <c r="K27" s="448"/>
    </row>
    <row r="28" spans="1:14" s="2123" customFormat="1" ht="13.5" customHeight="1">
      <c r="A28" s="1638" t="s">
        <v>1869</v>
      </c>
      <c r="B28" s="476" t="s">
        <v>512</v>
      </c>
      <c r="C28" s="470">
        <f ca="1">ROUND((C18+C19+C21+C24)/(1-C20-D21-D24-C27),0)</f>
        <v>46008</v>
      </c>
      <c r="D28" s="477"/>
      <c r="E28" s="469"/>
      <c r="F28" s="471"/>
      <c r="G28" s="1327" t="s">
        <v>2436</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63" sqref="L6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25004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1656</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5285</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352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6" t="s">
        <v>522</v>
      </c>
      <c r="D6" s="3387"/>
      <c r="E6" s="3386" t="s">
        <v>523</v>
      </c>
      <c r="F6" s="3387"/>
      <c r="G6" s="3386" t="s">
        <v>524</v>
      </c>
      <c r="H6" s="3387"/>
      <c r="I6" s="3386" t="s">
        <v>525</v>
      </c>
      <c r="J6" s="3387"/>
      <c r="K6" s="514" t="s">
        <v>526</v>
      </c>
      <c r="L6" s="2135"/>
      <c r="M6" s="2134"/>
      <c r="N6" s="2134"/>
      <c r="O6" s="2136"/>
      <c r="P6" s="3388" t="s">
        <v>527</v>
      </c>
      <c r="Q6" s="3389"/>
      <c r="R6" s="3394" t="s">
        <v>523</v>
      </c>
      <c r="S6" s="3395"/>
      <c r="T6" s="3394" t="s">
        <v>524</v>
      </c>
      <c r="U6" s="3395"/>
      <c r="V6" s="3381" t="s">
        <v>525</v>
      </c>
      <c r="W6" s="3381"/>
      <c r="X6" s="1568"/>
      <c r="Y6" s="3394" t="s">
        <v>527</v>
      </c>
      <c r="Z6" s="3395"/>
      <c r="AA6" s="3383" t="s">
        <v>523</v>
      </c>
      <c r="AB6" s="3384" t="s">
        <v>524</v>
      </c>
      <c r="AC6" s="3383" t="s">
        <v>525</v>
      </c>
    </row>
    <row r="7" spans="1:30" ht="20.25">
      <c r="A7" s="515"/>
      <c r="B7" s="516"/>
      <c r="C7" s="3402" t="s">
        <v>2930</v>
      </c>
      <c r="D7" s="3403"/>
      <c r="E7" s="3402" t="str">
        <f>土地案例!A8</f>
        <v>河源市江东新区建设大道南侧、东环路东侧</v>
      </c>
      <c r="F7" s="3403"/>
      <c r="G7" s="3402" t="str">
        <f>土地案例!A13</f>
        <v>河源市江东新区城市建设大道北侧胜利村拆迁安置点西面</v>
      </c>
      <c r="H7" s="3403"/>
      <c r="I7" s="3402" t="str">
        <f>土地案例!A5</f>
        <v>河源市粤赣高速公路西面、万绿湖大道南面</v>
      </c>
      <c r="J7" s="3403"/>
      <c r="K7" s="514"/>
      <c r="L7" s="2135"/>
      <c r="M7" s="2134"/>
      <c r="N7" s="2134"/>
      <c r="O7" s="2136"/>
      <c r="P7" s="3390"/>
      <c r="Q7" s="3391"/>
      <c r="R7" s="3396"/>
      <c r="S7" s="3397"/>
      <c r="T7" s="3396"/>
      <c r="U7" s="3397"/>
      <c r="V7" s="3381"/>
      <c r="W7" s="3381"/>
      <c r="X7" s="1568"/>
      <c r="Y7" s="3396"/>
      <c r="Z7" s="3397"/>
      <c r="AA7" s="3384"/>
      <c r="AB7" s="3384"/>
      <c r="AC7" s="3384"/>
    </row>
    <row r="8" spans="1:30" ht="21" thickBot="1">
      <c r="A8" s="515"/>
      <c r="B8" s="516"/>
      <c r="C8" s="3404" t="s">
        <v>2934</v>
      </c>
      <c r="D8" s="3405"/>
      <c r="E8" s="3404" t="s">
        <v>2934</v>
      </c>
      <c r="F8" s="3405"/>
      <c r="G8" s="3400" t="s">
        <v>2934</v>
      </c>
      <c r="H8" s="3401"/>
      <c r="I8" s="3400" t="s">
        <v>2934</v>
      </c>
      <c r="J8" s="3401"/>
      <c r="K8" s="514" t="s">
        <v>528</v>
      </c>
      <c r="L8" s="2135"/>
      <c r="M8" s="2134"/>
      <c r="N8" s="2134"/>
      <c r="O8" s="2136"/>
      <c r="P8" s="3392"/>
      <c r="Q8" s="3393"/>
      <c r="R8" s="3396"/>
      <c r="S8" s="3397"/>
      <c r="T8" s="3398"/>
      <c r="U8" s="3399"/>
      <c r="V8" s="3381"/>
      <c r="W8" s="3381"/>
      <c r="X8" s="1568"/>
      <c r="Y8" s="3398"/>
      <c r="Z8" s="3399"/>
      <c r="AA8" s="3385"/>
      <c r="AB8" s="3385"/>
      <c r="AC8" s="3385"/>
    </row>
    <row r="9" spans="1:30" s="1220" customFormat="1" ht="21" thickBot="1">
      <c r="A9" s="2913"/>
      <c r="B9" s="2920" t="s">
        <v>529</v>
      </c>
      <c r="C9" s="2912">
        <f>'数据-取费表'!B2</f>
        <v>43305</v>
      </c>
      <c r="D9" s="520">
        <v>100</v>
      </c>
      <c r="E9" s="521" t="str">
        <f>土地案例!H4</f>
        <v>2018-06-08</v>
      </c>
      <c r="F9" s="522">
        <f>SUMIF(72:72,YEAR(E9)&amp;"-"&amp;INT((MONTH(E9)+2)/3),73:73)</f>
        <v>99</v>
      </c>
      <c r="G9" s="523" t="str">
        <f>土地案例!H13</f>
        <v>2017-06-12</v>
      </c>
      <c r="H9" s="520">
        <f>SUMIF(72:72,YEAR(G9)&amp;"-"&amp;INT((MONTH(G9)+2)/3),73:73)</f>
        <v>95</v>
      </c>
      <c r="I9" s="523" t="str">
        <f>土地案例!H5</f>
        <v>2018-06-08</v>
      </c>
      <c r="J9" s="520">
        <f>SUMIF(72:72,YEAR(I9)&amp;"-"&amp;INT((MONTH(I9)+2)/3),73:73)</f>
        <v>99</v>
      </c>
      <c r="K9" s="524"/>
      <c r="L9" s="2137"/>
      <c r="M9" s="2134"/>
      <c r="N9" s="2134"/>
      <c r="O9" s="2138"/>
      <c r="P9" s="3411" t="s">
        <v>530</v>
      </c>
      <c r="Q9" s="3413"/>
      <c r="R9" s="1569" t="s">
        <v>8</v>
      </c>
      <c r="S9" s="1570">
        <f t="shared" ref="S9:S17" si="0">F9</f>
        <v>99</v>
      </c>
      <c r="T9" s="1569" t="s">
        <v>8</v>
      </c>
      <c r="U9" s="1570">
        <f t="shared" ref="U9:U17" si="1">H9</f>
        <v>95</v>
      </c>
      <c r="V9" s="1569" t="s">
        <v>8</v>
      </c>
      <c r="W9" s="1570">
        <f t="shared" ref="W9:W17" si="2">J9</f>
        <v>99</v>
      </c>
      <c r="X9" s="1571"/>
      <c r="Y9" s="3411" t="s">
        <v>530</v>
      </c>
      <c r="Z9" s="3412"/>
      <c r="AA9" s="1572">
        <f>D9/F9</f>
        <v>1.0101010101010102</v>
      </c>
      <c r="AB9" s="1572">
        <f>D9/H9</f>
        <v>1.0526315789473684</v>
      </c>
      <c r="AC9" s="1572">
        <f>D9/J9</f>
        <v>1.0101010101010102</v>
      </c>
    </row>
    <row r="10" spans="1:30" s="1220" customFormat="1" ht="21" thickBot="1">
      <c r="A10" s="2914"/>
      <c r="B10" s="2921" t="s">
        <v>531</v>
      </c>
      <c r="C10" s="856" t="s">
        <v>532</v>
      </c>
      <c r="D10" s="520">
        <v>100</v>
      </c>
      <c r="E10" s="3180" t="s">
        <v>3099</v>
      </c>
      <c r="F10" s="522">
        <f>SUMIF(75:75,E10,76:76)-SUMIF(75:75,C10,76:76)+100</f>
        <v>110</v>
      </c>
      <c r="G10" s="3180" t="s">
        <v>3099</v>
      </c>
      <c r="H10" s="520">
        <f>SUMIF(75:75,G10,76:76)-SUMIF(75:75,C10,76:76)+100</f>
        <v>110</v>
      </c>
      <c r="I10" s="3180" t="s">
        <v>3099</v>
      </c>
      <c r="J10" s="520">
        <f>SUMIF(75:75,I10,76:76)-SUMIF(75:75,C10,76:76)+100</f>
        <v>110</v>
      </c>
      <c r="K10" s="524"/>
      <c r="L10" s="2137"/>
      <c r="M10" s="2134"/>
      <c r="N10" s="2134"/>
      <c r="O10" s="2138"/>
      <c r="P10" s="3411" t="s">
        <v>533</v>
      </c>
      <c r="Q10" s="3412"/>
      <c r="R10" s="1569" t="s">
        <v>8</v>
      </c>
      <c r="S10" s="1570">
        <f t="shared" si="0"/>
        <v>110</v>
      </c>
      <c r="T10" s="1569" t="s">
        <v>8</v>
      </c>
      <c r="U10" s="1570">
        <f t="shared" si="1"/>
        <v>110</v>
      </c>
      <c r="V10" s="1569" t="s">
        <v>8</v>
      </c>
      <c r="W10" s="1570">
        <f t="shared" si="2"/>
        <v>110</v>
      </c>
      <c r="X10" s="1571"/>
      <c r="Y10" s="3411" t="s">
        <v>533</v>
      </c>
      <c r="Z10" s="3412"/>
      <c r="AA10" s="1572">
        <f t="shared" ref="AA10:AA47" si="3">D10/F10</f>
        <v>0.90909090909090906</v>
      </c>
      <c r="AB10" s="1572">
        <f t="shared" ref="AB10:AB47" si="4">D10/H10</f>
        <v>0.90909090909090906</v>
      </c>
      <c r="AC10" s="1572">
        <f t="shared" ref="AC10:AC47" si="5">D10/J10</f>
        <v>0.90909090909090906</v>
      </c>
    </row>
    <row r="11" spans="1:30" s="1220" customFormat="1" ht="20.25">
      <c r="A11" s="2915"/>
      <c r="B11" s="2922" t="s">
        <v>2757</v>
      </c>
      <c r="C11" s="3194" t="s">
        <v>3095</v>
      </c>
      <c r="D11" s="254">
        <v>100</v>
      </c>
      <c r="E11" s="3195" t="s">
        <v>3094</v>
      </c>
      <c r="F11" s="254">
        <f>SUMIF(77:77,E11,78:78)-SUMIF(77:77,C11,78:78)+100</f>
        <v>100</v>
      </c>
      <c r="G11" s="3195" t="s">
        <v>3094</v>
      </c>
      <c r="H11" s="254">
        <f>SUMIF(77:77,G11,78:78)-SUMIF(77:77,C11,78:78)+100</f>
        <v>100</v>
      </c>
      <c r="I11" s="3195" t="s">
        <v>3094</v>
      </c>
      <c r="J11" s="254">
        <f>SUMIF(77:77,I11,78:78)-SUMIF(77:77,C11,78:78)+100</f>
        <v>100</v>
      </c>
      <c r="K11" s="524"/>
      <c r="L11" s="2137"/>
      <c r="M11" s="2134"/>
      <c r="N11" s="2134"/>
      <c r="O11" s="2139"/>
      <c r="P11" s="3380" t="s">
        <v>535</v>
      </c>
      <c r="Q11" s="1151" t="str">
        <f t="shared" ref="Q11:Q17" si="6">B11</f>
        <v>用途</v>
      </c>
      <c r="R11" s="1569" t="s">
        <v>8</v>
      </c>
      <c r="S11" s="1570">
        <f t="shared" si="0"/>
        <v>100</v>
      </c>
      <c r="T11" s="1569" t="s">
        <v>8</v>
      </c>
      <c r="U11" s="1570">
        <f t="shared" si="1"/>
        <v>100</v>
      </c>
      <c r="V11" s="1569" t="s">
        <v>8</v>
      </c>
      <c r="W11" s="1570">
        <f t="shared" si="2"/>
        <v>100</v>
      </c>
      <c r="X11" s="1571"/>
      <c r="Y11" s="3326" t="s">
        <v>536</v>
      </c>
      <c r="Z11" s="1150" t="str">
        <f t="shared" ref="Z11:Z17" si="7">Q11</f>
        <v>用途</v>
      </c>
      <c r="AA11" s="1572">
        <f t="shared" si="3"/>
        <v>1</v>
      </c>
      <c r="AB11" s="1572">
        <f t="shared" si="4"/>
        <v>1</v>
      </c>
      <c r="AC11" s="1572">
        <f t="shared" si="5"/>
        <v>1</v>
      </c>
    </row>
    <row r="12" spans="1:30" s="1338" customFormat="1" ht="27">
      <c r="A12" s="2916"/>
      <c r="B12" s="2921" t="s">
        <v>2758</v>
      </c>
      <c r="C12" s="910"/>
      <c r="D12" s="255">
        <v>100</v>
      </c>
      <c r="E12" s="529"/>
      <c r="F12" s="255">
        <f>ROUND(100/'数据-取费表'!G16,0)</f>
        <v>101</v>
      </c>
      <c r="G12" s="530"/>
      <c r="H12" s="255">
        <f>ROUND(100/'数据-取费表'!G16,0)</f>
        <v>101</v>
      </c>
      <c r="I12" s="530"/>
      <c r="J12" s="255">
        <f>ROUND(100/'数据-取费表'!G16,0)</f>
        <v>101</v>
      </c>
      <c r="K12" s="531"/>
      <c r="L12" s="2140"/>
      <c r="M12" s="2134"/>
      <c r="N12" s="2134"/>
      <c r="O12" s="2141"/>
      <c r="P12" s="3380"/>
      <c r="Q12" s="1151" t="str">
        <f t="shared" si="6"/>
        <v>土地使用年限（年）</v>
      </c>
      <c r="R12" s="1569" t="s">
        <v>8</v>
      </c>
      <c r="S12" s="1570">
        <f t="shared" si="0"/>
        <v>101</v>
      </c>
      <c r="T12" s="1569" t="s">
        <v>8</v>
      </c>
      <c r="U12" s="1570">
        <f t="shared" si="1"/>
        <v>101</v>
      </c>
      <c r="V12" s="1569" t="s">
        <v>8</v>
      </c>
      <c r="W12" s="1570">
        <f t="shared" si="2"/>
        <v>101</v>
      </c>
      <c r="X12" s="1571"/>
      <c r="Y12" s="3326"/>
      <c r="Z12" s="1150" t="str">
        <f t="shared" si="7"/>
        <v>土地使用年限（年）</v>
      </c>
      <c r="AA12" s="1572">
        <f t="shared" si="3"/>
        <v>0.99009900990099009</v>
      </c>
      <c r="AB12" s="1572">
        <f t="shared" si="4"/>
        <v>0.99009900990099009</v>
      </c>
      <c r="AC12" s="1572">
        <f t="shared" si="5"/>
        <v>0.99009900990099009</v>
      </c>
    </row>
    <row r="13" spans="1:30" ht="20.25">
      <c r="A13" s="2917"/>
      <c r="B13" s="2921" t="s">
        <v>2759</v>
      </c>
      <c r="C13" s="534">
        <v>2.5</v>
      </c>
      <c r="D13" s="255">
        <v>100</v>
      </c>
      <c r="E13" s="533">
        <v>1.8</v>
      </c>
      <c r="F13" s="255">
        <f>LOOKUP(E13,82:82,83:83)-LOOKUP(C13,82:82,83:83)+100</f>
        <v>102</v>
      </c>
      <c r="G13" s="534">
        <v>2.5</v>
      </c>
      <c r="H13" s="255">
        <f>LOOKUP(G13,82:82,83:83)-LOOKUP(C13,82:82,83:83)+100</f>
        <v>100</v>
      </c>
      <c r="I13" s="533">
        <v>1.8</v>
      </c>
      <c r="J13" s="255">
        <f>LOOKUP(I13,82:82,83:83)-LOOKUP(C13,82:82,83:83)+100</f>
        <v>102</v>
      </c>
      <c r="K13" s="535">
        <v>2</v>
      </c>
      <c r="L13" s="2142"/>
      <c r="M13" s="2134"/>
      <c r="N13" s="2134"/>
      <c r="O13" s="2143"/>
      <c r="P13" s="3380"/>
      <c r="Q13" s="1151" t="str">
        <f t="shared" si="6"/>
        <v>容积率</v>
      </c>
      <c r="R13" s="1569" t="s">
        <v>8</v>
      </c>
      <c r="S13" s="1570">
        <f t="shared" si="0"/>
        <v>102</v>
      </c>
      <c r="T13" s="1569" t="s">
        <v>8</v>
      </c>
      <c r="U13" s="1570">
        <f t="shared" si="1"/>
        <v>100</v>
      </c>
      <c r="V13" s="1569" t="s">
        <v>8</v>
      </c>
      <c r="W13" s="1570">
        <f t="shared" si="2"/>
        <v>102</v>
      </c>
      <c r="X13" s="1571"/>
      <c r="Y13" s="3326"/>
      <c r="Z13" s="1150" t="str">
        <f t="shared" si="7"/>
        <v>容积率</v>
      </c>
      <c r="AA13" s="1572">
        <f t="shared" si="3"/>
        <v>0.98039215686274506</v>
      </c>
      <c r="AB13" s="1572">
        <f t="shared" si="4"/>
        <v>1</v>
      </c>
      <c r="AC13" s="1572">
        <f t="shared" si="5"/>
        <v>0.98039215686274506</v>
      </c>
    </row>
    <row r="14" spans="1:30" s="1220" customFormat="1" ht="20.25">
      <c r="A14" s="2914"/>
      <c r="B14" s="2923" t="s">
        <v>2760</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0"/>
      <c r="Q14" s="1151" t="str">
        <f t="shared" si="6"/>
        <v>配建</v>
      </c>
      <c r="R14" s="1569" t="s">
        <v>8</v>
      </c>
      <c r="S14" s="1570">
        <f t="shared" si="0"/>
        <v>100</v>
      </c>
      <c r="T14" s="1569" t="s">
        <v>8</v>
      </c>
      <c r="U14" s="1570">
        <f t="shared" si="1"/>
        <v>100</v>
      </c>
      <c r="V14" s="1569" t="s">
        <v>8</v>
      </c>
      <c r="W14" s="1570">
        <f t="shared" si="2"/>
        <v>100</v>
      </c>
      <c r="X14" s="1571"/>
      <c r="Y14" s="3326"/>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0"/>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0"/>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D16/F16</f>
        <v>1</v>
      </c>
      <c r="AB16" s="1572">
        <f>D16/H16</f>
        <v>1</v>
      </c>
      <c r="AC16" s="1572">
        <f>D16/J16</f>
        <v>1</v>
      </c>
    </row>
    <row r="17" spans="1:29" ht="99.75">
      <c r="A17" s="2911"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99</v>
      </c>
      <c r="G17" s="550"/>
      <c r="H17" s="549">
        <f>SUMIF(90:90,G18,91:91)-SUMIF(90:90,C18,91:91)+100</f>
        <v>100</v>
      </c>
      <c r="I17" s="552"/>
      <c r="J17" s="549">
        <f>SUMIF(90:90,I18,91:91)-SUMIF(90:90,C18,91:91)+100</f>
        <v>99</v>
      </c>
      <c r="K17" s="535">
        <v>1</v>
      </c>
      <c r="L17" s="2144"/>
      <c r="M17" s="2134"/>
      <c r="N17" s="2134"/>
      <c r="O17" s="2143"/>
      <c r="P17" s="3414" t="s">
        <v>540</v>
      </c>
      <c r="Q17" s="1573" t="str">
        <f t="shared" si="6"/>
        <v>居住社区成熟度</v>
      </c>
      <c r="R17" s="1574" t="s">
        <v>8</v>
      </c>
      <c r="S17" s="1575">
        <f t="shared" si="0"/>
        <v>99</v>
      </c>
      <c r="T17" s="1574" t="s">
        <v>8</v>
      </c>
      <c r="U17" s="1575">
        <f t="shared" si="1"/>
        <v>100</v>
      </c>
      <c r="V17" s="1574" t="s">
        <v>8</v>
      </c>
      <c r="W17" s="1575">
        <f t="shared" si="2"/>
        <v>99</v>
      </c>
      <c r="X17" s="1568"/>
      <c r="Y17" s="3414" t="s">
        <v>540</v>
      </c>
      <c r="Z17" s="1576" t="str">
        <f t="shared" si="7"/>
        <v>居住社区成熟度</v>
      </c>
      <c r="AA17" s="1577">
        <f t="shared" si="3"/>
        <v>1.0101010101010102</v>
      </c>
      <c r="AB17" s="1577">
        <f t="shared" si="4"/>
        <v>1</v>
      </c>
      <c r="AC17" s="1577">
        <f t="shared" si="5"/>
        <v>1.0101010101010102</v>
      </c>
    </row>
    <row r="18" spans="1:29" ht="20.25">
      <c r="A18" s="532"/>
      <c r="B18" s="553"/>
      <c r="C18" s="554" t="s">
        <v>3135</v>
      </c>
      <c r="D18" s="557"/>
      <c r="E18" s="3207" t="s">
        <v>3137</v>
      </c>
      <c r="F18" s="555"/>
      <c r="G18" s="556" t="s">
        <v>3135</v>
      </c>
      <c r="H18" s="559"/>
      <c r="I18" s="558" t="s">
        <v>3134</v>
      </c>
      <c r="J18" s="555"/>
      <c r="K18" s="531"/>
      <c r="L18" s="2144"/>
      <c r="M18" s="2134"/>
      <c r="N18" s="2134"/>
      <c r="O18" s="2143"/>
      <c r="P18" s="3415"/>
      <c r="Q18" s="1573"/>
      <c r="R18" s="1574"/>
      <c r="S18" s="1575"/>
      <c r="T18" s="1574"/>
      <c r="U18" s="1575"/>
      <c r="V18" s="1574"/>
      <c r="W18" s="1575"/>
      <c r="X18" s="1568"/>
      <c r="Y18" s="3415"/>
      <c r="Z18" s="1576"/>
      <c r="AA18" s="1577">
        <v>1</v>
      </c>
      <c r="AB18" s="1577">
        <v>1</v>
      </c>
      <c r="AC18" s="1577">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15"/>
      <c r="Q19" s="1573" t="str">
        <f>B19</f>
        <v>商业繁华度</v>
      </c>
      <c r="R19" s="1574" t="s">
        <v>8</v>
      </c>
      <c r="S19" s="1575">
        <f>F19</f>
        <v>100</v>
      </c>
      <c r="T19" s="1574" t="s">
        <v>8</v>
      </c>
      <c r="U19" s="1575">
        <f>H19</f>
        <v>100</v>
      </c>
      <c r="V19" s="1574" t="s">
        <v>8</v>
      </c>
      <c r="W19" s="1575">
        <f>J19</f>
        <v>100</v>
      </c>
      <c r="X19" s="1568"/>
      <c r="Y19" s="3415"/>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15"/>
      <c r="Q20" s="1573"/>
      <c r="R20" s="1574"/>
      <c r="S20" s="1575"/>
      <c r="T20" s="1574"/>
      <c r="U20" s="1575"/>
      <c r="V20" s="1574"/>
      <c r="W20" s="1575"/>
      <c r="X20" s="1568"/>
      <c r="Y20" s="3415"/>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15"/>
      <c r="Q21" s="1573" t="str">
        <f>B21</f>
        <v>办公集聚程度</v>
      </c>
      <c r="R21" s="1574" t="s">
        <v>8</v>
      </c>
      <c r="S21" s="1575">
        <f>F21</f>
        <v>100</v>
      </c>
      <c r="T21" s="1574" t="s">
        <v>8</v>
      </c>
      <c r="U21" s="1575">
        <f>H21</f>
        <v>100</v>
      </c>
      <c r="V21" s="1574" t="s">
        <v>8</v>
      </c>
      <c r="W21" s="1575">
        <f>J21</f>
        <v>100</v>
      </c>
      <c r="X21" s="1568"/>
      <c r="Y21" s="3415"/>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15"/>
      <c r="Q22" s="1573"/>
      <c r="R22" s="1574"/>
      <c r="S22" s="1575"/>
      <c r="T22" s="1574"/>
      <c r="U22" s="1575"/>
      <c r="V22" s="1574"/>
      <c r="W22" s="1575"/>
      <c r="X22" s="1568"/>
      <c r="Y22" s="341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99</v>
      </c>
      <c r="G23" s="562"/>
      <c r="H23" s="559">
        <f>SUMIF(96:96,G24,97:97)-SUMIF(96:96,C24,97:97)+100</f>
        <v>100</v>
      </c>
      <c r="I23" s="564"/>
      <c r="J23" s="559">
        <f>SUMIF(96:96,I24,97:97)-SUMIF(96:96,C24,97:97)+100</f>
        <v>99</v>
      </c>
      <c r="K23" s="535">
        <v>1</v>
      </c>
      <c r="L23" s="2144"/>
      <c r="M23" s="2134"/>
      <c r="N23" s="2134"/>
      <c r="O23" s="2143"/>
      <c r="P23" s="3415"/>
      <c r="Q23" s="1573" t="str">
        <f>B23</f>
        <v>交通便捷度</v>
      </c>
      <c r="R23" s="1574" t="s">
        <v>8</v>
      </c>
      <c r="S23" s="1575">
        <f>F23</f>
        <v>99</v>
      </c>
      <c r="T23" s="1574" t="s">
        <v>8</v>
      </c>
      <c r="U23" s="1575">
        <f>H23</f>
        <v>100</v>
      </c>
      <c r="V23" s="1574" t="s">
        <v>8</v>
      </c>
      <c r="W23" s="1575">
        <f>J23</f>
        <v>99</v>
      </c>
      <c r="X23" s="1568"/>
      <c r="Y23" s="3415"/>
      <c r="Z23" s="1576" t="str">
        <f>Q23</f>
        <v>交通便捷度</v>
      </c>
      <c r="AA23" s="1577">
        <f t="shared" si="3"/>
        <v>1.0101010101010102</v>
      </c>
      <c r="AB23" s="1577">
        <f t="shared" si="4"/>
        <v>1</v>
      </c>
      <c r="AC23" s="1577">
        <f t="shared" si="5"/>
        <v>1.0101010101010102</v>
      </c>
    </row>
    <row r="24" spans="1:29" ht="20.25">
      <c r="A24" s="532"/>
      <c r="B24" s="578"/>
      <c r="C24" s="554" t="s">
        <v>3135</v>
      </c>
      <c r="D24" s="557"/>
      <c r="E24" s="3207" t="s">
        <v>3137</v>
      </c>
      <c r="F24" s="555"/>
      <c r="G24" s="3206" t="s">
        <v>3136</v>
      </c>
      <c r="H24" s="555"/>
      <c r="I24" s="3207" t="s">
        <v>3137</v>
      </c>
      <c r="J24" s="555"/>
      <c r="K24" s="531"/>
      <c r="L24" s="2144"/>
      <c r="M24" s="2134"/>
      <c r="N24" s="2134"/>
      <c r="O24" s="2143"/>
      <c r="P24" s="3415"/>
      <c r="Q24" s="1573"/>
      <c r="R24" s="1574"/>
      <c r="S24" s="1575"/>
      <c r="T24" s="1574"/>
      <c r="U24" s="1575"/>
      <c r="V24" s="1574"/>
      <c r="W24" s="1575"/>
      <c r="X24" s="1568"/>
      <c r="Y24" s="341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4"/>
      <c r="M25" s="2134"/>
      <c r="N25" s="2134"/>
      <c r="O25" s="2143"/>
      <c r="P25" s="3415"/>
      <c r="Q25" s="1573" t="str">
        <f t="shared" ref="Q25:Q39" si="8">B25</f>
        <v>区域土地利用方向</v>
      </c>
      <c r="R25" s="1574" t="s">
        <v>8</v>
      </c>
      <c r="S25" s="1575">
        <f>F25</f>
        <v>100</v>
      </c>
      <c r="T25" s="1574" t="s">
        <v>8</v>
      </c>
      <c r="U25" s="1575">
        <f>H25</f>
        <v>100</v>
      </c>
      <c r="V25" s="1574" t="s">
        <v>8</v>
      </c>
      <c r="W25" s="1575">
        <f>J25</f>
        <v>100</v>
      </c>
      <c r="X25" s="1568"/>
      <c r="Y25" s="3415"/>
      <c r="Z25" s="1576" t="str">
        <f>Q25</f>
        <v>区域土地利用方向</v>
      </c>
      <c r="AA25" s="1577">
        <f t="shared" si="3"/>
        <v>1</v>
      </c>
      <c r="AB25" s="1577">
        <f t="shared" si="4"/>
        <v>1</v>
      </c>
      <c r="AC25" s="1577">
        <f t="shared" si="5"/>
        <v>1</v>
      </c>
    </row>
    <row r="26" spans="1:29" ht="20.25">
      <c r="A26" s="515"/>
      <c r="B26" s="1007"/>
      <c r="C26" s="3208" t="s">
        <v>3136</v>
      </c>
      <c r="D26" s="557"/>
      <c r="E26" s="3207" t="s">
        <v>3138</v>
      </c>
      <c r="F26" s="555"/>
      <c r="G26" s="3206" t="s">
        <v>3136</v>
      </c>
      <c r="H26" s="555"/>
      <c r="I26" s="3207" t="s">
        <v>3136</v>
      </c>
      <c r="J26" s="555"/>
      <c r="K26" s="531"/>
      <c r="L26" s="2144"/>
      <c r="M26" s="2134"/>
      <c r="N26" s="2134"/>
      <c r="O26" s="2143"/>
      <c r="P26" s="3415"/>
      <c r="Q26" s="1573"/>
      <c r="R26" s="1574"/>
      <c r="S26" s="1575"/>
      <c r="T26" s="1574"/>
      <c r="U26" s="1575"/>
      <c r="V26" s="1574"/>
      <c r="W26" s="1575"/>
      <c r="X26" s="1568"/>
      <c r="Y26" s="341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44"/>
      <c r="M27" s="2134"/>
      <c r="N27" s="2134"/>
      <c r="O27" s="2143"/>
      <c r="P27" s="3415"/>
      <c r="Q27" s="1573" t="str">
        <f t="shared" si="8"/>
        <v>自然及人文环境状况</v>
      </c>
      <c r="R27" s="1574" t="s">
        <v>8</v>
      </c>
      <c r="S27" s="1575">
        <f>F27</f>
        <v>100</v>
      </c>
      <c r="T27" s="1574" t="s">
        <v>8</v>
      </c>
      <c r="U27" s="1575">
        <f>H27</f>
        <v>100</v>
      </c>
      <c r="V27" s="1574" t="s">
        <v>8</v>
      </c>
      <c r="W27" s="1575">
        <f>J27</f>
        <v>100</v>
      </c>
      <c r="X27" s="1568"/>
      <c r="Y27" s="3415"/>
      <c r="Z27" s="1576" t="str">
        <f>Q27</f>
        <v>自然及人文环境状况</v>
      </c>
      <c r="AA27" s="1577">
        <f t="shared" si="3"/>
        <v>1</v>
      </c>
      <c r="AB27" s="1577">
        <f t="shared" si="4"/>
        <v>1</v>
      </c>
      <c r="AC27" s="1577">
        <f t="shared" si="5"/>
        <v>1</v>
      </c>
    </row>
    <row r="28" spans="1:29" ht="20.25">
      <c r="A28" s="515"/>
      <c r="B28" s="566"/>
      <c r="C28" s="3208" t="s">
        <v>3137</v>
      </c>
      <c r="D28" s="557"/>
      <c r="E28" s="3209" t="s">
        <v>3137</v>
      </c>
      <c r="F28" s="555"/>
      <c r="G28" s="3208" t="s">
        <v>3137</v>
      </c>
      <c r="H28" s="555"/>
      <c r="I28" s="3209" t="s">
        <v>3137</v>
      </c>
      <c r="J28" s="555"/>
      <c r="K28" s="531"/>
      <c r="L28" s="2144"/>
      <c r="M28" s="2134"/>
      <c r="N28" s="2134"/>
      <c r="O28" s="2143"/>
      <c r="P28" s="3415"/>
      <c r="Q28" s="1573"/>
      <c r="R28" s="1574"/>
      <c r="S28" s="1575"/>
      <c r="T28" s="1574"/>
      <c r="U28" s="1575"/>
      <c r="V28" s="1574"/>
      <c r="W28" s="1575"/>
      <c r="X28" s="1568"/>
      <c r="Y28" s="3415"/>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3197"/>
      <c r="F29" s="559">
        <f>SUMIF(102:102,E30,103:103)-SUMIF(102:102,C30,103:103)+100</f>
        <v>100</v>
      </c>
      <c r="G29" s="562"/>
      <c r="H29" s="559">
        <f>SUMIF(102:102,G30,103:103)-SUMIF(102:102,C30,103:103)+100</f>
        <v>100</v>
      </c>
      <c r="I29" s="564"/>
      <c r="J29" s="559">
        <f>SUMIF(102:102,I30,103:103)-SUMIF(102:102,C30,103:103)+100</f>
        <v>100</v>
      </c>
      <c r="K29" s="535">
        <v>1</v>
      </c>
      <c r="L29" s="2137"/>
      <c r="M29" s="2134"/>
      <c r="N29" s="2134"/>
      <c r="O29" s="2139"/>
      <c r="P29" s="3415"/>
      <c r="Q29" s="1151" t="str">
        <f t="shared" si="8"/>
        <v>公共配套设施</v>
      </c>
      <c r="R29" s="1569" t="s">
        <v>8</v>
      </c>
      <c r="S29" s="1570">
        <f>F29</f>
        <v>100</v>
      </c>
      <c r="T29" s="1569" t="s">
        <v>8</v>
      </c>
      <c r="U29" s="1570">
        <f>H29</f>
        <v>100</v>
      </c>
      <c r="V29" s="1569" t="s">
        <v>8</v>
      </c>
      <c r="W29" s="1570">
        <f>J29</f>
        <v>100</v>
      </c>
      <c r="X29" s="1571"/>
      <c r="Y29" s="3415"/>
      <c r="Z29" s="1150" t="str">
        <f>Q29</f>
        <v>公共配套设施</v>
      </c>
      <c r="AA29" s="1577">
        <f>D29/F29</f>
        <v>1</v>
      </c>
      <c r="AB29" s="1577">
        <f>D29/H29</f>
        <v>1</v>
      </c>
      <c r="AC29" s="1577">
        <f>D29/J29</f>
        <v>1</v>
      </c>
    </row>
    <row r="30" spans="1:29" s="1220" customFormat="1" ht="20.25">
      <c r="A30" s="577"/>
      <c r="B30" s="566"/>
      <c r="C30" s="3210" t="s">
        <v>3136</v>
      </c>
      <c r="D30" s="557"/>
      <c r="E30" s="3209" t="s">
        <v>3136</v>
      </c>
      <c r="F30" s="555"/>
      <c r="G30" s="3208" t="s">
        <v>3138</v>
      </c>
      <c r="H30" s="555"/>
      <c r="I30" s="3209" t="s">
        <v>3139</v>
      </c>
      <c r="J30" s="555"/>
      <c r="K30" s="531"/>
      <c r="L30" s="2137"/>
      <c r="M30" s="2134"/>
      <c r="N30" s="2134"/>
      <c r="O30" s="2139"/>
      <c r="P30" s="3415"/>
      <c r="Q30" s="1151"/>
      <c r="R30" s="1569"/>
      <c r="S30" s="1570"/>
      <c r="T30" s="1569"/>
      <c r="U30" s="1570"/>
      <c r="V30" s="1569"/>
      <c r="W30" s="1570"/>
      <c r="X30" s="1571"/>
      <c r="Y30" s="3415"/>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15"/>
      <c r="Q31" s="2580" t="str">
        <f t="shared" ref="Q31" si="9">B31</f>
        <v>基础设施水平</v>
      </c>
      <c r="R31" s="1569" t="s">
        <v>8</v>
      </c>
      <c r="S31" s="1570">
        <f>F31</f>
        <v>100</v>
      </c>
      <c r="T31" s="1569" t="s">
        <v>8</v>
      </c>
      <c r="U31" s="1570">
        <f>H31</f>
        <v>100</v>
      </c>
      <c r="V31" s="1569" t="s">
        <v>8</v>
      </c>
      <c r="W31" s="1570">
        <f>J31</f>
        <v>100</v>
      </c>
      <c r="X31" s="1571"/>
      <c r="Y31" s="3415"/>
      <c r="Z31" s="2577" t="str">
        <f>Q31</f>
        <v>基础设施水平</v>
      </c>
      <c r="AA31" s="1577">
        <f>D31/F31</f>
        <v>1</v>
      </c>
      <c r="AB31" s="1577">
        <f>D31/H31</f>
        <v>1</v>
      </c>
      <c r="AC31" s="1577">
        <f>D31/J31</f>
        <v>1</v>
      </c>
    </row>
    <row r="32" spans="1:29" s="1220" customFormat="1" ht="20.25">
      <c r="A32" s="577"/>
      <c r="B32" s="566"/>
      <c r="C32" s="3210" t="s">
        <v>3140</v>
      </c>
      <c r="D32" s="557"/>
      <c r="E32" s="3211" t="s">
        <v>3140</v>
      </c>
      <c r="F32" s="555"/>
      <c r="G32" s="3210" t="s">
        <v>3140</v>
      </c>
      <c r="H32" s="555"/>
      <c r="I32" s="3210" t="s">
        <v>3140</v>
      </c>
      <c r="J32" s="555"/>
      <c r="K32" s="531"/>
      <c r="L32" s="2137"/>
      <c r="M32" s="2134"/>
      <c r="N32" s="2134"/>
      <c r="O32" s="2139"/>
      <c r="P32" s="3415"/>
      <c r="Q32" s="2580"/>
      <c r="R32" s="1569"/>
      <c r="S32" s="1570"/>
      <c r="T32" s="1569"/>
      <c r="U32" s="1570"/>
      <c r="V32" s="1569"/>
      <c r="W32" s="1570"/>
      <c r="X32" s="1571"/>
      <c r="Y32" s="3415"/>
      <c r="Z32" s="2577"/>
      <c r="AA32" s="1577">
        <v>1</v>
      </c>
      <c r="AB32" s="1577">
        <v>1</v>
      </c>
      <c r="AC32" s="1577">
        <v>1</v>
      </c>
    </row>
    <row r="33" spans="1:29" ht="20.25">
      <c r="A33" s="532"/>
      <c r="B33" s="566" t="s">
        <v>547</v>
      </c>
      <c r="C33" s="580" t="s">
        <v>3096</v>
      </c>
      <c r="D33" s="575">
        <v>100</v>
      </c>
      <c r="E33" s="583" t="s">
        <v>3097</v>
      </c>
      <c r="F33" s="540">
        <f>SUMIF(106:106,E33,107:107)-SUMIF(106:106,C33,107:107)+100</f>
        <v>98</v>
      </c>
      <c r="G33" s="580" t="s">
        <v>3097</v>
      </c>
      <c r="H33" s="540">
        <f>SUMIF(106:106,G33,107:107)-SUMIF(106:106,C33,107:107)+100</f>
        <v>98</v>
      </c>
      <c r="I33" s="580" t="s">
        <v>3097</v>
      </c>
      <c r="J33" s="540">
        <f>SUMIF(106:106,I33,107:107)-SUMIF(106:106,C33,107:107)+100</f>
        <v>98</v>
      </c>
      <c r="K33" s="535">
        <v>2</v>
      </c>
      <c r="L33" s="2144"/>
      <c r="M33" s="2134"/>
      <c r="N33" s="2134"/>
      <c r="O33" s="2143"/>
      <c r="P33" s="3415"/>
      <c r="Q33" s="1573" t="str">
        <f t="shared" si="8"/>
        <v>临街状况</v>
      </c>
      <c r="R33" s="1574" t="s">
        <v>8</v>
      </c>
      <c r="S33" s="1575">
        <f t="shared" ref="S33:S47" si="10">F33</f>
        <v>98</v>
      </c>
      <c r="T33" s="1574" t="s">
        <v>8</v>
      </c>
      <c r="U33" s="1575">
        <f t="shared" ref="U33:U47" si="11">H33</f>
        <v>98</v>
      </c>
      <c r="V33" s="1574" t="s">
        <v>8</v>
      </c>
      <c r="W33" s="1575">
        <f t="shared" ref="W33:W47" si="12">J33</f>
        <v>98</v>
      </c>
      <c r="X33" s="1568"/>
      <c r="Y33" s="3415"/>
      <c r="Z33" s="1576" t="str">
        <f t="shared" ref="Z33:Z47" si="13">Q33</f>
        <v>临街状况</v>
      </c>
      <c r="AA33" s="1577">
        <f t="shared" si="3"/>
        <v>1.0204081632653061</v>
      </c>
      <c r="AB33" s="1577">
        <f t="shared" si="4"/>
        <v>1.0204081632653061</v>
      </c>
      <c r="AC33" s="1577">
        <f t="shared" si="5"/>
        <v>1.0204081632653061</v>
      </c>
    </row>
    <row r="34" spans="1:29" ht="27.75">
      <c r="A34" s="532"/>
      <c r="B34" s="578" t="s">
        <v>548</v>
      </c>
      <c r="C34" s="3196" t="s">
        <v>3125</v>
      </c>
      <c r="D34" s="563">
        <v>100</v>
      </c>
      <c r="E34" s="3197" t="s">
        <v>3133</v>
      </c>
      <c r="F34" s="559">
        <f>SUMIF(108:108,E35,109:109)-SUMIF(108:108,C35,109:109)+100</f>
        <v>98</v>
      </c>
      <c r="G34" s="3196" t="s">
        <v>3126</v>
      </c>
      <c r="H34" s="559">
        <f>SUMIF(108:108,G35,109:109)-SUMIF(108:108,C35,109:109)+100</f>
        <v>100</v>
      </c>
      <c r="I34" s="3197" t="s">
        <v>3133</v>
      </c>
      <c r="J34" s="559">
        <f>SUMIF(108:108,I35,109:109)-SUMIF(108:108,C35,109:109)+100</f>
        <v>98</v>
      </c>
      <c r="K34" s="535">
        <v>1</v>
      </c>
      <c r="L34" s="2144"/>
      <c r="M34" s="2134"/>
      <c r="N34" s="2134"/>
      <c r="O34" s="2143"/>
      <c r="P34" s="3415"/>
      <c r="Q34" s="1573" t="str">
        <f t="shared" si="8"/>
        <v>毗邻道路的类型与等级</v>
      </c>
      <c r="R34" s="1574" t="s">
        <v>8</v>
      </c>
      <c r="S34" s="1575">
        <f t="shared" si="10"/>
        <v>98</v>
      </c>
      <c r="T34" s="1574" t="s">
        <v>8</v>
      </c>
      <c r="U34" s="1575">
        <f t="shared" si="11"/>
        <v>100</v>
      </c>
      <c r="V34" s="1574" t="s">
        <v>8</v>
      </c>
      <c r="W34" s="1575">
        <f t="shared" si="12"/>
        <v>98</v>
      </c>
      <c r="X34" s="1568"/>
      <c r="Y34" s="3415"/>
      <c r="Z34" s="1576" t="str">
        <f t="shared" si="13"/>
        <v>毗邻道路的类型与等级</v>
      </c>
      <c r="AA34" s="1577">
        <f t="shared" si="3"/>
        <v>1.0204081632653061</v>
      </c>
      <c r="AB34" s="1577">
        <f t="shared" si="4"/>
        <v>1</v>
      </c>
      <c r="AC34" s="1577">
        <f t="shared" si="5"/>
        <v>1.0204081632653061</v>
      </c>
    </row>
    <row r="35" spans="1:29" ht="20.25">
      <c r="A35" s="532"/>
      <c r="B35" s="566"/>
      <c r="C35" s="554" t="s">
        <v>3128</v>
      </c>
      <c r="D35" s="557"/>
      <c r="E35" s="576" t="s">
        <v>3131</v>
      </c>
      <c r="F35" s="555"/>
      <c r="G35" s="554" t="s">
        <v>3128</v>
      </c>
      <c r="H35" s="555"/>
      <c r="I35" s="576" t="s">
        <v>3131</v>
      </c>
      <c r="J35" s="555"/>
      <c r="K35" s="581"/>
      <c r="L35" s="2144"/>
      <c r="M35" s="2134"/>
      <c r="N35" s="2134"/>
      <c r="O35" s="2143"/>
      <c r="P35" s="3415"/>
      <c r="Q35" s="1573"/>
      <c r="R35" s="1574"/>
      <c r="S35" s="1575"/>
      <c r="T35" s="1574"/>
      <c r="U35" s="1575"/>
      <c r="V35" s="1574"/>
      <c r="W35" s="1575"/>
      <c r="X35" s="1568"/>
      <c r="Y35" s="341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15"/>
      <c r="Q36" s="1573" t="str">
        <f t="shared" si="8"/>
        <v>土地级别</v>
      </c>
      <c r="R36" s="1574" t="s">
        <v>8</v>
      </c>
      <c r="S36" s="1575">
        <f t="shared" si="10"/>
        <v>100</v>
      </c>
      <c r="T36" s="1574" t="s">
        <v>8</v>
      </c>
      <c r="U36" s="1575">
        <f t="shared" si="11"/>
        <v>100</v>
      </c>
      <c r="V36" s="1574" t="s">
        <v>8</v>
      </c>
      <c r="W36" s="1575">
        <f t="shared" si="12"/>
        <v>100</v>
      </c>
      <c r="X36" s="1568"/>
      <c r="Y36" s="341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15"/>
      <c r="Q37" s="1573">
        <f t="shared" si="8"/>
        <v>111</v>
      </c>
      <c r="R37" s="1574" t="s">
        <v>8</v>
      </c>
      <c r="S37" s="1575">
        <f t="shared" si="10"/>
        <v>100</v>
      </c>
      <c r="T37" s="1574" t="s">
        <v>8</v>
      </c>
      <c r="U37" s="1575">
        <f t="shared" si="11"/>
        <v>100</v>
      </c>
      <c r="V37" s="1574" t="s">
        <v>8</v>
      </c>
      <c r="W37" s="1575">
        <f t="shared" si="12"/>
        <v>100</v>
      </c>
      <c r="X37" s="1568"/>
      <c r="Y37" s="341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6" t="s">
        <v>550</v>
      </c>
      <c r="Q38" s="1573">
        <f t="shared" si="8"/>
        <v>111</v>
      </c>
      <c r="R38" s="1574" t="s">
        <v>8</v>
      </c>
      <c r="S38" s="1575">
        <f t="shared" si="10"/>
        <v>100</v>
      </c>
      <c r="T38" s="1574" t="s">
        <v>8</v>
      </c>
      <c r="U38" s="1575">
        <f t="shared" si="11"/>
        <v>100</v>
      </c>
      <c r="V38" s="1574" t="s">
        <v>8</v>
      </c>
      <c r="W38" s="1575">
        <f t="shared" si="12"/>
        <v>100</v>
      </c>
      <c r="X38" s="1568"/>
      <c r="Y38" s="341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7"/>
      <c r="Q39" s="1573">
        <f t="shared" si="8"/>
        <v>111</v>
      </c>
      <c r="R39" s="1578" t="s">
        <v>8</v>
      </c>
      <c r="S39" s="1579">
        <f t="shared" si="10"/>
        <v>100</v>
      </c>
      <c r="T39" s="1578" t="s">
        <v>8</v>
      </c>
      <c r="U39" s="1579">
        <f t="shared" si="11"/>
        <v>100</v>
      </c>
      <c r="V39" s="1578" t="s">
        <v>8</v>
      </c>
      <c r="W39" s="1579">
        <f t="shared" si="12"/>
        <v>100</v>
      </c>
      <c r="X39" s="1580"/>
      <c r="Y39" s="3417"/>
      <c r="Z39" s="1581">
        <f t="shared" si="13"/>
        <v>111</v>
      </c>
      <c r="AA39" s="1577">
        <f t="shared" si="3"/>
        <v>1</v>
      </c>
      <c r="AB39" s="1577">
        <f t="shared" si="4"/>
        <v>1</v>
      </c>
      <c r="AC39" s="1577">
        <f t="shared" si="5"/>
        <v>1</v>
      </c>
    </row>
    <row r="40" spans="1:29" ht="20.25">
      <c r="A40" s="2909" t="s">
        <v>2756</v>
      </c>
      <c r="B40" s="595" t="s">
        <v>552</v>
      </c>
      <c r="C40" s="596">
        <f>'数据-基础表'!A3</f>
        <v>60675</v>
      </c>
      <c r="D40" s="597">
        <v>100</v>
      </c>
      <c r="E40" s="596">
        <f>土地案例!D4</f>
        <v>18998.25</v>
      </c>
      <c r="F40" s="597">
        <f>LOOKUP(E40,119:119,120:120)-LOOKUP(C40,119:119,120:120)+100</f>
        <v>97</v>
      </c>
      <c r="G40" s="596">
        <f>土地案例!D13</f>
        <v>71393.600000000006</v>
      </c>
      <c r="H40" s="597">
        <f>LOOKUP(G40,119:119,120:120)-LOOKUP(C40,119:119,120:120)+100</f>
        <v>100</v>
      </c>
      <c r="I40" s="598">
        <f>土地案例!D5</f>
        <v>38113.18</v>
      </c>
      <c r="J40" s="597">
        <f>LOOKUP(I40,119:119,120:120)-LOOKUP(C40,119:119,120:120)+100</f>
        <v>98</v>
      </c>
      <c r="K40" s="581"/>
      <c r="L40" s="2144"/>
      <c r="M40" s="2134"/>
      <c r="N40" s="2134"/>
      <c r="O40" s="2143"/>
      <c r="P40" s="3417"/>
      <c r="Q40" s="1573" t="str">
        <f>B40</f>
        <v>宗地面积</v>
      </c>
      <c r="R40" s="1574" t="s">
        <v>8</v>
      </c>
      <c r="S40" s="1575">
        <f t="shared" si="10"/>
        <v>97</v>
      </c>
      <c r="T40" s="1574" t="s">
        <v>8</v>
      </c>
      <c r="U40" s="1575">
        <f t="shared" si="11"/>
        <v>100</v>
      </c>
      <c r="V40" s="1574" t="s">
        <v>8</v>
      </c>
      <c r="W40" s="1575">
        <f t="shared" si="12"/>
        <v>98</v>
      </c>
      <c r="X40" s="1568"/>
      <c r="Y40" s="3417"/>
      <c r="Z40" s="1576" t="str">
        <f t="shared" si="13"/>
        <v>宗地面积</v>
      </c>
      <c r="AA40" s="1577">
        <f t="shared" si="3"/>
        <v>1.0309278350515463</v>
      </c>
      <c r="AB40" s="1577">
        <f t="shared" si="4"/>
        <v>1</v>
      </c>
      <c r="AC40" s="1577">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17"/>
      <c r="Q41" s="1573" t="str">
        <f t="shared" ref="Q41:Q47" si="14">B41</f>
        <v>宗地形状</v>
      </c>
      <c r="R41" s="1574" t="s">
        <v>8</v>
      </c>
      <c r="S41" s="1575">
        <f t="shared" si="10"/>
        <v>100</v>
      </c>
      <c r="T41" s="1574" t="s">
        <v>8</v>
      </c>
      <c r="U41" s="1575">
        <f t="shared" si="11"/>
        <v>100</v>
      </c>
      <c r="V41" s="1574" t="s">
        <v>8</v>
      </c>
      <c r="W41" s="1575">
        <f t="shared" si="12"/>
        <v>100</v>
      </c>
      <c r="X41" s="1568"/>
      <c r="Y41" s="341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17"/>
      <c r="Q42" s="1573" t="str">
        <f t="shared" si="14"/>
        <v>临街宽度及深度</v>
      </c>
      <c r="R42" s="1574" t="s">
        <v>8</v>
      </c>
      <c r="S42" s="1575">
        <f t="shared" si="10"/>
        <v>100</v>
      </c>
      <c r="T42" s="1574" t="s">
        <v>8</v>
      </c>
      <c r="U42" s="1575">
        <f t="shared" si="11"/>
        <v>100</v>
      </c>
      <c r="V42" s="1574" t="s">
        <v>8</v>
      </c>
      <c r="W42" s="1575">
        <f t="shared" si="12"/>
        <v>100</v>
      </c>
      <c r="X42" s="1568"/>
      <c r="Y42" s="3417"/>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17"/>
      <c r="Q43" s="1573" t="str">
        <f t="shared" si="14"/>
        <v>宗地开发程度</v>
      </c>
      <c r="R43" s="1569" t="s">
        <v>8</v>
      </c>
      <c r="S43" s="1570">
        <f t="shared" si="10"/>
        <v>100</v>
      </c>
      <c r="T43" s="1569" t="s">
        <v>8</v>
      </c>
      <c r="U43" s="1570">
        <f t="shared" si="11"/>
        <v>100</v>
      </c>
      <c r="V43" s="1569" t="s">
        <v>8</v>
      </c>
      <c r="W43" s="1570">
        <f t="shared" si="12"/>
        <v>100</v>
      </c>
      <c r="X43" s="1571"/>
      <c r="Y43" s="341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17" t="s">
        <v>550</v>
      </c>
      <c r="Q44" s="1573" t="str">
        <f t="shared" si="14"/>
        <v>工程地质条件</v>
      </c>
      <c r="R44" s="1574" t="s">
        <v>8</v>
      </c>
      <c r="S44" s="1575">
        <f t="shared" si="10"/>
        <v>100</v>
      </c>
      <c r="T44" s="1574" t="s">
        <v>8</v>
      </c>
      <c r="U44" s="1575">
        <f t="shared" si="11"/>
        <v>100</v>
      </c>
      <c r="V44" s="1574" t="s">
        <v>8</v>
      </c>
      <c r="W44" s="1575">
        <f t="shared" si="12"/>
        <v>100</v>
      </c>
      <c r="X44" s="1568"/>
      <c r="Y44" s="341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17"/>
      <c r="Q45" s="1573">
        <f t="shared" si="14"/>
        <v>111</v>
      </c>
      <c r="R45" s="1574" t="s">
        <v>8</v>
      </c>
      <c r="S45" s="1575">
        <f t="shared" si="10"/>
        <v>100</v>
      </c>
      <c r="T45" s="1574" t="s">
        <v>8</v>
      </c>
      <c r="U45" s="1575">
        <f t="shared" si="11"/>
        <v>100</v>
      </c>
      <c r="V45" s="1574" t="s">
        <v>8</v>
      </c>
      <c r="W45" s="1575">
        <f t="shared" si="12"/>
        <v>100</v>
      </c>
      <c r="X45" s="1568"/>
      <c r="Y45" s="341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7"/>
      <c r="Q46" s="1573">
        <f t="shared" si="14"/>
        <v>111</v>
      </c>
      <c r="R46" s="1574" t="s">
        <v>8</v>
      </c>
      <c r="S46" s="1575">
        <f t="shared" si="10"/>
        <v>100</v>
      </c>
      <c r="T46" s="1574" t="s">
        <v>8</v>
      </c>
      <c r="U46" s="1575">
        <f t="shared" si="11"/>
        <v>100</v>
      </c>
      <c r="V46" s="1574" t="s">
        <v>8</v>
      </c>
      <c r="W46" s="1575">
        <f t="shared" si="12"/>
        <v>100</v>
      </c>
      <c r="X46" s="1568"/>
      <c r="Y46" s="341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7"/>
      <c r="Q47" s="1573">
        <f t="shared" si="14"/>
        <v>111</v>
      </c>
      <c r="R47" s="1578" t="s">
        <v>8</v>
      </c>
      <c r="S47" s="1579">
        <f t="shared" si="10"/>
        <v>100</v>
      </c>
      <c r="T47" s="1578" t="s">
        <v>8</v>
      </c>
      <c r="U47" s="1579">
        <f t="shared" si="11"/>
        <v>100</v>
      </c>
      <c r="V47" s="1578" t="s">
        <v>8</v>
      </c>
      <c r="W47" s="1579">
        <f t="shared" si="12"/>
        <v>100</v>
      </c>
      <c r="X47" s="1580"/>
      <c r="Y47" s="3417"/>
      <c r="Z47" s="1581">
        <f t="shared" si="13"/>
        <v>111</v>
      </c>
      <c r="AA47" s="1577">
        <f t="shared" si="3"/>
        <v>1</v>
      </c>
      <c r="AB47" s="1577">
        <f t="shared" si="4"/>
        <v>1</v>
      </c>
      <c r="AC47" s="1577">
        <f t="shared" si="5"/>
        <v>1</v>
      </c>
    </row>
    <row r="48" spans="1:29" ht="20.25">
      <c r="A48" s="607" t="s">
        <v>556</v>
      </c>
      <c r="B48" s="608" t="s">
        <v>3098</v>
      </c>
      <c r="C48" s="609" t="s">
        <v>1</v>
      </c>
      <c r="D48" s="610"/>
      <c r="E48" s="611">
        <v>2976</v>
      </c>
      <c r="F48" s="612"/>
      <c r="G48" s="613">
        <v>2307</v>
      </c>
      <c r="H48" s="614"/>
      <c r="I48" s="611">
        <v>2366</v>
      </c>
      <c r="J48" s="614"/>
      <c r="K48" s="1340"/>
      <c r="L48" s="2146"/>
      <c r="M48" s="2134"/>
      <c r="N48" s="2134"/>
      <c r="O48" s="2147"/>
      <c r="P48" s="3380" t="str">
        <f>A48</f>
        <v>成交单价</v>
      </c>
      <c r="Q48" s="3380"/>
      <c r="R48" s="3381">
        <f>E48</f>
        <v>2976</v>
      </c>
      <c r="S48" s="3381"/>
      <c r="T48" s="3381">
        <f>G48</f>
        <v>2307</v>
      </c>
      <c r="U48" s="3381"/>
      <c r="V48" s="3381">
        <f>I48</f>
        <v>2366</v>
      </c>
      <c r="W48" s="3381"/>
      <c r="X48" s="1560"/>
      <c r="Y48" s="1582"/>
      <c r="Z48" s="1560"/>
      <c r="AA48" s="1560"/>
      <c r="AB48" s="1560"/>
      <c r="AC48" s="1560"/>
    </row>
    <row r="49" spans="1:29" ht="21" thickBot="1">
      <c r="A49" s="615" t="s">
        <v>2694</v>
      </c>
      <c r="B49" s="616"/>
      <c r="C49" s="617">
        <f>R50</f>
        <v>2474</v>
      </c>
      <c r="D49" s="618"/>
      <c r="E49" s="617">
        <f>R49</f>
        <v>2905</v>
      </c>
      <c r="F49" s="619"/>
      <c r="G49" s="620">
        <f>T49</f>
        <v>2230</v>
      </c>
      <c r="H49" s="618"/>
      <c r="I49" s="617">
        <f>V49</f>
        <v>2286</v>
      </c>
      <c r="J49" s="618"/>
      <c r="K49" s="1341"/>
      <c r="L49" s="2146"/>
      <c r="M49" s="2134"/>
      <c r="N49" s="2134"/>
      <c r="O49" s="2147"/>
      <c r="P49" s="3380" t="str">
        <f>A49</f>
        <v>比较价格（元/平方米）</v>
      </c>
      <c r="Q49" s="3380"/>
      <c r="R49" s="3382">
        <f>ROUND(PRODUCT(R48,AA9:AA47),0)</f>
        <v>2905</v>
      </c>
      <c r="S49" s="3382"/>
      <c r="T49" s="3382">
        <f>ROUND(PRODUCT(T48,AB9:AB47),0)</f>
        <v>2230</v>
      </c>
      <c r="U49" s="3382"/>
      <c r="V49" s="3382">
        <f>ROUND(PRODUCT(V48,AC9:AC47),0)</f>
        <v>2286</v>
      </c>
      <c r="W49" s="3382"/>
      <c r="X49" s="1560"/>
      <c r="Y49" s="1560"/>
      <c r="Z49" s="1560"/>
      <c r="AA49" s="1560"/>
      <c r="AB49" s="1560"/>
      <c r="AC49" s="1560"/>
    </row>
    <row r="50" spans="1:29" ht="21" thickBot="1">
      <c r="A50" s="621" t="s">
        <v>2936</v>
      </c>
      <c r="B50" s="622"/>
      <c r="C50" s="623">
        <f>R50</f>
        <v>2474</v>
      </c>
      <c r="D50" s="623"/>
      <c r="E50" s="623"/>
      <c r="F50" s="623"/>
      <c r="G50" s="623"/>
      <c r="H50" s="623"/>
      <c r="I50" s="623"/>
      <c r="J50" s="623"/>
      <c r="K50" s="1342"/>
      <c r="L50" s="2146"/>
      <c r="M50" s="2134"/>
      <c r="N50" s="2134"/>
      <c r="O50" s="2147"/>
      <c r="P50" s="3377" t="str">
        <f>A50</f>
        <v>估价对象XX用房的比较价格（楼面单价，元/平方米）</v>
      </c>
      <c r="Q50" s="3378"/>
      <c r="R50" s="3379">
        <f>ROUND(AVERAGE(R49:V49),0)</f>
        <v>2474</v>
      </c>
      <c r="S50" s="3379"/>
      <c r="T50" s="3379"/>
      <c r="U50" s="3379"/>
      <c r="V50" s="3379"/>
      <c r="W50" s="337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2.4440619621342474E-2</v>
      </c>
      <c r="F53" s="627" t="str">
        <f>IF(OR(E53&gt;=0.3,E53&lt;=-0.3),"超过30%","")</f>
        <v/>
      </c>
      <c r="G53" s="626">
        <f>IF(G48&lt;G49,G49/G48-1,G48/G49-1)</f>
        <v>3.4529147982062858E-2</v>
      </c>
      <c r="H53" s="627" t="str">
        <f>IF(OR(G53&gt;=0.3,G53&lt;=-0.3),"超过30%","")</f>
        <v/>
      </c>
      <c r="I53" s="626">
        <f>IF(I48&lt;I49,I49/I48-1,I48/I49-1)</f>
        <v>3.4995625546806686E-2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0.30269058295964135</v>
      </c>
      <c r="F54" s="627" t="str">
        <f>IF(OR(E54&gt;=0.2,E54&lt;=-0.2),"超过20%","")</f>
        <v>超过20%</v>
      </c>
      <c r="G54" s="626">
        <f>IF(G49&lt;I49,I49/G49-1,G49/I49-1)</f>
        <v>2.5112107623318281E-2</v>
      </c>
      <c r="H54" s="627" t="str">
        <f>IF(OR(G54&gt;=0.2,G54&lt;=-0.2),"超过20%","")</f>
        <v/>
      </c>
      <c r="I54" s="626">
        <f>IF(I49&lt;E49,E49/I49-1,I49/E49-1)</f>
        <v>0.27077865266841639</v>
      </c>
      <c r="J54" s="627" t="str">
        <f>IF(OR(I54&gt;=0.2,I54&lt;=-0.2),"超过20%","")</f>
        <v>超过20%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0.28998699609882972</v>
      </c>
      <c r="F55" s="627" t="str">
        <f>IF(OR(E55&gt;=0.3,E55&lt;=-0.3),"超过30%","")</f>
        <v/>
      </c>
      <c r="G55" s="626">
        <f>IF(G48&lt;I48,I48/G48-1,G48/I48-1)</f>
        <v>2.5574338968357146E-2</v>
      </c>
      <c r="H55" s="627" t="str">
        <f>IF(OR(G55&gt;=0.3,G55&lt;=-0.3),"超过30%","")</f>
        <v/>
      </c>
      <c r="I55" s="626">
        <f>IF(I48&lt;E48,E48/I48-1,I48/E48-1)</f>
        <v>0.25781910397295005</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2295</v>
      </c>
      <c r="E57" s="631" t="s">
        <v>562</v>
      </c>
      <c r="F57" s="632" t="s">
        <v>563</v>
      </c>
      <c r="G57" s="3406" t="s">
        <v>2283</v>
      </c>
      <c r="H57" s="3407"/>
      <c r="I57" s="1556" t="s">
        <v>1723</v>
      </c>
      <c r="J57" s="1556" t="str">
        <f>项目基本情况!F41</f>
        <v>广东省河源市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2474</v>
      </c>
      <c r="C58" s="635">
        <v>1</v>
      </c>
      <c r="D58" s="2230">
        <v>1</v>
      </c>
      <c r="E58" s="635">
        <f>'数据-汇总表'!E8+'数据-汇总表'!E9</f>
        <v>101066.19</v>
      </c>
      <c r="F58" s="636">
        <f t="shared" ref="F58:F67" si="15">ROUND(B58*E58/10000,0)</f>
        <v>25004</v>
      </c>
      <c r="G58" s="3408"/>
      <c r="H58" s="340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10"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1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1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1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44231.600000000006</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145297.79</v>
      </c>
      <c r="F68" s="644">
        <f>IF(B48="楼面地价",SUM(F58:F67),ROUND(C50*E68/10000,0))</f>
        <v>25004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2018-7-1</v>
      </c>
      <c r="D70" s="2801">
        <f>EDATE(C70,-3)</f>
        <v>43191</v>
      </c>
      <c r="E70" s="2801">
        <f t="shared" ref="E70:N70" si="18">EDATE(D70,-3)</f>
        <v>43101</v>
      </c>
      <c r="F70" s="2801">
        <f t="shared" si="18"/>
        <v>43009</v>
      </c>
      <c r="G70" s="2801">
        <f t="shared" si="18"/>
        <v>42917</v>
      </c>
      <c r="H70" s="2801">
        <f t="shared" si="18"/>
        <v>42826</v>
      </c>
      <c r="I70" s="2801">
        <f t="shared" si="18"/>
        <v>42736</v>
      </c>
      <c r="J70" s="2801">
        <f t="shared" si="18"/>
        <v>42644</v>
      </c>
      <c r="K70" s="2801">
        <f t="shared" si="18"/>
        <v>42552</v>
      </c>
      <c r="L70" s="2801">
        <f t="shared" si="18"/>
        <v>42461</v>
      </c>
      <c r="M70" s="2801">
        <f t="shared" si="18"/>
        <v>42370</v>
      </c>
      <c r="N70" s="2801">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923</v>
      </c>
      <c r="B73" s="479" t="str">
        <f>"北京市平均增长率"&amp;TEXT(SUMIF(基准地价!N21:N25,A73,基准地价!P21:P25),"0.00%")</f>
        <v>北京市平均增长率2.45%</v>
      </c>
      <c r="C73" s="894">
        <v>100</v>
      </c>
      <c r="D73" s="730">
        <v>99</v>
      </c>
      <c r="E73" s="730">
        <v>98</v>
      </c>
      <c r="F73" s="730">
        <v>97</v>
      </c>
      <c r="G73" s="730">
        <v>96</v>
      </c>
      <c r="H73" s="730">
        <v>95</v>
      </c>
      <c r="I73" s="730">
        <v>94</v>
      </c>
      <c r="J73" s="730">
        <v>93</v>
      </c>
      <c r="K73" s="730">
        <v>92</v>
      </c>
      <c r="L73" s="730">
        <v>91</v>
      </c>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3198" t="s">
        <v>3100</v>
      </c>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v>110</v>
      </c>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99</v>
      </c>
      <c r="E91" s="679">
        <f>D91-$K17</f>
        <v>98</v>
      </c>
      <c r="F91" s="679">
        <f>E91-$K17</f>
        <v>97</v>
      </c>
      <c r="G91" s="679">
        <f>F91-$K17</f>
        <v>96</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99</v>
      </c>
      <c r="E97" s="679">
        <f>D97-$K23</f>
        <v>98</v>
      </c>
      <c r="F97" s="679">
        <f>E97-$K23</f>
        <v>97</v>
      </c>
      <c r="G97" s="679">
        <f>F97-$K23</f>
        <v>96</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83" t="s">
        <v>3129</v>
      </c>
      <c r="D108" s="3183" t="s">
        <v>3130</v>
      </c>
      <c r="E108" s="3183" t="s">
        <v>3132</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2" t="str">
        <f>项目基本情况!B1</f>
        <v>广东省河源市出让国有建设用地使用权抵押价格预评估</v>
      </c>
      <c r="C37" s="3212"/>
      <c r="D37" s="3212"/>
      <c r="E37" s="3212"/>
      <c r="F37" s="3212"/>
      <c r="G37" s="3212"/>
      <c r="H37" s="3212"/>
      <c r="I37" s="3212"/>
    </row>
    <row r="38" spans="1:9">
      <c r="A38" s="1657"/>
      <c r="B38" s="1657"/>
    </row>
    <row r="39" spans="1:9">
      <c r="A39" s="1655" t="s">
        <v>1902</v>
      </c>
      <c r="B39" s="1655" t="s">
        <v>2048</v>
      </c>
    </row>
    <row r="40" spans="1:9">
      <c r="A40" s="1655"/>
      <c r="B40" s="1655">
        <f>项目基本情况!B5</f>
        <v>0</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吴薇、郑燚</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6" t="s">
        <v>522</v>
      </c>
      <c r="D6" s="3387"/>
      <c r="E6" s="3420" t="s">
        <v>523</v>
      </c>
      <c r="F6" s="3421"/>
      <c r="G6" s="3386" t="s">
        <v>524</v>
      </c>
      <c r="H6" s="3387"/>
      <c r="I6" s="3386" t="s">
        <v>525</v>
      </c>
      <c r="J6" s="3387"/>
      <c r="K6" s="514" t="s">
        <v>526</v>
      </c>
      <c r="L6" s="2135"/>
      <c r="M6" s="2136"/>
      <c r="N6" s="2136"/>
      <c r="O6" s="2136"/>
      <c r="P6" s="3388" t="s">
        <v>527</v>
      </c>
      <c r="Q6" s="3389"/>
      <c r="R6" s="3394" t="s">
        <v>523</v>
      </c>
      <c r="S6" s="3395"/>
      <c r="T6" s="3394" t="s">
        <v>524</v>
      </c>
      <c r="U6" s="3395"/>
      <c r="V6" s="3381" t="s">
        <v>525</v>
      </c>
      <c r="W6" s="3381"/>
      <c r="X6" s="1568"/>
      <c r="Y6" s="3394" t="s">
        <v>527</v>
      </c>
      <c r="Z6" s="3395"/>
      <c r="AA6" s="3383" t="s">
        <v>523</v>
      </c>
      <c r="AB6" s="3384" t="s">
        <v>524</v>
      </c>
      <c r="AC6" s="3383" t="s">
        <v>525</v>
      </c>
    </row>
    <row r="7" spans="1:29" ht="15">
      <c r="A7" s="515"/>
      <c r="B7" s="516"/>
      <c r="C7" s="3402" t="s">
        <v>2930</v>
      </c>
      <c r="D7" s="3403"/>
      <c r="E7" s="3422" t="s">
        <v>2931</v>
      </c>
      <c r="F7" s="3423"/>
      <c r="G7" s="3402" t="s">
        <v>2932</v>
      </c>
      <c r="H7" s="3403"/>
      <c r="I7" s="3402" t="s">
        <v>2933</v>
      </c>
      <c r="J7" s="3403"/>
      <c r="K7" s="514"/>
      <c r="L7" s="2135"/>
      <c r="M7" s="2136"/>
      <c r="N7" s="2136"/>
      <c r="O7" s="2136"/>
      <c r="P7" s="3390"/>
      <c r="Q7" s="3391"/>
      <c r="R7" s="3396"/>
      <c r="S7" s="3397"/>
      <c r="T7" s="3396"/>
      <c r="U7" s="3397"/>
      <c r="V7" s="3381"/>
      <c r="W7" s="3381"/>
      <c r="X7" s="1568"/>
      <c r="Y7" s="3396"/>
      <c r="Z7" s="3397"/>
      <c r="AA7" s="3384"/>
      <c r="AB7" s="3384"/>
      <c r="AC7" s="3384"/>
    </row>
    <row r="8" spans="1:29" ht="15.75" thickBot="1">
      <c r="A8" s="517"/>
      <c r="B8" s="518"/>
      <c r="C8" s="3400" t="s">
        <v>2934</v>
      </c>
      <c r="D8" s="3401"/>
      <c r="E8" s="3418" t="s">
        <v>2934</v>
      </c>
      <c r="F8" s="3419"/>
      <c r="G8" s="3400" t="s">
        <v>2934</v>
      </c>
      <c r="H8" s="3401"/>
      <c r="I8" s="3400" t="s">
        <v>2934</v>
      </c>
      <c r="J8" s="3401"/>
      <c r="K8" s="514" t="s">
        <v>528</v>
      </c>
      <c r="L8" s="2135"/>
      <c r="M8" s="2136"/>
      <c r="N8" s="2136"/>
      <c r="O8" s="2136"/>
      <c r="P8" s="3392"/>
      <c r="Q8" s="3393"/>
      <c r="R8" s="3396"/>
      <c r="S8" s="3397"/>
      <c r="T8" s="3398"/>
      <c r="U8" s="3399"/>
      <c r="V8" s="3381"/>
      <c r="W8" s="3381"/>
      <c r="X8" s="1568"/>
      <c r="Y8" s="3398"/>
      <c r="Z8" s="3399"/>
      <c r="AA8" s="3385"/>
      <c r="AB8" s="3385"/>
      <c r="AC8" s="3385"/>
    </row>
    <row r="9" spans="1:29" s="1220" customFormat="1" ht="15.75" thickBot="1">
      <c r="A9" s="2913"/>
      <c r="B9" s="2920" t="s">
        <v>529</v>
      </c>
      <c r="C9" s="519">
        <f>'数据-取费表'!B2</f>
        <v>43305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1" t="s">
        <v>530</v>
      </c>
      <c r="Q9" s="3413"/>
      <c r="R9" s="1569" t="s">
        <v>8</v>
      </c>
      <c r="S9" s="1570">
        <f t="shared" ref="S9:S17" si="0">F9</f>
        <v>0</v>
      </c>
      <c r="T9" s="1569" t="s">
        <v>8</v>
      </c>
      <c r="U9" s="1570">
        <f t="shared" ref="U9:U17" si="1">H9</f>
        <v>0</v>
      </c>
      <c r="V9" s="1569" t="s">
        <v>8</v>
      </c>
      <c r="W9" s="1570">
        <f t="shared" ref="W9:W17" si="2">J9</f>
        <v>0</v>
      </c>
      <c r="X9" s="1571"/>
      <c r="Y9" s="3411" t="s">
        <v>530</v>
      </c>
      <c r="Z9" s="3412"/>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1" t="s">
        <v>533</v>
      </c>
      <c r="Q10" s="3412"/>
      <c r="R10" s="1569" t="s">
        <v>8</v>
      </c>
      <c r="S10" s="1570">
        <f t="shared" si="0"/>
        <v>0</v>
      </c>
      <c r="T10" s="1569" t="s">
        <v>8</v>
      </c>
      <c r="U10" s="1570">
        <f t="shared" si="1"/>
        <v>0</v>
      </c>
      <c r="V10" s="1569" t="s">
        <v>8</v>
      </c>
      <c r="W10" s="1570">
        <f t="shared" si="2"/>
        <v>0</v>
      </c>
      <c r="X10" s="1571"/>
      <c r="Y10" s="3411" t="s">
        <v>533</v>
      </c>
      <c r="Z10" s="3412"/>
      <c r="AA10" s="1572" t="e">
        <f t="shared" ref="AA10:AA42" si="3">D10/F10</f>
        <v>#DIV/0!</v>
      </c>
      <c r="AB10" s="1572" t="e">
        <f t="shared" ref="AB10:AB42" si="4">D10/H10</f>
        <v>#DIV/0!</v>
      </c>
      <c r="AC10" s="1572" t="e">
        <f t="shared" ref="AC10:AC42" si="5">D10/J10</f>
        <v>#DIV/0!</v>
      </c>
    </row>
    <row r="11" spans="1:29" s="1220" customFormat="1" ht="15">
      <c r="A11" s="2915"/>
      <c r="B11" s="2922"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0" t="s">
        <v>535</v>
      </c>
      <c r="Q11" s="1151" t="str">
        <f t="shared" ref="Q11:Q17" si="6">B11</f>
        <v>用途</v>
      </c>
      <c r="R11" s="1569" t="s">
        <v>8</v>
      </c>
      <c r="S11" s="1570">
        <f t="shared" si="0"/>
        <v>100</v>
      </c>
      <c r="T11" s="1569" t="s">
        <v>8</v>
      </c>
      <c r="U11" s="1570">
        <f t="shared" si="1"/>
        <v>100</v>
      </c>
      <c r="V11" s="1569" t="s">
        <v>8</v>
      </c>
      <c r="W11" s="1570">
        <f t="shared" si="2"/>
        <v>100</v>
      </c>
      <c r="X11" s="1571"/>
      <c r="Y11" s="3326" t="s">
        <v>536</v>
      </c>
      <c r="Z11" s="1150" t="str">
        <f t="shared" ref="Z11:Z17" si="7">Q11</f>
        <v>用途</v>
      </c>
      <c r="AA11" s="1572">
        <f t="shared" si="3"/>
        <v>1</v>
      </c>
      <c r="AB11" s="1572">
        <f t="shared" si="4"/>
        <v>1</v>
      </c>
      <c r="AC11" s="1572">
        <f t="shared" si="5"/>
        <v>1</v>
      </c>
    </row>
    <row r="12" spans="1:29" s="1338" customFormat="1" ht="27">
      <c r="A12" s="2916"/>
      <c r="B12" s="2921" t="s">
        <v>2758</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380"/>
      <c r="Q12" s="1151" t="str">
        <f t="shared" si="6"/>
        <v>土地使用年限（年）</v>
      </c>
      <c r="R12" s="1569" t="s">
        <v>8</v>
      </c>
      <c r="S12" s="1570">
        <f t="shared" si="0"/>
        <v>101</v>
      </c>
      <c r="T12" s="1569" t="s">
        <v>8</v>
      </c>
      <c r="U12" s="1570">
        <f t="shared" si="1"/>
        <v>101</v>
      </c>
      <c r="V12" s="1569" t="s">
        <v>8</v>
      </c>
      <c r="W12" s="1570">
        <f t="shared" si="2"/>
        <v>101</v>
      </c>
      <c r="X12" s="1571"/>
      <c r="Y12" s="3326"/>
      <c r="Z12" s="1150" t="str">
        <f t="shared" si="7"/>
        <v>土地使用年限（年）</v>
      </c>
      <c r="AA12" s="1572">
        <f t="shared" si="3"/>
        <v>0.99009900990099009</v>
      </c>
      <c r="AB12" s="1572">
        <f t="shared" si="4"/>
        <v>0.99009900990099009</v>
      </c>
      <c r="AC12" s="1572">
        <f t="shared" si="5"/>
        <v>0.99009900990099009</v>
      </c>
    </row>
    <row r="13" spans="1:29" ht="15">
      <c r="A13" s="2917"/>
      <c r="B13" s="2921"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0"/>
      <c r="Q13" s="1151" t="str">
        <f t="shared" si="6"/>
        <v>容积率</v>
      </c>
      <c r="R13" s="1569" t="s">
        <v>8</v>
      </c>
      <c r="S13" s="1570" t="e">
        <f t="shared" si="0"/>
        <v>#N/A</v>
      </c>
      <c r="T13" s="1569" t="s">
        <v>8</v>
      </c>
      <c r="U13" s="1570" t="e">
        <f t="shared" si="1"/>
        <v>#N/A</v>
      </c>
      <c r="V13" s="1569" t="s">
        <v>8</v>
      </c>
      <c r="W13" s="1570" t="e">
        <f t="shared" si="2"/>
        <v>#N/A</v>
      </c>
      <c r="X13" s="1571"/>
      <c r="Y13" s="3326"/>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0"/>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0"/>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 t="shared" si="3"/>
        <v>1</v>
      </c>
      <c r="AB16" s="1572">
        <f t="shared" si="4"/>
        <v>1</v>
      </c>
      <c r="AC16" s="1572">
        <f t="shared" si="5"/>
        <v>1</v>
      </c>
    </row>
    <row r="17" spans="1:29" ht="57">
      <c r="A17" s="2911"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4" t="s">
        <v>540</v>
      </c>
      <c r="Q17" s="1573" t="str">
        <f t="shared" si="6"/>
        <v>产业集聚程度</v>
      </c>
      <c r="R17" s="1574" t="s">
        <v>8</v>
      </c>
      <c r="S17" s="1575">
        <f t="shared" si="0"/>
        <v>100</v>
      </c>
      <c r="T17" s="1574" t="s">
        <v>8</v>
      </c>
      <c r="U17" s="1575">
        <f t="shared" si="1"/>
        <v>100</v>
      </c>
      <c r="V17" s="1574" t="s">
        <v>8</v>
      </c>
      <c r="W17" s="1575">
        <f t="shared" si="2"/>
        <v>100</v>
      </c>
      <c r="X17" s="1568"/>
      <c r="Y17" s="341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15"/>
      <c r="Q18" s="1573"/>
      <c r="R18" s="1574"/>
      <c r="S18" s="1575"/>
      <c r="T18" s="1574"/>
      <c r="U18" s="1575"/>
      <c r="V18" s="1574"/>
      <c r="W18" s="1575"/>
      <c r="X18" s="1568"/>
      <c r="Y18" s="341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15"/>
      <c r="Q19" s="1573" t="str">
        <f>B19</f>
        <v>交通便捷度</v>
      </c>
      <c r="R19" s="1574" t="s">
        <v>8</v>
      </c>
      <c r="S19" s="1575">
        <f>F19</f>
        <v>100</v>
      </c>
      <c r="T19" s="1574" t="s">
        <v>8</v>
      </c>
      <c r="U19" s="1575">
        <f>H19</f>
        <v>100</v>
      </c>
      <c r="V19" s="1574" t="s">
        <v>8</v>
      </c>
      <c r="W19" s="1575">
        <f>J19</f>
        <v>100</v>
      </c>
      <c r="X19" s="1568"/>
      <c r="Y19" s="341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15"/>
      <c r="Q20" s="1573"/>
      <c r="R20" s="1574"/>
      <c r="S20" s="1575"/>
      <c r="T20" s="1574"/>
      <c r="U20" s="1575"/>
      <c r="V20" s="1574"/>
      <c r="W20" s="1575"/>
      <c r="X20" s="1568"/>
      <c r="Y20" s="341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15"/>
      <c r="Q21" s="1573" t="str">
        <f t="shared" ref="Q21:Q35" si="8">B21</f>
        <v>区域土地利用方向</v>
      </c>
      <c r="R21" s="1574" t="s">
        <v>8</v>
      </c>
      <c r="S21" s="1575">
        <f>F21</f>
        <v>100</v>
      </c>
      <c r="T21" s="1574" t="s">
        <v>8</v>
      </c>
      <c r="U21" s="1575">
        <f>H21</f>
        <v>100</v>
      </c>
      <c r="V21" s="1574" t="s">
        <v>8</v>
      </c>
      <c r="W21" s="1575">
        <f>J21</f>
        <v>100</v>
      </c>
      <c r="X21" s="1568"/>
      <c r="Y21" s="341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15"/>
      <c r="Q22" s="1573"/>
      <c r="R22" s="1574"/>
      <c r="S22" s="1575"/>
      <c r="T22" s="1574"/>
      <c r="U22" s="1575"/>
      <c r="V22" s="1574"/>
      <c r="W22" s="1575"/>
      <c r="X22" s="1568"/>
      <c r="Y22" s="341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15"/>
      <c r="Q23" s="1573" t="str">
        <f t="shared" si="8"/>
        <v>环境状况</v>
      </c>
      <c r="R23" s="1574" t="s">
        <v>8</v>
      </c>
      <c r="S23" s="1575">
        <f>F23</f>
        <v>100</v>
      </c>
      <c r="T23" s="1574" t="s">
        <v>8</v>
      </c>
      <c r="U23" s="1575">
        <f>H23</f>
        <v>100</v>
      </c>
      <c r="V23" s="1574" t="s">
        <v>8</v>
      </c>
      <c r="W23" s="1575">
        <f>J23</f>
        <v>100</v>
      </c>
      <c r="X23" s="1568"/>
      <c r="Y23" s="341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15"/>
      <c r="Q24" s="1573"/>
      <c r="R24" s="1574"/>
      <c r="S24" s="1575"/>
      <c r="T24" s="1574"/>
      <c r="U24" s="1575"/>
      <c r="V24" s="1574"/>
      <c r="W24" s="1575"/>
      <c r="X24" s="1568"/>
      <c r="Y24" s="3415"/>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15"/>
      <c r="Q25" s="1151" t="str">
        <f t="shared" si="8"/>
        <v>公共配套设施</v>
      </c>
      <c r="R25" s="1569" t="s">
        <v>8</v>
      </c>
      <c r="S25" s="1570">
        <f>F25</f>
        <v>100</v>
      </c>
      <c r="T25" s="1569" t="s">
        <v>8</v>
      </c>
      <c r="U25" s="1570">
        <f>H25</f>
        <v>100</v>
      </c>
      <c r="V25" s="1569" t="s">
        <v>8</v>
      </c>
      <c r="W25" s="1570">
        <f>J25</f>
        <v>100</v>
      </c>
      <c r="X25" s="1571"/>
      <c r="Y25" s="3415"/>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15"/>
      <c r="Q26" s="1151"/>
      <c r="R26" s="1569"/>
      <c r="S26" s="1570"/>
      <c r="T26" s="1569"/>
      <c r="U26" s="1570"/>
      <c r="V26" s="1569"/>
      <c r="W26" s="1570"/>
      <c r="X26" s="1571"/>
      <c r="Y26" s="3415"/>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15"/>
      <c r="Q27" s="2580" t="str">
        <f t="shared" ref="Q27" si="9">B27</f>
        <v>基础设施水平</v>
      </c>
      <c r="R27" s="1569" t="s">
        <v>8</v>
      </c>
      <c r="S27" s="1570">
        <f>F27</f>
        <v>100</v>
      </c>
      <c r="T27" s="1569" t="s">
        <v>8</v>
      </c>
      <c r="U27" s="1570">
        <f>H27</f>
        <v>100</v>
      </c>
      <c r="V27" s="1569" t="s">
        <v>8</v>
      </c>
      <c r="W27" s="1570">
        <f>J27</f>
        <v>100</v>
      </c>
      <c r="X27" s="1571"/>
      <c r="Y27" s="3415"/>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15"/>
      <c r="Q28" s="2580"/>
      <c r="R28" s="1569"/>
      <c r="S28" s="1570"/>
      <c r="T28" s="1569"/>
      <c r="U28" s="1570"/>
      <c r="V28" s="1569"/>
      <c r="W28" s="1570"/>
      <c r="X28" s="1571"/>
      <c r="Y28" s="3415"/>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1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5"/>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15"/>
      <c r="Q30" s="1573" t="str">
        <f t="shared" si="8"/>
        <v>毗邻道路的类型与等级</v>
      </c>
      <c r="R30" s="1574" t="s">
        <v>8</v>
      </c>
      <c r="S30" s="1575">
        <f t="shared" si="10"/>
        <v>100</v>
      </c>
      <c r="T30" s="1574" t="s">
        <v>8</v>
      </c>
      <c r="U30" s="1575">
        <f t="shared" si="11"/>
        <v>100</v>
      </c>
      <c r="V30" s="1574" t="s">
        <v>8</v>
      </c>
      <c r="W30" s="1575">
        <f t="shared" si="12"/>
        <v>100</v>
      </c>
      <c r="X30" s="1568"/>
      <c r="Y30" s="341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15"/>
      <c r="Q31" s="1573"/>
      <c r="R31" s="1574"/>
      <c r="S31" s="1575"/>
      <c r="T31" s="1574"/>
      <c r="U31" s="1575"/>
      <c r="V31" s="1574"/>
      <c r="W31" s="1575"/>
      <c r="X31" s="1568"/>
      <c r="Y31" s="3415"/>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15"/>
      <c r="Q32" s="1573" t="str">
        <f t="shared" si="8"/>
        <v>土地级别</v>
      </c>
      <c r="R32" s="1574" t="s">
        <v>8</v>
      </c>
      <c r="S32" s="1575">
        <f t="shared" si="10"/>
        <v>100</v>
      </c>
      <c r="T32" s="1574" t="s">
        <v>8</v>
      </c>
      <c r="U32" s="1575">
        <f t="shared" si="11"/>
        <v>100</v>
      </c>
      <c r="V32" s="1574" t="s">
        <v>8</v>
      </c>
      <c r="W32" s="1575">
        <f t="shared" si="12"/>
        <v>100</v>
      </c>
      <c r="X32" s="1568"/>
      <c r="Y32" s="341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15"/>
      <c r="Q33" s="1573">
        <f t="shared" si="8"/>
        <v>111</v>
      </c>
      <c r="R33" s="1574" t="s">
        <v>8</v>
      </c>
      <c r="S33" s="1575">
        <f t="shared" si="10"/>
        <v>100</v>
      </c>
      <c r="T33" s="1574" t="s">
        <v>8</v>
      </c>
      <c r="U33" s="1575">
        <f t="shared" si="11"/>
        <v>100</v>
      </c>
      <c r="V33" s="1574" t="s">
        <v>8</v>
      </c>
      <c r="W33" s="1575">
        <f t="shared" si="12"/>
        <v>100</v>
      </c>
      <c r="X33" s="1568"/>
      <c r="Y33" s="341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16" t="s">
        <v>550</v>
      </c>
      <c r="Q34" s="1573">
        <f t="shared" si="8"/>
        <v>111</v>
      </c>
      <c r="R34" s="1574" t="s">
        <v>8</v>
      </c>
      <c r="S34" s="1575">
        <f t="shared" si="10"/>
        <v>100</v>
      </c>
      <c r="T34" s="1574" t="s">
        <v>8</v>
      </c>
      <c r="U34" s="1575">
        <f t="shared" si="11"/>
        <v>100</v>
      </c>
      <c r="V34" s="1574" t="s">
        <v>8</v>
      </c>
      <c r="W34" s="1575">
        <f t="shared" si="12"/>
        <v>100</v>
      </c>
      <c r="X34" s="1568"/>
      <c r="Y34" s="3417"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17"/>
      <c r="Q35" s="1573">
        <f t="shared" si="8"/>
        <v>111</v>
      </c>
      <c r="R35" s="1578" t="s">
        <v>8</v>
      </c>
      <c r="S35" s="1579">
        <f t="shared" si="10"/>
        <v>100</v>
      </c>
      <c r="T35" s="1578" t="s">
        <v>8</v>
      </c>
      <c r="U35" s="1579">
        <f t="shared" si="11"/>
        <v>100</v>
      </c>
      <c r="V35" s="1578" t="s">
        <v>8</v>
      </c>
      <c r="W35" s="1579">
        <f t="shared" si="12"/>
        <v>100</v>
      </c>
      <c r="X35" s="1580"/>
      <c r="Y35" s="3417"/>
      <c r="Z35" s="1581">
        <f t="shared" si="13"/>
        <v>111</v>
      </c>
      <c r="AA35" s="1577">
        <f t="shared" si="3"/>
        <v>1</v>
      </c>
      <c r="AB35" s="1577">
        <f t="shared" si="4"/>
        <v>1</v>
      </c>
      <c r="AC35" s="1577">
        <f t="shared" si="5"/>
        <v>1</v>
      </c>
    </row>
    <row r="36" spans="1:29" ht="15">
      <c r="A36" s="2909"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17"/>
      <c r="Q36" s="1573" t="str">
        <f>B36</f>
        <v>宗地面积</v>
      </c>
      <c r="R36" s="1574" t="s">
        <v>8</v>
      </c>
      <c r="S36" s="1575" t="e">
        <f t="shared" si="10"/>
        <v>#N/A</v>
      </c>
      <c r="T36" s="1574" t="s">
        <v>8</v>
      </c>
      <c r="U36" s="1575" t="e">
        <f t="shared" si="11"/>
        <v>#N/A</v>
      </c>
      <c r="V36" s="1574" t="s">
        <v>8</v>
      </c>
      <c r="W36" s="1575" t="e">
        <f t="shared" si="12"/>
        <v>#N/A</v>
      </c>
      <c r="X36" s="1568"/>
      <c r="Y36" s="341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17"/>
      <c r="Q37" s="1573" t="str">
        <f t="shared" ref="Q37:Q42" si="14">B37</f>
        <v>宗地形状</v>
      </c>
      <c r="R37" s="1574" t="s">
        <v>8</v>
      </c>
      <c r="S37" s="1575">
        <f t="shared" si="10"/>
        <v>100</v>
      </c>
      <c r="T37" s="1574" t="s">
        <v>8</v>
      </c>
      <c r="U37" s="1575">
        <f t="shared" si="11"/>
        <v>100</v>
      </c>
      <c r="V37" s="1574" t="s">
        <v>8</v>
      </c>
      <c r="W37" s="1575">
        <f t="shared" si="12"/>
        <v>100</v>
      </c>
      <c r="X37" s="1568"/>
      <c r="Y37" s="3417"/>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17"/>
      <c r="Q38" s="1573" t="str">
        <f t="shared" si="14"/>
        <v>宗地开发程度</v>
      </c>
      <c r="R38" s="1569" t="s">
        <v>8</v>
      </c>
      <c r="S38" s="1570">
        <f t="shared" si="10"/>
        <v>100</v>
      </c>
      <c r="T38" s="1569" t="s">
        <v>8</v>
      </c>
      <c r="U38" s="1570">
        <f t="shared" si="11"/>
        <v>100</v>
      </c>
      <c r="V38" s="1569" t="s">
        <v>8</v>
      </c>
      <c r="W38" s="1570">
        <f t="shared" si="12"/>
        <v>100</v>
      </c>
      <c r="X38" s="1571"/>
      <c r="Y38" s="341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7" t="s">
        <v>601</v>
      </c>
      <c r="Q39" s="1573" t="str">
        <f t="shared" si="14"/>
        <v>工程地质条件</v>
      </c>
      <c r="R39" s="1574" t="s">
        <v>8</v>
      </c>
      <c r="S39" s="1575">
        <f t="shared" si="10"/>
        <v>100</v>
      </c>
      <c r="T39" s="1574" t="s">
        <v>8</v>
      </c>
      <c r="U39" s="1575">
        <f t="shared" si="11"/>
        <v>100</v>
      </c>
      <c r="V39" s="1574" t="s">
        <v>8</v>
      </c>
      <c r="W39" s="1575">
        <f t="shared" si="12"/>
        <v>100</v>
      </c>
      <c r="X39" s="1568"/>
      <c r="Y39" s="341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17"/>
      <c r="Q40" s="1573">
        <f t="shared" si="14"/>
        <v>111</v>
      </c>
      <c r="R40" s="1574" t="s">
        <v>8</v>
      </c>
      <c r="S40" s="1575">
        <f t="shared" si="10"/>
        <v>100</v>
      </c>
      <c r="T40" s="1574" t="s">
        <v>8</v>
      </c>
      <c r="U40" s="1575">
        <f t="shared" si="11"/>
        <v>100</v>
      </c>
      <c r="V40" s="1574" t="s">
        <v>8</v>
      </c>
      <c r="W40" s="1575">
        <f t="shared" si="12"/>
        <v>100</v>
      </c>
      <c r="X40" s="1568"/>
      <c r="Y40" s="341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17"/>
      <c r="Q41" s="1573">
        <f t="shared" si="14"/>
        <v>111</v>
      </c>
      <c r="R41" s="1574" t="s">
        <v>8</v>
      </c>
      <c r="S41" s="1575">
        <f t="shared" si="10"/>
        <v>100</v>
      </c>
      <c r="T41" s="1574" t="s">
        <v>8</v>
      </c>
      <c r="U41" s="1575">
        <f t="shared" si="11"/>
        <v>100</v>
      </c>
      <c r="V41" s="1574" t="s">
        <v>8</v>
      </c>
      <c r="W41" s="1575">
        <f t="shared" si="12"/>
        <v>100</v>
      </c>
      <c r="X41" s="1568"/>
      <c r="Y41" s="341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17"/>
      <c r="Q42" s="1573">
        <f t="shared" si="14"/>
        <v>111</v>
      </c>
      <c r="R42" s="1578" t="s">
        <v>8</v>
      </c>
      <c r="S42" s="1579">
        <f t="shared" si="10"/>
        <v>100</v>
      </c>
      <c r="T42" s="1578" t="s">
        <v>8</v>
      </c>
      <c r="U42" s="1579">
        <f t="shared" si="11"/>
        <v>100</v>
      </c>
      <c r="V42" s="1578" t="s">
        <v>8</v>
      </c>
      <c r="W42" s="1579">
        <f t="shared" si="12"/>
        <v>100</v>
      </c>
      <c r="X42" s="1580"/>
      <c r="Y42" s="3417"/>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6"/>
      <c r="M43" s="2136"/>
      <c r="N43" s="2136"/>
      <c r="O43" s="2147"/>
      <c r="P43" s="3380" t="str">
        <f>A43</f>
        <v>成交单价</v>
      </c>
      <c r="Q43" s="3380"/>
      <c r="R43" s="3381">
        <f>E43</f>
        <v>0</v>
      </c>
      <c r="S43" s="3381"/>
      <c r="T43" s="3381">
        <f>G43</f>
        <v>0</v>
      </c>
      <c r="U43" s="3381"/>
      <c r="V43" s="3381">
        <f>I43</f>
        <v>0</v>
      </c>
      <c r="W43" s="338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380" t="str">
        <f>A44</f>
        <v>比较价格（元/平方米）</v>
      </c>
      <c r="Q44" s="3380"/>
      <c r="R44" s="3382" t="e">
        <f>ROUND(PRODUCT(R43,AA9:AA42),0)</f>
        <v>#DIV/0!</v>
      </c>
      <c r="S44" s="3382"/>
      <c r="T44" s="3382" t="e">
        <f>ROUND(PRODUCT(T43,AB9:AB42),0)</f>
        <v>#DIV/0!</v>
      </c>
      <c r="U44" s="3382"/>
      <c r="V44" s="3382" t="e">
        <f>ROUND(PRODUCT(V43,AC9:AC42),0)</f>
        <v>#DIV/0!</v>
      </c>
      <c r="W44" s="3382"/>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77" t="str">
        <f>A45</f>
        <v>估价对象XX用房的比较价格（楼面单价，元/平方米）</v>
      </c>
      <c r="Q45" s="3378"/>
      <c r="R45" s="3379" t="e">
        <f>ROUND(AVERAGE(R44:V44),0)</f>
        <v>#DIV/0!</v>
      </c>
      <c r="S45" s="3379"/>
      <c r="T45" s="3379"/>
      <c r="U45" s="3379"/>
      <c r="V45" s="3379"/>
      <c r="W45" s="337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2295</v>
      </c>
      <c r="E52" s="631" t="s">
        <v>562</v>
      </c>
      <c r="F52" s="1953" t="s">
        <v>563</v>
      </c>
      <c r="G52" s="3424" t="s">
        <v>2286</v>
      </c>
      <c r="H52" s="3425"/>
      <c r="I52" s="1954" t="s">
        <v>1948</v>
      </c>
      <c r="J52" s="1556" t="str">
        <f>项目基本情况!F41</f>
        <v>广东省河源市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101066.19</v>
      </c>
      <c r="F53" s="1952" t="e">
        <f t="shared" ref="F53:F62" si="15">ROUND(B53*E53/10000,0)</f>
        <v>#DIV/0!</v>
      </c>
      <c r="G53" s="3426"/>
      <c r="H53" s="342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28"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2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2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2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44231.600000000006</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47310.04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2018-7-1</v>
      </c>
      <c r="D65" s="2801">
        <f>EDATE(C65,-3)</f>
        <v>43191</v>
      </c>
      <c r="E65" s="2801">
        <f t="shared" ref="E65:N65" si="18">EDATE(D65,-3)</f>
        <v>43101</v>
      </c>
      <c r="F65" s="2801">
        <f t="shared" si="18"/>
        <v>43009</v>
      </c>
      <c r="G65" s="2801">
        <f t="shared" si="18"/>
        <v>42917</v>
      </c>
      <c r="H65" s="2801">
        <f t="shared" si="18"/>
        <v>42826</v>
      </c>
      <c r="I65" s="2801">
        <f t="shared" si="18"/>
        <v>42736</v>
      </c>
      <c r="J65" s="2801">
        <f t="shared" si="18"/>
        <v>42644</v>
      </c>
      <c r="K65" s="2801">
        <f t="shared" si="18"/>
        <v>42552</v>
      </c>
      <c r="L65" s="2801">
        <f t="shared" si="18"/>
        <v>42461</v>
      </c>
      <c r="M65" s="2801">
        <f t="shared" si="18"/>
        <v>42370</v>
      </c>
      <c r="N65" s="2801">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2650</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7" t="s">
        <v>2763</v>
      </c>
      <c r="S1" s="2937" t="s">
        <v>2764</v>
      </c>
      <c r="T1" s="2937" t="s">
        <v>2785</v>
      </c>
      <c r="U1" s="2937" t="s">
        <v>2786</v>
      </c>
      <c r="V1" s="2937" t="s">
        <v>2787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2.25</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38"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2766</v>
      </c>
      <c r="X7" s="2928">
        <f>G2</f>
        <v>0</v>
      </c>
      <c r="Y7" s="2928" t="s">
        <v>2767</v>
      </c>
      <c r="Z7" s="2929">
        <f>G3</f>
        <v>2.25</v>
      </c>
      <c r="AA7" s="2194"/>
      <c r="AB7" s="2194"/>
      <c r="AC7" s="2195"/>
      <c r="AD7" s="2930"/>
      <c r="AE7" s="2930"/>
      <c r="AF7" s="2930"/>
      <c r="AG7" s="2930"/>
      <c r="AH7" s="2930"/>
      <c r="AI7" s="2930"/>
      <c r="AJ7" s="2931"/>
    </row>
    <row r="8" spans="1:39" ht="15">
      <c r="A8" s="3439"/>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30" t="s">
        <v>2784</v>
      </c>
      <c r="X8" s="3431"/>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39"/>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29" t="s">
        <v>2780</v>
      </c>
      <c r="X9" s="2932" t="s">
        <v>2781</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9"/>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2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9"/>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29" t="s">
        <v>2782</v>
      </c>
      <c r="X11" s="1048" t="s">
        <v>2767</v>
      </c>
      <c r="Y11" s="1654">
        <f>$G$3</f>
        <v>2.25</v>
      </c>
      <c r="Z11" s="1654">
        <f t="shared" ref="Z11:AJ11" si="3">$G$3</f>
        <v>2.25</v>
      </c>
      <c r="AA11" s="1654">
        <f t="shared" si="3"/>
        <v>2.25</v>
      </c>
      <c r="AB11" s="1654">
        <f t="shared" si="3"/>
        <v>2.25</v>
      </c>
      <c r="AC11" s="1654">
        <f t="shared" si="3"/>
        <v>2.25</v>
      </c>
      <c r="AD11" s="1654">
        <f t="shared" si="3"/>
        <v>2.25</v>
      </c>
      <c r="AE11" s="1654">
        <f t="shared" si="3"/>
        <v>2.25</v>
      </c>
      <c r="AF11" s="1654">
        <f t="shared" si="3"/>
        <v>2.25</v>
      </c>
      <c r="AG11" s="1654">
        <f t="shared" si="3"/>
        <v>2.25</v>
      </c>
      <c r="AH11" s="1654">
        <f t="shared" si="3"/>
        <v>2.25</v>
      </c>
      <c r="AI11" s="1654">
        <f t="shared" si="3"/>
        <v>2.25</v>
      </c>
      <c r="AJ11" s="1654">
        <f t="shared" si="3"/>
        <v>2.25</v>
      </c>
    </row>
    <row r="12" spans="1:39" ht="25.5" thickBot="1">
      <c r="A12" s="3438" t="s">
        <v>1872</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29"/>
      <c r="X12" s="2935" t="s">
        <v>2783</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40"/>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29"/>
      <c r="X13" s="2935"/>
      <c r="Y13" s="2934">
        <f>(-0.163*(Y12^2)-0.59*Y12+7617)*(10^(-4))/Y11</f>
        <v>0.33853333333333335</v>
      </c>
      <c r="Z13" s="2934">
        <f t="shared" ref="Z13:AJ13" si="5">(-0.163*(Z12^2)-0.59*Z12+7617)*(10^(-4))/Z11</f>
        <v>0.33853333333333335</v>
      </c>
      <c r="AA13" s="2934">
        <f t="shared" si="5"/>
        <v>0.33853333333333335</v>
      </c>
      <c r="AB13" s="2934">
        <f t="shared" si="5"/>
        <v>0.33853333333333335</v>
      </c>
      <c r="AC13" s="2934">
        <f t="shared" si="5"/>
        <v>0.33853333333333335</v>
      </c>
      <c r="AD13" s="2934">
        <f t="shared" si="5"/>
        <v>0.33853333333333335</v>
      </c>
      <c r="AE13" s="2934">
        <f t="shared" si="5"/>
        <v>0.33853333333333335</v>
      </c>
      <c r="AF13" s="2934">
        <f t="shared" si="5"/>
        <v>0.33853333333333335</v>
      </c>
      <c r="AG13" s="2934">
        <f t="shared" si="5"/>
        <v>0.33853333333333335</v>
      </c>
      <c r="AH13" s="2934">
        <f t="shared" si="5"/>
        <v>0.33853333333333335</v>
      </c>
      <c r="AI13" s="2934">
        <f t="shared" si="5"/>
        <v>0.33853333333333335</v>
      </c>
      <c r="AJ13" s="2934">
        <f t="shared" si="5"/>
        <v>0.33853333333333335</v>
      </c>
    </row>
    <row r="14" spans="1:39" ht="12.75" customHeight="1" thickBot="1">
      <c r="A14" s="3440"/>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4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3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3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43305</v>
      </c>
      <c r="H19" s="1476" t="s">
        <v>2938</v>
      </c>
      <c r="I19" s="2786" t="str">
        <f>IF(H19="季度增幅（自定义）",SUMIF(N21:N24,E2,O21:O24),"")</f>
        <v/>
      </c>
      <c r="J19" s="1472"/>
      <c r="K19" s="1482"/>
      <c r="L19" s="3040" t="s">
        <v>2842</v>
      </c>
      <c r="M19" s="3041">
        <f>ROUND(SUMIF(地价!B2:F2,E2,地价!B23:F23),0)</f>
        <v>0</v>
      </c>
      <c r="N19" s="2788" t="s">
        <v>1677</v>
      </c>
      <c r="O19" s="2787">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6">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2" t="s">
        <v>2843</v>
      </c>
      <c r="M20" s="3043">
        <f>ROUND(SUMPRODUCT((地价!A4:A23=YEAR(G19)&amp;"-"&amp;ROUNDUP(MONTH(G19)/3,0))*(地价!B2:F2=E2)*(地价!B4:F23)),0)</f>
        <v>0</v>
      </c>
      <c r="N20" s="2791" t="s">
        <v>2647</v>
      </c>
      <c r="O20" s="2789" t="s">
        <v>2646</v>
      </c>
      <c r="P20" s="2790" t="s">
        <v>2651</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2649</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4"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5"/>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5"/>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6"/>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8"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7"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8"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7"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7"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7"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2" t="s">
        <v>1634</v>
      </c>
      <c r="B90" s="3442"/>
      <c r="C90" s="3442"/>
      <c r="D90" s="3442"/>
      <c r="E90" s="3442"/>
      <c r="F90" s="3442"/>
      <c r="G90" s="3442"/>
      <c r="H90" s="3442"/>
      <c r="I90" s="3442"/>
      <c r="J90" s="3442"/>
      <c r="K90" s="2452"/>
      <c r="L90" s="2452"/>
      <c r="M90" s="2452"/>
      <c r="N90" s="2452"/>
    </row>
    <row r="91" spans="1:40">
      <c r="A91" s="3443" t="s">
        <v>1444</v>
      </c>
      <c r="B91" s="3443" t="s">
        <v>1635</v>
      </c>
      <c r="C91" s="1140" t="s">
        <v>1636</v>
      </c>
      <c r="D91" s="1141"/>
      <c r="E91" s="1141"/>
      <c r="F91" s="1141"/>
      <c r="G91" s="1141"/>
      <c r="H91" s="1141"/>
      <c r="I91" s="1141"/>
      <c r="J91" s="1142"/>
      <c r="K91" s="1134"/>
      <c r="L91" s="1134"/>
      <c r="M91" s="1134"/>
      <c r="N91" s="1134"/>
    </row>
    <row r="92" spans="1:40">
      <c r="A92" s="3443"/>
      <c r="B92" s="3443"/>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2" t="s">
        <v>1638</v>
      </c>
      <c r="B101" s="1147" t="s">
        <v>906</v>
      </c>
      <c r="C101" s="1148">
        <f>$G$3</f>
        <v>2.25</v>
      </c>
      <c r="D101" s="1148">
        <f t="shared" ref="D101:N101" si="31">$G$3</f>
        <v>2.25</v>
      </c>
      <c r="E101" s="1148">
        <f t="shared" si="31"/>
        <v>2.25</v>
      </c>
      <c r="F101" s="1148">
        <f t="shared" si="31"/>
        <v>2.25</v>
      </c>
      <c r="G101" s="1148">
        <f t="shared" si="31"/>
        <v>2.25</v>
      </c>
      <c r="H101" s="1148">
        <f t="shared" si="31"/>
        <v>2.25</v>
      </c>
      <c r="I101" s="1148">
        <f t="shared" si="31"/>
        <v>2.25</v>
      </c>
      <c r="J101" s="1148">
        <f t="shared" si="31"/>
        <v>2.25</v>
      </c>
      <c r="K101" s="1148">
        <f t="shared" si="31"/>
        <v>2.25</v>
      </c>
      <c r="L101" s="1148">
        <f t="shared" si="31"/>
        <v>2.25</v>
      </c>
      <c r="M101" s="1148">
        <f t="shared" si="31"/>
        <v>2.25</v>
      </c>
      <c r="N101" s="1148">
        <f t="shared" si="31"/>
        <v>2.25</v>
      </c>
    </row>
    <row r="102" spans="1:14">
      <c r="A102" s="3433"/>
      <c r="B102" s="1143">
        <v>1</v>
      </c>
      <c r="C102" s="1144">
        <f>1.9362/C101</f>
        <v>0.86053333333333326</v>
      </c>
      <c r="D102" s="1144">
        <f>1.9362/D101</f>
        <v>0.86053333333333326</v>
      </c>
      <c r="E102" s="1144">
        <f>1.8629/E101</f>
        <v>0.82795555555555556</v>
      </c>
      <c r="F102" s="1144">
        <f>1.8629/F101</f>
        <v>0.82795555555555556</v>
      </c>
      <c r="G102" s="1144">
        <f>1.8629/G101</f>
        <v>0.82795555555555556</v>
      </c>
      <c r="H102" s="1144">
        <f>1.8629/H101</f>
        <v>0.82795555555555556</v>
      </c>
      <c r="I102" s="1144">
        <f>1.8629/I101</f>
        <v>0.82795555555555556</v>
      </c>
      <c r="J102" s="1144">
        <f>1.942/J101</f>
        <v>0.86311111111111105</v>
      </c>
      <c r="K102" s="1144">
        <f>1.942/K101</f>
        <v>0.86311111111111105</v>
      </c>
      <c r="L102" s="1144">
        <f>1.942/L101</f>
        <v>0.86311111111111105</v>
      </c>
      <c r="M102" s="1144">
        <f>1.942/M101</f>
        <v>0.86311111111111105</v>
      </c>
      <c r="N102" s="1144">
        <f>1.942/N101</f>
        <v>0.86311111111111105</v>
      </c>
    </row>
    <row r="103" spans="1:14">
      <c r="A103" s="3433"/>
      <c r="B103" s="1143">
        <v>2</v>
      </c>
      <c r="C103" s="1144">
        <f>1.4198/C101</f>
        <v>0.63102222222222215</v>
      </c>
      <c r="D103" s="1144">
        <f>1.4198/D101</f>
        <v>0.63102222222222215</v>
      </c>
      <c r="E103" s="1144">
        <f>1.3372/E101</f>
        <v>0.59431111111111112</v>
      </c>
      <c r="F103" s="1144">
        <f>1.3372/F101</f>
        <v>0.59431111111111112</v>
      </c>
      <c r="G103" s="1144">
        <f>1.3372/G101</f>
        <v>0.59431111111111112</v>
      </c>
      <c r="H103" s="1144">
        <f>1.3372/H101</f>
        <v>0.59431111111111112</v>
      </c>
      <c r="I103" s="1144">
        <f>1.3372/I101</f>
        <v>0.59431111111111112</v>
      </c>
      <c r="J103" s="1144">
        <f>1.2799/J101</f>
        <v>0.56884444444444449</v>
      </c>
      <c r="K103" s="1144">
        <f>1.2799/K101</f>
        <v>0.56884444444444449</v>
      </c>
      <c r="L103" s="1144">
        <f>1.2799/L101</f>
        <v>0.56884444444444449</v>
      </c>
      <c r="M103" s="1144">
        <f>1.2799/M101</f>
        <v>0.56884444444444449</v>
      </c>
      <c r="N103" s="1144">
        <f>1.2799/N101</f>
        <v>0.56884444444444449</v>
      </c>
    </row>
    <row r="104" spans="1:14">
      <c r="A104" s="3433"/>
      <c r="B104" s="1143">
        <v>3</v>
      </c>
      <c r="C104" s="1144">
        <f>1.1594/C101</f>
        <v>0.51528888888888891</v>
      </c>
      <c r="D104" s="1144">
        <f>1.1594/D101</f>
        <v>0.51528888888888891</v>
      </c>
      <c r="E104" s="1144">
        <f>1.0788/E101</f>
        <v>0.47946666666666665</v>
      </c>
      <c r="F104" s="1144">
        <f>1.0788/F101</f>
        <v>0.47946666666666665</v>
      </c>
      <c r="G104" s="1144">
        <f>1.0788/G101</f>
        <v>0.47946666666666665</v>
      </c>
      <c r="H104" s="1144">
        <f>1.0788/H101</f>
        <v>0.47946666666666665</v>
      </c>
      <c r="I104" s="1144">
        <f>1.0788/I101</f>
        <v>0.47946666666666665</v>
      </c>
      <c r="J104" s="1144">
        <f>1.0072/J101</f>
        <v>0.44764444444444451</v>
      </c>
      <c r="K104" s="1144">
        <f>1.0072/K101</f>
        <v>0.44764444444444451</v>
      </c>
      <c r="L104" s="1144">
        <f>1.0072/L101</f>
        <v>0.44764444444444451</v>
      </c>
      <c r="M104" s="1144">
        <f>1.0072/M101</f>
        <v>0.44764444444444451</v>
      </c>
      <c r="N104" s="1144">
        <f>1.0072/N101</f>
        <v>0.44764444444444451</v>
      </c>
    </row>
    <row r="105" spans="1:14">
      <c r="A105" s="3433"/>
      <c r="B105" s="1143">
        <v>4</v>
      </c>
      <c r="C105" s="1144">
        <f>0.9622/C101</f>
        <v>0.42764444444444449</v>
      </c>
      <c r="D105" s="1144">
        <f>0.9622/D101</f>
        <v>0.42764444444444449</v>
      </c>
      <c r="E105" s="1144">
        <f>0.8656/E101</f>
        <v>0.38471111111111111</v>
      </c>
      <c r="F105" s="1144">
        <f>0.8656/F101</f>
        <v>0.38471111111111111</v>
      </c>
      <c r="G105" s="1144">
        <f>0.8656/G101</f>
        <v>0.38471111111111111</v>
      </c>
      <c r="H105" s="1144">
        <f>0.8656/H101</f>
        <v>0.38471111111111111</v>
      </c>
      <c r="I105" s="1144">
        <f>0.8656/I101</f>
        <v>0.38471111111111111</v>
      </c>
      <c r="J105" s="1144">
        <f>0.7525/J101</f>
        <v>0.33444444444444443</v>
      </c>
      <c r="K105" s="1144">
        <f>0.7525/K101</f>
        <v>0.33444444444444443</v>
      </c>
      <c r="L105" s="1144">
        <f>0.7525/L101</f>
        <v>0.33444444444444443</v>
      </c>
      <c r="M105" s="1144">
        <f>0.7525/M101</f>
        <v>0.33444444444444443</v>
      </c>
      <c r="N105" s="1144">
        <f>0.7525/N101</f>
        <v>0.33444444444444443</v>
      </c>
    </row>
    <row r="106" spans="1:14">
      <c r="A106" s="3433"/>
      <c r="B106" s="1143">
        <v>5</v>
      </c>
      <c r="C106" s="1144">
        <f>0.8417/C101</f>
        <v>0.37408888888888892</v>
      </c>
      <c r="D106" s="1144">
        <f>0.8417/D101</f>
        <v>0.37408888888888892</v>
      </c>
      <c r="E106" s="1144">
        <f>0.7371/E101</f>
        <v>0.3276</v>
      </c>
      <c r="F106" s="1144">
        <f>0.7371/F101</f>
        <v>0.3276</v>
      </c>
      <c r="G106" s="1144">
        <f>0.7371/G101</f>
        <v>0.3276</v>
      </c>
      <c r="H106" s="1144">
        <f>0.7371/H101</f>
        <v>0.3276</v>
      </c>
      <c r="I106" s="1144">
        <f>0.7371/I101</f>
        <v>0.3276</v>
      </c>
      <c r="J106" s="1144">
        <f>0.5659/J101</f>
        <v>0.25151111111111107</v>
      </c>
      <c r="K106" s="1144">
        <f>0.5659/K101</f>
        <v>0.25151111111111107</v>
      </c>
      <c r="L106" s="1144">
        <f>0.5659/L101</f>
        <v>0.25151111111111107</v>
      </c>
      <c r="M106" s="1144">
        <f>0.5659/M101</f>
        <v>0.25151111111111107</v>
      </c>
      <c r="N106" s="1144">
        <f>0.5659/N101</f>
        <v>0.25151111111111107</v>
      </c>
    </row>
    <row r="107" spans="1:14">
      <c r="A107" s="3433"/>
      <c r="B107" s="1143">
        <v>6</v>
      </c>
      <c r="C107" s="1144">
        <f>0.7608/C101</f>
        <v>0.33813333333333334</v>
      </c>
      <c r="D107" s="1144">
        <f>0.7608/D101</f>
        <v>0.33813333333333334</v>
      </c>
      <c r="E107" s="1144">
        <f>0.6482/E101</f>
        <v>0.28808888888888889</v>
      </c>
      <c r="F107" s="1144">
        <f>0.6482/F101</f>
        <v>0.28808888888888889</v>
      </c>
      <c r="G107" s="1144">
        <f>0.6482/G101</f>
        <v>0.28808888888888889</v>
      </c>
      <c r="H107" s="1144">
        <f>0.6482/H101</f>
        <v>0.28808888888888889</v>
      </c>
      <c r="I107" s="1144">
        <f>0.6482/I101</f>
        <v>0.28808888888888889</v>
      </c>
      <c r="J107" s="1144">
        <f>0.4525/J101</f>
        <v>0.20111111111111113</v>
      </c>
      <c r="K107" s="1144">
        <f>0.4525/K101</f>
        <v>0.20111111111111113</v>
      </c>
      <c r="L107" s="1144">
        <f>0.4525/L101</f>
        <v>0.20111111111111113</v>
      </c>
      <c r="M107" s="1144">
        <f>0.4525/M101</f>
        <v>0.20111111111111113</v>
      </c>
      <c r="N107" s="1144">
        <f>0.4525/N101</f>
        <v>0.20111111111111113</v>
      </c>
    </row>
    <row r="108" spans="1:14">
      <c r="A108" s="3433"/>
      <c r="B108" s="343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4"/>
      <c r="B109" s="3436"/>
      <c r="C109" s="1146">
        <f>(-0.163*(C108^2)-0.59*C108+7617)*(10^(-4))/C101</f>
        <v>0.33785991111111113</v>
      </c>
      <c r="D109" s="1146">
        <f>(-0.163*(D108^2)-0.59*D108+7617)*(10^(-4))/D101</f>
        <v>0.33785991111111113</v>
      </c>
      <c r="E109" s="1146">
        <f>(-0.161*(E108^2)-7.509*E108+6533)*(10^(-4))/E101</f>
        <v>0.28722773333333335</v>
      </c>
      <c r="F109" s="1146">
        <f>(-0.161*(F108^2)-7.509*F108+6533)*(10^(-4))/F101</f>
        <v>0.28722773333333335</v>
      </c>
      <c r="G109" s="1146">
        <f>(-0.161*(G108^2)-7.509*G108+6533)*(10^(-4))/G101</f>
        <v>0.28722773333333335</v>
      </c>
      <c r="H109" s="1146">
        <f>(-0.161*(H108^2)-7.509*H108+6533)*(10^(-4))/H101</f>
        <v>0.28722773333333335</v>
      </c>
      <c r="I109" s="1146">
        <f>(-0.161*(I108^2)-7.509*I108+6533)*(10^(-4))/I101</f>
        <v>0.28722773333333335</v>
      </c>
      <c r="J109" s="1146">
        <f>(-0.214*(J108^2)-21.991*J108+4665)*(10^(-4))/J101</f>
        <v>0.19890560000000002</v>
      </c>
      <c r="K109" s="1146">
        <f>(-0.214*(K108^2)-21.991*K108+4665)*(10^(-4))/K101</f>
        <v>0.19890560000000002</v>
      </c>
      <c r="L109" s="1146">
        <f>(-0.214*(L108^2)-21.991*L108+4665)*(10^(-4))/L101</f>
        <v>0.19890560000000002</v>
      </c>
      <c r="M109" s="1146">
        <f>(-0.214*(M108^2)-21.991*M108+4665)*(10^(-4))/M101</f>
        <v>0.19890560000000002</v>
      </c>
      <c r="N109" s="1146">
        <f>(-0.214*(N108^2)-21.991*N108+4665)*(10^(-4))/N101</f>
        <v>0.19890560000000002</v>
      </c>
    </row>
    <row r="110" spans="1:14">
      <c r="A110" s="3437" t="s">
        <v>1640</v>
      </c>
      <c r="B110" s="3437"/>
      <c r="C110" s="3437"/>
      <c r="D110" s="3437"/>
      <c r="E110" s="3437"/>
      <c r="F110" s="3437"/>
      <c r="G110" s="3437"/>
      <c r="H110" s="3437"/>
      <c r="I110" s="3437"/>
      <c r="J110" s="3437"/>
      <c r="K110" s="2450"/>
      <c r="L110" s="2450"/>
      <c r="M110" s="2450"/>
      <c r="N110" s="2450"/>
    </row>
    <row r="112" spans="1:14" ht="12.75" thickBot="1"/>
    <row r="113" spans="1:13" ht="25.5" thickBot="1">
      <c r="A113" s="1016" t="s">
        <v>896</v>
      </c>
      <c r="B113" s="2453">
        <f>G3</f>
        <v>2.25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0.91239999999999999</v>
      </c>
      <c r="C115" s="1030">
        <f>B115</f>
        <v>0.91239999999999999</v>
      </c>
      <c r="D115" s="1030">
        <f>ROUND(0.8331-0.0109*B113,4)</f>
        <v>0.80859999999999999</v>
      </c>
      <c r="E115" s="1030">
        <f>D115</f>
        <v>0.80859999999999999</v>
      </c>
      <c r="F115" s="1030">
        <f>E115</f>
        <v>0.80859999999999999</v>
      </c>
      <c r="G115" s="1030">
        <f>F115</f>
        <v>0.80859999999999999</v>
      </c>
      <c r="H115" s="1030">
        <f>G115</f>
        <v>0.80859999999999999</v>
      </c>
      <c r="I115" s="1030">
        <f>ROUND(0.689-0.0155*B113,4)</f>
        <v>0.65410000000000001</v>
      </c>
      <c r="J115" s="1030">
        <f t="shared" ref="J115:M118" si="33">I115</f>
        <v>0.65410000000000001</v>
      </c>
      <c r="K115" s="1030">
        <f t="shared" si="33"/>
        <v>0.65410000000000001</v>
      </c>
      <c r="L115" s="1030">
        <f t="shared" si="33"/>
        <v>0.65410000000000001</v>
      </c>
      <c r="M115" s="1031">
        <f t="shared" si="33"/>
        <v>0.65410000000000001</v>
      </c>
    </row>
    <row r="116" spans="1:13" ht="12.75">
      <c r="A116" s="1029" t="s">
        <v>901</v>
      </c>
      <c r="B116" s="1030">
        <f>ROUND(0.949-0.012*B113,4)</f>
        <v>0.92200000000000004</v>
      </c>
      <c r="C116" s="1030">
        <f>B116</f>
        <v>0.92200000000000004</v>
      </c>
      <c r="D116" s="1030">
        <f>ROUND(0.8567-0.013*B113,4)</f>
        <v>0.82750000000000001</v>
      </c>
      <c r="E116" s="1030">
        <f t="shared" ref="E116:H117" si="34">D116</f>
        <v>0.82750000000000001</v>
      </c>
      <c r="F116" s="1030">
        <f t="shared" si="34"/>
        <v>0.82750000000000001</v>
      </c>
      <c r="G116" s="1030">
        <f t="shared" si="34"/>
        <v>0.82750000000000001</v>
      </c>
      <c r="H116" s="1030">
        <f t="shared" si="34"/>
        <v>0.82750000000000001</v>
      </c>
      <c r="I116" s="1030">
        <f>ROUND(0.7694-0.014*B113,4)</f>
        <v>0.7379</v>
      </c>
      <c r="J116" s="1030">
        <f t="shared" si="33"/>
        <v>0.7379</v>
      </c>
      <c r="K116" s="1030">
        <f t="shared" si="33"/>
        <v>0.7379</v>
      </c>
      <c r="L116" s="1030">
        <f t="shared" si="33"/>
        <v>0.7379</v>
      </c>
      <c r="M116" s="1031">
        <f t="shared" si="33"/>
        <v>0.7379</v>
      </c>
    </row>
    <row r="117" spans="1:13" ht="12.75">
      <c r="A117" s="1032" t="s">
        <v>902</v>
      </c>
      <c r="B117" s="1030">
        <f>ROUND(0.8808-0.006*B113,4)</f>
        <v>0.86729999999999996</v>
      </c>
      <c r="C117" s="1030">
        <f>B117</f>
        <v>0.86729999999999996</v>
      </c>
      <c r="D117" s="1030">
        <f>ROUND(0.8748-0.008*B113,4)</f>
        <v>0.85680000000000001</v>
      </c>
      <c r="E117" s="1030">
        <f t="shared" si="34"/>
        <v>0.85680000000000001</v>
      </c>
      <c r="F117" s="1030">
        <f t="shared" si="34"/>
        <v>0.85680000000000001</v>
      </c>
      <c r="G117" s="1030">
        <f t="shared" si="34"/>
        <v>0.85680000000000001</v>
      </c>
      <c r="H117" s="1030">
        <f t="shared" si="34"/>
        <v>0.85680000000000001</v>
      </c>
      <c r="I117" s="1030">
        <f>ROUND(0.7412-0.0095*B113,4)</f>
        <v>0.7198</v>
      </c>
      <c r="J117" s="1030">
        <f t="shared" si="33"/>
        <v>0.7198</v>
      </c>
      <c r="K117" s="1030">
        <f t="shared" si="33"/>
        <v>0.7198</v>
      </c>
      <c r="L117" s="1030">
        <f t="shared" si="33"/>
        <v>0.7198</v>
      </c>
      <c r="M117" s="1031">
        <f t="shared" si="33"/>
        <v>0.7198</v>
      </c>
    </row>
    <row r="118" spans="1:13" ht="13.5" thickBot="1">
      <c r="A118" s="1033" t="s">
        <v>903</v>
      </c>
      <c r="B118" s="1034">
        <f>ROUND(0.7275-0.01*B113,4)</f>
        <v>0.70499999999999996</v>
      </c>
      <c r="C118" s="1034">
        <f>B118</f>
        <v>0.70499999999999996</v>
      </c>
      <c r="D118" s="1034">
        <f>ROUND(0.7043-0.012*B113,4)</f>
        <v>0.67730000000000001</v>
      </c>
      <c r="E118" s="1034">
        <f>D118</f>
        <v>0.67730000000000001</v>
      </c>
      <c r="F118" s="1034">
        <f>E118</f>
        <v>0.67730000000000001</v>
      </c>
      <c r="G118" s="1034">
        <f>ROUND(0.6299-0.0122*B113,4)</f>
        <v>0.60250000000000004</v>
      </c>
      <c r="H118" s="1034">
        <f>G118</f>
        <v>0.60250000000000004</v>
      </c>
      <c r="I118" s="1034">
        <f>ROUND(0.5667-0.0136*B113,4)</f>
        <v>0.53610000000000002</v>
      </c>
      <c r="J118" s="1034">
        <f t="shared" si="33"/>
        <v>0.53610000000000002</v>
      </c>
      <c r="K118" s="1034">
        <f t="shared" si="33"/>
        <v>0.53610000000000002</v>
      </c>
      <c r="L118" s="1034">
        <f t="shared" si="33"/>
        <v>0.53610000000000002</v>
      </c>
      <c r="M118" s="1035">
        <f t="shared" si="33"/>
        <v>0.53610000000000002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3" t="s">
        <v>1008</v>
      </c>
      <c r="B18" s="1154" t="s">
        <v>1447</v>
      </c>
      <c r="C18" s="1131" t="s">
        <v>1448</v>
      </c>
      <c r="D18" s="1132"/>
      <c r="E18" s="1154">
        <v>1</v>
      </c>
      <c r="F18" s="1133" t="s">
        <v>1449</v>
      </c>
      <c r="G18" s="1134"/>
      <c r="H18" s="1105"/>
      <c r="I18" s="1105"/>
    </row>
    <row r="19" spans="1:9" s="1600" customFormat="1" ht="19.5" customHeight="1">
      <c r="A19" s="3443"/>
      <c r="B19" s="3443" t="s">
        <v>1450</v>
      </c>
      <c r="C19" s="1131" t="s">
        <v>1451</v>
      </c>
      <c r="D19" s="1132"/>
      <c r="E19" s="1154">
        <v>0.9</v>
      </c>
      <c r="F19" s="1133" t="s">
        <v>1452</v>
      </c>
      <c r="G19" s="1134"/>
      <c r="H19" s="1105"/>
      <c r="I19" s="1105"/>
    </row>
    <row r="20" spans="1:9" s="1600" customFormat="1" ht="19.5" customHeight="1">
      <c r="A20" s="3443"/>
      <c r="B20" s="3443"/>
      <c r="C20" s="1131" t="s">
        <v>1453</v>
      </c>
      <c r="D20" s="1132"/>
      <c r="E20" s="1154">
        <v>1.1000000000000001</v>
      </c>
      <c r="F20" s="1133" t="s">
        <v>1454</v>
      </c>
      <c r="G20" s="1134"/>
      <c r="H20" s="1105"/>
      <c r="I20" s="1105"/>
    </row>
    <row r="21" spans="1:9" s="1600" customFormat="1" ht="19.5" customHeight="1">
      <c r="A21" s="3443"/>
      <c r="B21" s="3443"/>
      <c r="C21" s="1131" t="s">
        <v>1455</v>
      </c>
      <c r="D21" s="1132"/>
      <c r="E21" s="1154">
        <v>0.8</v>
      </c>
      <c r="F21" s="1133" t="s">
        <v>1456</v>
      </c>
      <c r="G21" s="1134"/>
      <c r="H21" s="1105"/>
      <c r="I21" s="1105"/>
    </row>
    <row r="22" spans="1:9" s="1600" customFormat="1" ht="19.5" customHeight="1">
      <c r="A22" s="3443"/>
      <c r="B22" s="3443"/>
      <c r="C22" s="1131" t="s">
        <v>1457</v>
      </c>
      <c r="D22" s="1132"/>
      <c r="E22" s="1154">
        <v>0.5</v>
      </c>
      <c r="F22" s="1133"/>
      <c r="G22" s="1134"/>
      <c r="H22" s="1105"/>
      <c r="I22" s="1105"/>
    </row>
    <row r="23" spans="1:9" s="1600" customFormat="1" ht="19.5" customHeight="1">
      <c r="A23" s="3443" t="s">
        <v>1030</v>
      </c>
      <c r="B23" s="1154" t="s">
        <v>1447</v>
      </c>
      <c r="C23" s="1131" t="s">
        <v>1458</v>
      </c>
      <c r="D23" s="1132"/>
      <c r="E23" s="1154">
        <v>1</v>
      </c>
      <c r="F23" s="1133" t="s">
        <v>1459</v>
      </c>
      <c r="G23" s="1134"/>
      <c r="H23" s="1105"/>
      <c r="I23" s="1105"/>
    </row>
    <row r="24" spans="1:9" s="1600" customFormat="1" ht="19.5" customHeight="1">
      <c r="A24" s="3443"/>
      <c r="B24" s="3443" t="s">
        <v>1450</v>
      </c>
      <c r="C24" s="1131" t="s">
        <v>1460</v>
      </c>
      <c r="D24" s="1132"/>
      <c r="E24" s="1154">
        <v>0.5</v>
      </c>
      <c r="F24" s="1133"/>
      <c r="G24" s="1134"/>
      <c r="H24" s="1105"/>
      <c r="I24" s="1105"/>
    </row>
    <row r="25" spans="1:9" s="1600" customFormat="1" ht="19.5" customHeight="1">
      <c r="A25" s="3443"/>
      <c r="B25" s="3443"/>
      <c r="C25" s="1131" t="s">
        <v>1461</v>
      </c>
      <c r="D25" s="1132"/>
      <c r="E25" s="1154">
        <v>1.1000000000000001</v>
      </c>
      <c r="F25" s="1133"/>
      <c r="G25" s="1134"/>
      <c r="H25" s="1105"/>
      <c r="I25" s="1105"/>
    </row>
    <row r="26" spans="1:9" s="1600" customFormat="1" ht="19.5" customHeight="1">
      <c r="A26" s="3443"/>
      <c r="B26" s="3443"/>
      <c r="C26" s="1131" t="s">
        <v>1462</v>
      </c>
      <c r="D26" s="1132"/>
      <c r="E26" s="1154">
        <v>1.1000000000000001</v>
      </c>
      <c r="F26" s="1133"/>
      <c r="G26" s="1134"/>
      <c r="H26" s="1105"/>
      <c r="I26" s="1105"/>
    </row>
    <row r="27" spans="1:9" s="1600" customFormat="1" ht="19.5" customHeight="1">
      <c r="A27" s="3443"/>
      <c r="B27" s="3443"/>
      <c r="C27" s="1131" t="s">
        <v>1463</v>
      </c>
      <c r="D27" s="1132"/>
      <c r="E27" s="1154">
        <v>0.9</v>
      </c>
      <c r="F27" s="1133" t="s">
        <v>1464</v>
      </c>
      <c r="G27" s="1134"/>
      <c r="H27" s="1105"/>
      <c r="I27" s="1105"/>
    </row>
    <row r="28" spans="1:9" s="1600" customFormat="1" ht="19.5" customHeight="1">
      <c r="A28" s="3443"/>
      <c r="B28" s="3443"/>
      <c r="C28" s="1131" t="s">
        <v>1465</v>
      </c>
      <c r="D28" s="1132"/>
      <c r="E28" s="1154">
        <v>0.9</v>
      </c>
      <c r="F28" s="1133" t="s">
        <v>1466</v>
      </c>
      <c r="G28" s="1134"/>
      <c r="H28" s="1105"/>
      <c r="I28" s="1105"/>
    </row>
    <row r="29" spans="1:9" s="1600" customFormat="1" ht="19.5" customHeight="1">
      <c r="A29" s="3443"/>
      <c r="B29" s="3443"/>
      <c r="C29" s="1131" t="s">
        <v>1467</v>
      </c>
      <c r="D29" s="1132"/>
      <c r="E29" s="1154">
        <v>0.9</v>
      </c>
      <c r="F29" s="1133" t="s">
        <v>1468</v>
      </c>
      <c r="G29" s="1134"/>
      <c r="H29" s="1105"/>
      <c r="I29" s="1105"/>
    </row>
    <row r="30" spans="1:9" s="1600" customFormat="1" ht="19.5" customHeight="1">
      <c r="A30" s="3443"/>
      <c r="B30" s="3443"/>
      <c r="C30" s="1131" t="s">
        <v>1469</v>
      </c>
      <c r="D30" s="1132"/>
      <c r="E30" s="1154">
        <v>0.9</v>
      </c>
      <c r="F30" s="1133" t="s">
        <v>1470</v>
      </c>
      <c r="G30" s="1134"/>
      <c r="H30" s="1105"/>
      <c r="I30" s="1105"/>
    </row>
    <row r="31" spans="1:9" s="1600" customFormat="1" ht="19.5" customHeight="1">
      <c r="A31" s="3443"/>
      <c r="B31" s="3443"/>
      <c r="C31" s="1131" t="s">
        <v>1471</v>
      </c>
      <c r="D31" s="1132"/>
      <c r="E31" s="1154">
        <v>0.8</v>
      </c>
      <c r="F31" s="1133" t="s">
        <v>1472</v>
      </c>
      <c r="G31" s="1134"/>
      <c r="H31" s="1105"/>
      <c r="I31" s="1105"/>
    </row>
    <row r="32" spans="1:9" s="1600" customFormat="1" ht="19.5" customHeight="1">
      <c r="A32" s="3443"/>
      <c r="B32" s="3443"/>
      <c r="C32" s="1131" t="s">
        <v>1473</v>
      </c>
      <c r="D32" s="1132"/>
      <c r="E32" s="1154">
        <v>0.8</v>
      </c>
      <c r="F32" s="1133" t="s">
        <v>1474</v>
      </c>
      <c r="G32" s="1134"/>
      <c r="H32" s="1105"/>
      <c r="I32" s="1105"/>
    </row>
    <row r="33" spans="1:9" s="1600" customFormat="1" ht="19.5" customHeight="1">
      <c r="A33" s="3443" t="s">
        <v>1475</v>
      </c>
      <c r="B33" s="1154" t="s">
        <v>1447</v>
      </c>
      <c r="C33" s="1131" t="s">
        <v>1476</v>
      </c>
      <c r="D33" s="1132"/>
      <c r="E33" s="1154">
        <v>1</v>
      </c>
      <c r="F33" s="1133" t="s">
        <v>1477</v>
      </c>
      <c r="G33" s="1134"/>
      <c r="H33" s="1105"/>
      <c r="I33" s="1105"/>
    </row>
    <row r="34" spans="1:9" s="1600" customFormat="1" ht="19.5" customHeight="1">
      <c r="A34" s="3443"/>
      <c r="B34" s="1154" t="s">
        <v>1450</v>
      </c>
      <c r="C34" s="1131" t="s">
        <v>1478</v>
      </c>
      <c r="D34" s="1132"/>
      <c r="E34" s="1154">
        <v>1.5</v>
      </c>
      <c r="F34" s="1133" t="s">
        <v>1479</v>
      </c>
      <c r="G34" s="1134"/>
      <c r="H34" s="1105"/>
      <c r="I34" s="1105"/>
    </row>
    <row r="35" spans="1:9" s="1600" customFormat="1" ht="19.5" customHeight="1">
      <c r="A35" s="3443" t="s">
        <v>1433</v>
      </c>
      <c r="B35" s="1154" t="s">
        <v>1447</v>
      </c>
      <c r="C35" s="1131" t="s">
        <v>1480</v>
      </c>
      <c r="D35" s="1132"/>
      <c r="E35" s="1154">
        <v>1</v>
      </c>
      <c r="F35" s="1133" t="s">
        <v>1481</v>
      </c>
      <c r="G35" s="1134"/>
      <c r="H35" s="1105"/>
      <c r="I35" s="1105"/>
    </row>
    <row r="36" spans="1:9" s="1600" customFormat="1" ht="19.5" customHeight="1">
      <c r="A36" s="3443"/>
      <c r="B36" s="3443" t="s">
        <v>1450</v>
      </c>
      <c r="C36" s="1131" t="s">
        <v>1482</v>
      </c>
      <c r="D36" s="1132"/>
      <c r="E36" s="1154">
        <v>1</v>
      </c>
      <c r="F36" s="1133" t="s">
        <v>1483</v>
      </c>
      <c r="G36" s="1134"/>
      <c r="H36" s="1105"/>
      <c r="I36" s="1105"/>
    </row>
    <row r="37" spans="1:9" s="1600" customFormat="1" ht="19.5" customHeight="1">
      <c r="A37" s="3443"/>
      <c r="B37" s="3443"/>
      <c r="C37" s="1131" t="s">
        <v>1484</v>
      </c>
      <c r="D37" s="1132"/>
      <c r="E37" s="1154">
        <v>1.5</v>
      </c>
      <c r="F37" s="1133" t="s">
        <v>1485</v>
      </c>
      <c r="G37" s="1134"/>
      <c r="H37" s="1105"/>
      <c r="I37" s="1105"/>
    </row>
    <row r="38" spans="1:9" s="1600" customFormat="1" ht="19.5" customHeight="1">
      <c r="A38" s="3443"/>
      <c r="B38" s="3443"/>
      <c r="C38" s="1131" t="s">
        <v>1486</v>
      </c>
      <c r="D38" s="1132"/>
      <c r="E38" s="1154">
        <v>1</v>
      </c>
      <c r="F38" s="1133" t="s">
        <v>1487</v>
      </c>
      <c r="G38" s="1134"/>
      <c r="H38" s="1105"/>
      <c r="I38" s="1105"/>
    </row>
    <row r="39" spans="1:9" s="1600" customFormat="1" ht="19.5" customHeight="1">
      <c r="A39" s="3443"/>
      <c r="B39" s="344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3" t="s">
        <v>1502</v>
      </c>
      <c r="C61" s="1068" t="s">
        <v>1503</v>
      </c>
      <c r="D61" s="1068" t="s">
        <v>1504</v>
      </c>
      <c r="E61" s="1139">
        <v>0.5</v>
      </c>
      <c r="F61" s="1154">
        <v>80</v>
      </c>
      <c r="H61" s="1105">
        <f>SUMIF(C59:C119,基准地价!C8,E59:E119)</f>
        <v>0</v>
      </c>
    </row>
    <row r="62" spans="1:8" s="1105" customFormat="1" ht="24">
      <c r="A62" s="1154">
        <v>2</v>
      </c>
      <c r="B62" s="3443"/>
      <c r="C62" s="1068" t="s">
        <v>1505</v>
      </c>
      <c r="D62" s="1068" t="s">
        <v>1506</v>
      </c>
      <c r="E62" s="1139">
        <v>0.5</v>
      </c>
      <c r="F62" s="1154">
        <v>80</v>
      </c>
    </row>
    <row r="63" spans="1:8" s="1105" customFormat="1" ht="36">
      <c r="A63" s="1154">
        <v>3</v>
      </c>
      <c r="B63" s="3443"/>
      <c r="C63" s="1068" t="s">
        <v>1507</v>
      </c>
      <c r="D63" s="1068" t="s">
        <v>1508</v>
      </c>
      <c r="E63" s="1139">
        <v>0.5</v>
      </c>
      <c r="F63" s="1154">
        <v>80</v>
      </c>
    </row>
    <row r="64" spans="1:8" s="1105" customFormat="1" ht="36">
      <c r="A64" s="1154">
        <v>4</v>
      </c>
      <c r="B64" s="3443"/>
      <c r="C64" s="1068" t="s">
        <v>1509</v>
      </c>
      <c r="D64" s="1068" t="s">
        <v>1510</v>
      </c>
      <c r="E64" s="1139">
        <v>0.4</v>
      </c>
      <c r="F64" s="1154">
        <v>60</v>
      </c>
    </row>
    <row r="65" spans="1:6" s="1105" customFormat="1" ht="36">
      <c r="A65" s="1154">
        <v>5</v>
      </c>
      <c r="B65" s="3443"/>
      <c r="C65" s="1068" t="s">
        <v>1511</v>
      </c>
      <c r="D65" s="1068" t="s">
        <v>1512</v>
      </c>
      <c r="E65" s="1139">
        <v>0.2</v>
      </c>
      <c r="F65" s="1154">
        <v>30</v>
      </c>
    </row>
    <row r="66" spans="1:6" s="1105" customFormat="1" ht="36">
      <c r="A66" s="1154">
        <v>6</v>
      </c>
      <c r="B66" s="3443"/>
      <c r="C66" s="1068" t="s">
        <v>1513</v>
      </c>
      <c r="D66" s="1068" t="s">
        <v>1514</v>
      </c>
      <c r="E66" s="1139">
        <v>0.3</v>
      </c>
      <c r="F66" s="1154">
        <v>50</v>
      </c>
    </row>
    <row r="67" spans="1:6" s="1105" customFormat="1" ht="36">
      <c r="A67" s="1154">
        <v>7</v>
      </c>
      <c r="B67" s="3443"/>
      <c r="C67" s="1068" t="s">
        <v>1515</v>
      </c>
      <c r="D67" s="1068" t="s">
        <v>1516</v>
      </c>
      <c r="E67" s="1139">
        <v>0.2</v>
      </c>
      <c r="F67" s="1154">
        <v>30</v>
      </c>
    </row>
    <row r="68" spans="1:6" s="1105" customFormat="1" ht="36">
      <c r="A68" s="1154">
        <v>8</v>
      </c>
      <c r="B68" s="3443"/>
      <c r="C68" s="1068" t="s">
        <v>1517</v>
      </c>
      <c r="D68" s="1068" t="s">
        <v>1518</v>
      </c>
      <c r="E68" s="1139">
        <v>0.2</v>
      </c>
      <c r="F68" s="1154">
        <v>30</v>
      </c>
    </row>
    <row r="69" spans="1:6" s="1105" customFormat="1" ht="36">
      <c r="A69" s="1154">
        <v>9</v>
      </c>
      <c r="B69" s="3443"/>
      <c r="C69" s="1068" t="s">
        <v>1519</v>
      </c>
      <c r="D69" s="1068" t="s">
        <v>1520</v>
      </c>
      <c r="E69" s="1139">
        <v>0.2</v>
      </c>
      <c r="F69" s="1154">
        <v>30</v>
      </c>
    </row>
    <row r="70" spans="1:6" s="1105" customFormat="1" ht="48">
      <c r="A70" s="1154">
        <v>10</v>
      </c>
      <c r="B70" s="3443"/>
      <c r="C70" s="1068" t="s">
        <v>1521</v>
      </c>
      <c r="D70" s="1068" t="s">
        <v>1522</v>
      </c>
      <c r="E70" s="1139">
        <v>0.2</v>
      </c>
      <c r="F70" s="1154">
        <v>30</v>
      </c>
    </row>
    <row r="71" spans="1:6" s="1105" customFormat="1" ht="48">
      <c r="A71" s="1154">
        <v>11</v>
      </c>
      <c r="B71" s="3443"/>
      <c r="C71" s="1068" t="s">
        <v>1523</v>
      </c>
      <c r="D71" s="1068" t="s">
        <v>1524</v>
      </c>
      <c r="E71" s="1139">
        <v>0.2</v>
      </c>
      <c r="F71" s="1154">
        <v>30</v>
      </c>
    </row>
    <row r="72" spans="1:6" s="1105" customFormat="1" ht="36">
      <c r="A72" s="1154">
        <v>12</v>
      </c>
      <c r="B72" s="3443"/>
      <c r="C72" s="1068" t="s">
        <v>1525</v>
      </c>
      <c r="D72" s="1068" t="s">
        <v>1526</v>
      </c>
      <c r="E72" s="1139">
        <v>0.5</v>
      </c>
      <c r="F72" s="1154">
        <v>80</v>
      </c>
    </row>
    <row r="73" spans="1:6" s="1105" customFormat="1" ht="24">
      <c r="A73" s="1154">
        <v>13</v>
      </c>
      <c r="B73" s="3443"/>
      <c r="C73" s="1068" t="s">
        <v>1527</v>
      </c>
      <c r="D73" s="1068" t="s">
        <v>1528</v>
      </c>
      <c r="E73" s="1139">
        <v>0.4</v>
      </c>
      <c r="F73" s="1154">
        <v>60</v>
      </c>
    </row>
    <row r="74" spans="1:6" s="1105" customFormat="1" ht="24">
      <c r="A74" s="1154">
        <v>14</v>
      </c>
      <c r="B74" s="3443"/>
      <c r="C74" s="1068" t="s">
        <v>1529</v>
      </c>
      <c r="D74" s="1068" t="s">
        <v>1530</v>
      </c>
      <c r="E74" s="1139">
        <v>0.2</v>
      </c>
      <c r="F74" s="1154">
        <v>30</v>
      </c>
    </row>
    <row r="75" spans="1:6" s="1105" customFormat="1" ht="24">
      <c r="A75" s="1154">
        <v>15</v>
      </c>
      <c r="B75" s="3443"/>
      <c r="C75" s="1068" t="s">
        <v>1531</v>
      </c>
      <c r="D75" s="1068" t="s">
        <v>1532</v>
      </c>
      <c r="E75" s="1139">
        <v>0.2</v>
      </c>
      <c r="F75" s="1154">
        <v>30</v>
      </c>
    </row>
    <row r="76" spans="1:6" s="1105" customFormat="1" ht="24">
      <c r="A76" s="1154">
        <v>16</v>
      </c>
      <c r="B76" s="3443" t="s">
        <v>1533</v>
      </c>
      <c r="C76" s="1068" t="s">
        <v>1534</v>
      </c>
      <c r="D76" s="1068" t="s">
        <v>1535</v>
      </c>
      <c r="E76" s="1139">
        <v>0.5</v>
      </c>
      <c r="F76" s="1154">
        <v>80</v>
      </c>
    </row>
    <row r="77" spans="1:6" s="1105" customFormat="1" ht="24">
      <c r="A77" s="1154">
        <v>17</v>
      </c>
      <c r="B77" s="3443"/>
      <c r="C77" s="1068" t="s">
        <v>1536</v>
      </c>
      <c r="D77" s="1068" t="s">
        <v>1537</v>
      </c>
      <c r="E77" s="1139">
        <v>0.5</v>
      </c>
      <c r="F77" s="1154">
        <v>80</v>
      </c>
    </row>
    <row r="78" spans="1:6" s="1105" customFormat="1" ht="24">
      <c r="A78" s="1154">
        <v>18</v>
      </c>
      <c r="B78" s="3443"/>
      <c r="C78" s="1068" t="s">
        <v>1538</v>
      </c>
      <c r="D78" s="1068" t="s">
        <v>1539</v>
      </c>
      <c r="E78" s="1139">
        <v>0.2</v>
      </c>
      <c r="F78" s="1154">
        <v>30</v>
      </c>
    </row>
    <row r="79" spans="1:6" s="1105" customFormat="1" ht="24">
      <c r="A79" s="1154">
        <v>19</v>
      </c>
      <c r="B79" s="3443"/>
      <c r="C79" s="1068" t="s">
        <v>1540</v>
      </c>
      <c r="D79" s="1068" t="s">
        <v>1541</v>
      </c>
      <c r="E79" s="1139">
        <v>0.5</v>
      </c>
      <c r="F79" s="1154">
        <v>80</v>
      </c>
    </row>
    <row r="80" spans="1:6" s="1105" customFormat="1" ht="36">
      <c r="A80" s="1154">
        <v>20</v>
      </c>
      <c r="B80" s="3443"/>
      <c r="C80" s="1068" t="s">
        <v>1542</v>
      </c>
      <c r="D80" s="1068" t="s">
        <v>1543</v>
      </c>
      <c r="E80" s="1139">
        <v>0.2</v>
      </c>
      <c r="F80" s="1154">
        <v>30</v>
      </c>
    </row>
    <row r="81" spans="1:6" s="1105" customFormat="1" ht="36">
      <c r="A81" s="1154">
        <v>21</v>
      </c>
      <c r="B81" s="3443"/>
      <c r="C81" s="1068" t="s">
        <v>1544</v>
      </c>
      <c r="D81" s="1068" t="s">
        <v>1545</v>
      </c>
      <c r="E81" s="1139">
        <v>0.2</v>
      </c>
      <c r="F81" s="1154">
        <v>30</v>
      </c>
    </row>
    <row r="82" spans="1:6" s="1105" customFormat="1" ht="48">
      <c r="A82" s="1154">
        <v>22</v>
      </c>
      <c r="B82" s="3443"/>
      <c r="C82" s="1068" t="s">
        <v>1546</v>
      </c>
      <c r="D82" s="1068" t="s">
        <v>1547</v>
      </c>
      <c r="E82" s="1139">
        <v>0.2</v>
      </c>
      <c r="F82" s="1154">
        <v>30</v>
      </c>
    </row>
    <row r="83" spans="1:6" s="1105" customFormat="1" ht="48">
      <c r="A83" s="1154">
        <v>23</v>
      </c>
      <c r="B83" s="3443"/>
      <c r="C83" s="1068" t="s">
        <v>1548</v>
      </c>
      <c r="D83" s="1068" t="s">
        <v>1549</v>
      </c>
      <c r="E83" s="1139">
        <v>0.2</v>
      </c>
      <c r="F83" s="1154">
        <v>30</v>
      </c>
    </row>
    <row r="84" spans="1:6" s="1105" customFormat="1" ht="36">
      <c r="A84" s="1154">
        <v>24</v>
      </c>
      <c r="B84" s="3443"/>
      <c r="C84" s="1068" t="s">
        <v>1550</v>
      </c>
      <c r="D84" s="1068" t="s">
        <v>1551</v>
      </c>
      <c r="E84" s="1139">
        <v>0.2</v>
      </c>
      <c r="F84" s="1154">
        <v>30</v>
      </c>
    </row>
    <row r="85" spans="1:6" s="1105" customFormat="1" ht="36">
      <c r="A85" s="1154">
        <v>25</v>
      </c>
      <c r="B85" s="3443"/>
      <c r="C85" s="1068" t="s">
        <v>1552</v>
      </c>
      <c r="D85" s="1068" t="s">
        <v>1553</v>
      </c>
      <c r="E85" s="1139">
        <v>0.5</v>
      </c>
      <c r="F85" s="1154">
        <v>80</v>
      </c>
    </row>
    <row r="86" spans="1:6" s="1105" customFormat="1" ht="36">
      <c r="A86" s="1154">
        <v>26</v>
      </c>
      <c r="B86" s="3443"/>
      <c r="C86" s="1068" t="s">
        <v>1554</v>
      </c>
      <c r="D86" s="1068" t="s">
        <v>1555</v>
      </c>
      <c r="E86" s="1139">
        <v>0.2</v>
      </c>
      <c r="F86" s="1154">
        <v>30</v>
      </c>
    </row>
    <row r="87" spans="1:6" s="1105" customFormat="1" ht="36">
      <c r="A87" s="1154">
        <v>27</v>
      </c>
      <c r="B87" s="3443"/>
      <c r="C87" s="1068" t="s">
        <v>1556</v>
      </c>
      <c r="D87" s="1068" t="s">
        <v>1557</v>
      </c>
      <c r="E87" s="1139">
        <v>0.2</v>
      </c>
      <c r="F87" s="1154">
        <v>30</v>
      </c>
    </row>
    <row r="88" spans="1:6" s="1105" customFormat="1" ht="36">
      <c r="A88" s="1154">
        <v>28</v>
      </c>
      <c r="B88" s="3443"/>
      <c r="C88" s="1068" t="s">
        <v>1558</v>
      </c>
      <c r="D88" s="1068" t="s">
        <v>1559</v>
      </c>
      <c r="E88" s="1139">
        <v>0.2</v>
      </c>
      <c r="F88" s="1154">
        <v>30</v>
      </c>
    </row>
    <row r="89" spans="1:6" s="1105" customFormat="1" ht="24">
      <c r="A89" s="1154">
        <v>29</v>
      </c>
      <c r="B89" s="3443"/>
      <c r="C89" s="1068" t="s">
        <v>1560</v>
      </c>
      <c r="D89" s="1068" t="s">
        <v>1561</v>
      </c>
      <c r="E89" s="1139">
        <v>0.2</v>
      </c>
      <c r="F89" s="1154">
        <v>30</v>
      </c>
    </row>
    <row r="90" spans="1:6" s="1105" customFormat="1" ht="24">
      <c r="A90" s="1154">
        <v>30</v>
      </c>
      <c r="B90" s="3443"/>
      <c r="C90" s="1068" t="s">
        <v>1562</v>
      </c>
      <c r="D90" s="1068" t="s">
        <v>1563</v>
      </c>
      <c r="E90" s="1139">
        <v>0.2</v>
      </c>
      <c r="F90" s="1154">
        <v>30</v>
      </c>
    </row>
    <row r="91" spans="1:6" s="1105" customFormat="1" ht="36">
      <c r="A91" s="1154">
        <v>31</v>
      </c>
      <c r="B91" s="3443"/>
      <c r="C91" s="1068" t="s">
        <v>1564</v>
      </c>
      <c r="D91" s="1068" t="s">
        <v>1565</v>
      </c>
      <c r="E91" s="1139">
        <v>0.2</v>
      </c>
      <c r="F91" s="1154">
        <v>30</v>
      </c>
    </row>
    <row r="92" spans="1:6" s="1105" customFormat="1" ht="24">
      <c r="A92" s="1154">
        <v>32</v>
      </c>
      <c r="B92" s="3443" t="s">
        <v>1566</v>
      </c>
      <c r="C92" s="1154" t="s">
        <v>1567</v>
      </c>
      <c r="D92" s="1068" t="s">
        <v>1568</v>
      </c>
      <c r="E92" s="1139">
        <v>0.2</v>
      </c>
      <c r="F92" s="1154">
        <v>30</v>
      </c>
    </row>
    <row r="93" spans="1:6" s="1105" customFormat="1" ht="36">
      <c r="A93" s="1154">
        <v>33</v>
      </c>
      <c r="B93" s="3443"/>
      <c r="C93" s="1154" t="s">
        <v>1569</v>
      </c>
      <c r="D93" s="1068" t="s">
        <v>1570</v>
      </c>
      <c r="E93" s="1139">
        <v>0.2</v>
      </c>
      <c r="F93" s="1154">
        <v>30</v>
      </c>
    </row>
    <row r="94" spans="1:6" s="1105" customFormat="1" ht="48">
      <c r="A94" s="1154">
        <v>34</v>
      </c>
      <c r="B94" s="3443"/>
      <c r="C94" s="1154" t="s">
        <v>1571</v>
      </c>
      <c r="D94" s="1068" t="s">
        <v>1572</v>
      </c>
      <c r="E94" s="1139">
        <v>0.2</v>
      </c>
      <c r="F94" s="1154">
        <v>30</v>
      </c>
    </row>
    <row r="95" spans="1:6" s="1105" customFormat="1" ht="36">
      <c r="A95" s="1154">
        <v>35</v>
      </c>
      <c r="B95" s="3443"/>
      <c r="C95" s="1154" t="s">
        <v>1573</v>
      </c>
      <c r="D95" s="1068" t="s">
        <v>1574</v>
      </c>
      <c r="E95" s="1139">
        <v>0.2</v>
      </c>
      <c r="F95" s="1154">
        <v>30</v>
      </c>
    </row>
    <row r="96" spans="1:6" s="1105" customFormat="1" ht="48">
      <c r="A96" s="1154">
        <v>36</v>
      </c>
      <c r="B96" s="3443"/>
      <c r="C96" s="1068" t="s">
        <v>1575</v>
      </c>
      <c r="D96" s="1068" t="s">
        <v>1576</v>
      </c>
      <c r="E96" s="1139">
        <v>0.2</v>
      </c>
      <c r="F96" s="1154">
        <v>30</v>
      </c>
    </row>
    <row r="97" spans="1:6" s="1105" customFormat="1" ht="36">
      <c r="A97" s="1154">
        <v>37</v>
      </c>
      <c r="B97" s="3443"/>
      <c r="C97" s="1154" t="s">
        <v>1577</v>
      </c>
      <c r="D97" s="1068" t="s">
        <v>1578</v>
      </c>
      <c r="E97" s="1139">
        <v>0.2</v>
      </c>
      <c r="F97" s="1154">
        <v>30</v>
      </c>
    </row>
    <row r="98" spans="1:6" s="1105" customFormat="1" ht="36">
      <c r="A98" s="1154">
        <v>38</v>
      </c>
      <c r="B98" s="3443"/>
      <c r="C98" s="1154" t="s">
        <v>1579</v>
      </c>
      <c r="D98" s="1068" t="s">
        <v>1580</v>
      </c>
      <c r="E98" s="1139">
        <v>0.2</v>
      </c>
      <c r="F98" s="1154">
        <v>30</v>
      </c>
    </row>
    <row r="99" spans="1:6" s="1105" customFormat="1" ht="36">
      <c r="A99" s="1154">
        <v>39</v>
      </c>
      <c r="B99" s="3443" t="s">
        <v>1581</v>
      </c>
      <c r="C99" s="1154" t="s">
        <v>1582</v>
      </c>
      <c r="D99" s="1068" t="s">
        <v>1583</v>
      </c>
      <c r="E99" s="1139">
        <v>0.3</v>
      </c>
      <c r="F99" s="1154">
        <v>50</v>
      </c>
    </row>
    <row r="100" spans="1:6" s="1105" customFormat="1" ht="24">
      <c r="A100" s="1154">
        <v>40</v>
      </c>
      <c r="B100" s="3443"/>
      <c r="C100" s="1154" t="s">
        <v>1584</v>
      </c>
      <c r="D100" s="1068" t="s">
        <v>1585</v>
      </c>
      <c r="E100" s="1139">
        <v>0.2</v>
      </c>
      <c r="F100" s="1154">
        <v>30</v>
      </c>
    </row>
    <row r="101" spans="1:6" s="1105" customFormat="1" ht="36">
      <c r="A101" s="1154">
        <v>41</v>
      </c>
      <c r="B101" s="344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3" t="s">
        <v>1596</v>
      </c>
      <c r="C105" s="1154" t="s">
        <v>1597</v>
      </c>
      <c r="D105" s="1068" t="s">
        <v>1598</v>
      </c>
      <c r="E105" s="1139">
        <v>0.2</v>
      </c>
      <c r="F105" s="1154">
        <v>30</v>
      </c>
    </row>
    <row r="106" spans="1:6" s="1105" customFormat="1" ht="36">
      <c r="A106" s="1154">
        <v>46</v>
      </c>
      <c r="B106" s="3443"/>
      <c r="C106" s="1154" t="s">
        <v>1599</v>
      </c>
      <c r="D106" s="1068" t="s">
        <v>1600</v>
      </c>
      <c r="E106" s="1139">
        <v>0.2</v>
      </c>
      <c r="F106" s="1154">
        <v>30</v>
      </c>
    </row>
    <row r="107" spans="1:6" s="1105" customFormat="1" ht="36">
      <c r="A107" s="1154">
        <v>47</v>
      </c>
      <c r="B107" s="3443" t="s">
        <v>1601</v>
      </c>
      <c r="C107" s="1154" t="s">
        <v>1602</v>
      </c>
      <c r="D107" s="1068" t="s">
        <v>1603</v>
      </c>
      <c r="E107" s="1139">
        <v>0.3</v>
      </c>
      <c r="F107" s="1154">
        <v>50</v>
      </c>
    </row>
    <row r="108" spans="1:6" s="1105" customFormat="1" ht="36">
      <c r="A108" s="1154">
        <v>48</v>
      </c>
      <c r="B108" s="344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3" t="s">
        <v>1612</v>
      </c>
      <c r="C111" s="1154" t="s">
        <v>1613</v>
      </c>
      <c r="D111" s="1068" t="s">
        <v>1614</v>
      </c>
      <c r="E111" s="1139">
        <v>0.2</v>
      </c>
      <c r="F111" s="1154">
        <v>30</v>
      </c>
    </row>
    <row r="112" spans="1:6" s="1105" customFormat="1" ht="24">
      <c r="A112" s="1154">
        <v>52</v>
      </c>
      <c r="B112" s="3443"/>
      <c r="C112" s="1154" t="s">
        <v>1615</v>
      </c>
      <c r="D112" s="1068" t="s">
        <v>1616</v>
      </c>
      <c r="E112" s="1139">
        <v>0.2</v>
      </c>
      <c r="F112" s="1154">
        <v>30</v>
      </c>
    </row>
    <row r="113" spans="1:14" s="1105" customFormat="1" ht="24">
      <c r="A113" s="1154">
        <v>53</v>
      </c>
      <c r="B113" s="344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3" t="s">
        <v>1625</v>
      </c>
      <c r="C116" s="1154" t="s">
        <v>1626</v>
      </c>
      <c r="D116" s="1068" t="s">
        <v>1627</v>
      </c>
      <c r="E116" s="1139">
        <v>0.2</v>
      </c>
      <c r="F116" s="1154">
        <v>30</v>
      </c>
    </row>
    <row r="117" spans="1:14" ht="36">
      <c r="A117" s="1154">
        <v>57</v>
      </c>
      <c r="B117" s="344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2" t="s">
        <v>1634</v>
      </c>
      <c r="B121" s="3442"/>
      <c r="C121" s="3442"/>
      <c r="D121" s="3442"/>
      <c r="E121" s="3442"/>
      <c r="F121" s="3442"/>
      <c r="G121" s="3442"/>
      <c r="H121" s="3442"/>
      <c r="I121" s="3442"/>
      <c r="J121" s="344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7" t="s">
        <v>1040</v>
      </c>
      <c r="B1" s="3447"/>
      <c r="C1" s="3447"/>
      <c r="D1" s="3447"/>
      <c r="E1" s="3447"/>
      <c r="F1" s="344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8" t="s">
        <v>1053</v>
      </c>
      <c r="B2" s="3448"/>
      <c r="C2" s="3448"/>
      <c r="D2" s="3448"/>
      <c r="E2" s="3448"/>
      <c r="F2" s="344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1" t="s">
        <v>2081</v>
      </c>
      <c r="B1" s="3451"/>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2981</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1825</v>
      </c>
      <c r="B8" s="3453" t="s">
        <v>2465</v>
      </c>
      <c r="C8" s="1827">
        <f ca="1">ROUND(F8*F10*F9*(1-F11)/10000,0)</f>
        <v>0</v>
      </c>
      <c r="D8" s="1824" t="s">
        <v>2536</v>
      </c>
      <c r="E8" s="61" t="s">
        <v>637</v>
      </c>
      <c r="F8" s="785">
        <f ca="1">INDIRECT("'数据-取费表'!u"&amp;$G$1)</f>
        <v>0</v>
      </c>
      <c r="G8" s="1593"/>
      <c r="H8" s="2506" t="s">
        <v>1825</v>
      </c>
      <c r="I8" s="3453" t="s">
        <v>2465</v>
      </c>
      <c r="J8" s="783">
        <f ca="1">ROUND(M8*M10*M9*(1-M11)/10000,0)</f>
        <v>0</v>
      </c>
      <c r="K8" s="341" t="s">
        <v>2536</v>
      </c>
      <c r="L8" s="784" t="s">
        <v>1739</v>
      </c>
      <c r="M8" s="785">
        <f ca="1">INDIRECT("'数据-取费表'!z"&amp;$G$1)</f>
        <v>0</v>
      </c>
    </row>
    <row r="9" spans="1:25" ht="18" customHeight="1">
      <c r="A9" s="2502"/>
      <c r="B9" s="3454"/>
      <c r="C9" s="1828"/>
      <c r="D9" s="1825"/>
      <c r="E9" s="61" t="s">
        <v>638</v>
      </c>
      <c r="F9" s="785">
        <f ca="1">IF(INDIRECT("'数据-取费表'!ah"&amp;$G$1)="",INDIRECT("'数据-取费表'!k"&amp;$G$1),INDIRECT("'数据-取费表'!ah"&amp;$G$1))</f>
        <v>0</v>
      </c>
      <c r="G9" s="1593"/>
      <c r="H9" s="2491"/>
      <c r="I9" s="3454"/>
      <c r="J9" s="788"/>
      <c r="K9" s="789"/>
      <c r="L9" s="784" t="s">
        <v>1740</v>
      </c>
      <c r="M9" s="785">
        <f ca="1">F9</f>
        <v>0</v>
      </c>
    </row>
    <row r="10" spans="1:25" ht="18" customHeight="1">
      <c r="A10" s="2495"/>
      <c r="B10" s="3455"/>
      <c r="C10" s="1828"/>
      <c r="D10" s="1825"/>
      <c r="E10" s="61" t="s">
        <v>639</v>
      </c>
      <c r="F10" s="785">
        <f ca="1">INDIRECT("'数据-取费表'!ai"&amp;$G$1)</f>
        <v>0</v>
      </c>
      <c r="G10" s="1593"/>
      <c r="H10" s="2491"/>
      <c r="I10" s="3455"/>
      <c r="J10" s="788"/>
      <c r="K10" s="789"/>
      <c r="L10" s="784" t="s">
        <v>1741</v>
      </c>
      <c r="M10" s="785">
        <f ca="1">INDIRECT("'数据-取费表'!ai"&amp;$G$1)</f>
        <v>0</v>
      </c>
    </row>
    <row r="11" spans="1:25" ht="18" customHeight="1">
      <c r="A11" s="786"/>
      <c r="B11" s="3456"/>
      <c r="C11" s="1828"/>
      <c r="D11" s="1825"/>
      <c r="E11" s="61" t="s">
        <v>640</v>
      </c>
      <c r="F11" s="794">
        <f ca="1">INDIRECT("'数据-取费表'!w"&amp;$G$1)</f>
        <v>0</v>
      </c>
      <c r="G11" s="1593"/>
      <c r="H11" s="2507"/>
      <c r="I11" s="3455"/>
      <c r="J11" s="788"/>
      <c r="K11" s="789"/>
      <c r="L11" s="795" t="s">
        <v>1742</v>
      </c>
      <c r="M11" s="796">
        <f ca="1">INDIRECT("'数据-取费表'!ab"&amp;$G$1)</f>
        <v>0</v>
      </c>
    </row>
    <row r="12" spans="1:25" ht="18" customHeight="1">
      <c r="A12" s="1832" t="s">
        <v>1826</v>
      </c>
      <c r="B12" s="2496" t="s">
        <v>2461</v>
      </c>
      <c r="C12" s="799">
        <f ca="1">ROUND(IF(F12="押一",C8/12*F13,IF(F12="押二",C8/12*2*F13,IF(F12="押三",C8/12*3*F13,C13*F13))),0)</f>
        <v>0</v>
      </c>
      <c r="D12" s="2503" t="s">
        <v>2977</v>
      </c>
      <c r="E12" s="2500" t="s">
        <v>2466</v>
      </c>
      <c r="F12" s="2623"/>
      <c r="G12" s="1593"/>
      <c r="H12" s="2563" t="s">
        <v>1826</v>
      </c>
      <c r="I12" s="2568" t="s">
        <v>2461</v>
      </c>
      <c r="J12" s="783">
        <f ca="1">ROUND(IF(M12="押一",J8/12*M13,IF(M12="押二",J8/12*2*M13,IF(M12="押三",J8/12*3*M13,J13*M13))),0)</f>
        <v>0</v>
      </c>
      <c r="K12" s="2503" t="s">
        <v>2977</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2071</v>
      </c>
      <c r="I16" s="2233" t="s">
        <v>2826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8</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1876</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2823</v>
      </c>
      <c r="J27" s="799">
        <f ca="1">J7-J18</f>
        <v>0</v>
      </c>
      <c r="K27" s="1981" t="s">
        <v>700</v>
      </c>
      <c r="L27" s="1983"/>
      <c r="M27" s="820"/>
    </row>
    <row r="28" spans="1:25" ht="18" customHeight="1">
      <c r="A28" s="803" t="s">
        <v>1876</v>
      </c>
      <c r="B28" s="784" t="s">
        <v>2440</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2824</v>
      </c>
      <c r="C31" s="2546">
        <f ca="1">ROUND((C21+C22+C25+C28)/(1-F23-C26-C29-C30),0)</f>
        <v>0</v>
      </c>
      <c r="D31" s="2547"/>
      <c r="E31" s="2548"/>
      <c r="F31" s="2549"/>
      <c r="G31" s="1594"/>
      <c r="H31" s="823" t="s">
        <v>1873</v>
      </c>
      <c r="I31" s="3013" t="s">
        <v>2825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8</v>
      </c>
      <c r="G36" s="2064"/>
      <c r="H36" s="2067"/>
      <c r="I36" s="3452"/>
      <c r="J36" s="2081"/>
      <c r="K36" s="2082"/>
      <c r="L36" s="2081"/>
      <c r="M36" s="2081"/>
    </row>
    <row r="37" spans="1:18" ht="18" customHeight="1">
      <c r="A37" s="815"/>
      <c r="B37" s="793"/>
      <c r="C37" s="69"/>
      <c r="D37" s="816"/>
      <c r="E37" s="784" t="s">
        <v>674</v>
      </c>
      <c r="F37" s="785">
        <f ca="1">INDIRECT("'数据-取费表'!r"&amp;$G$1)</f>
        <v>0</v>
      </c>
      <c r="G37" s="2064"/>
      <c r="H37" s="2067"/>
      <c r="I37" s="3452"/>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3" t="s">
        <v>2965</v>
      </c>
      <c r="F43" s="3124">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8">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3161" t="str">
        <f ca="1">IF(M48="住宅",0,IF(L49&gt;J52,L61,J61))</f>
        <v>0</v>
      </c>
      <c r="O47" s="2396" t="s">
        <v>2412</v>
      </c>
      <c r="P47" s="1593"/>
      <c r="Q47" s="1605"/>
      <c r="R47" s="1593"/>
    </row>
    <row r="48" spans="1:18" s="2061" customFormat="1" ht="18" customHeight="1" thickBot="1">
      <c r="A48" s="2086"/>
      <c r="C48" s="2089"/>
      <c r="D48" s="2090"/>
      <c r="E48" s="2090"/>
      <c r="F48" s="2091"/>
      <c r="G48" s="2092"/>
      <c r="I48" s="3151" t="s">
        <v>2346</v>
      </c>
      <c r="J48" s="2383"/>
      <c r="K48" s="3158" t="s">
        <v>2351</v>
      </c>
      <c r="L48" s="3162">
        <f ca="1">INDIRECT("'数据-取费表'!d"&amp;$G$1)</f>
        <v>0</v>
      </c>
      <c r="M48" s="3122"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7" t="s">
        <v>2347</v>
      </c>
      <c r="J49" s="2384"/>
      <c r="K49" s="3159"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127" t="s">
        <v>2348</v>
      </c>
      <c r="J50" s="2385"/>
      <c r="K50" s="3160"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7" t="s">
        <v>2349</v>
      </c>
      <c r="J51" s="3155">
        <f>SUMPRODUCT((I64:I66=J48)*(J63:L63=J49)*(J64:L66))</f>
        <v>0</v>
      </c>
      <c r="K51" s="3160" t="s">
        <v>2355</v>
      </c>
      <c r="L51" s="2386"/>
      <c r="O51" s="2403" t="s">
        <v>2385</v>
      </c>
      <c r="P51" s="2401" t="s">
        <v>2409</v>
      </c>
      <c r="Q51" s="2402">
        <f ca="1">C31</f>
        <v>0</v>
      </c>
      <c r="R51" s="2401" t="s">
        <v>2382</v>
      </c>
    </row>
    <row r="52" spans="1:18" s="2061" customFormat="1" ht="18" customHeight="1" thickBot="1">
      <c r="A52" s="2098"/>
      <c r="F52" s="2087"/>
      <c r="I52" s="3152" t="s">
        <v>2350</v>
      </c>
      <c r="J52" s="3156">
        <f>IF(J50="",J51,J50+J51-YEAR('数据-取费表'!B3))</f>
        <v>0</v>
      </c>
      <c r="K52" s="3127" t="s">
        <v>2356</v>
      </c>
      <c r="L52" s="3163">
        <f ca="1">ROUND(-PV(INDIRECT("'数据-取费表'!h"&amp;$G$1),L49,(C40-C14*J36),0),0)</f>
        <v>0</v>
      </c>
      <c r="O52" s="2403" t="s">
        <v>2386</v>
      </c>
      <c r="P52" s="2401" t="s">
        <v>2387</v>
      </c>
      <c r="Q52" s="2404" t="e">
        <f ca="1">J59</f>
        <v>#VALUE!</v>
      </c>
      <c r="R52" s="2405"/>
    </row>
    <row r="53" spans="1:18" s="2061" customFormat="1" ht="18" customHeight="1" thickBot="1">
      <c r="A53" s="2098"/>
      <c r="F53" s="2087"/>
      <c r="I53" s="3153" t="s">
        <v>2423</v>
      </c>
      <c r="J53" s="2387"/>
      <c r="K53" s="3153" t="s">
        <v>2422</v>
      </c>
      <c r="L53" s="2387"/>
      <c r="O53" s="2403" t="s">
        <v>2388</v>
      </c>
      <c r="P53" s="2401" t="s">
        <v>2389</v>
      </c>
      <c r="Q53" s="2404">
        <f>J53</f>
        <v>0</v>
      </c>
      <c r="R53" s="2405"/>
    </row>
    <row r="54" spans="1:18" s="2061" customFormat="1" ht="29.25" thickBot="1">
      <c r="A54" s="2098"/>
      <c r="I54" s="3154" t="s">
        <v>2982</v>
      </c>
      <c r="J54" s="3157">
        <f ca="1">IF(M48="住宅",MAX(J52,L49-'数据-取费表'!B20),MIN(J52,L49-'数据-取费表'!B20))</f>
        <v>-2</v>
      </c>
      <c r="K54" s="3457"/>
      <c r="L54" s="3458"/>
      <c r="O54" s="2403" t="s">
        <v>2390</v>
      </c>
      <c r="P54" s="2401" t="s">
        <v>2391</v>
      </c>
      <c r="Q54" s="2402">
        <f ca="1">J54</f>
        <v>-2</v>
      </c>
      <c r="R54" s="2401" t="s">
        <v>2392</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2393</v>
      </c>
      <c r="P55" s="2401" t="s">
        <v>2410</v>
      </c>
      <c r="Q55" s="2402">
        <f ca="1">Q49+Q50</f>
        <v>0</v>
      </c>
      <c r="R55" s="2405" t="s">
        <v>2394</v>
      </c>
    </row>
    <row r="56" spans="1:18" s="2061" customFormat="1" ht="16.5" thickBot="1">
      <c r="A56" s="2098"/>
      <c r="B56" s="2099"/>
      <c r="C56" s="2099"/>
      <c r="I56" s="3166" t="s">
        <v>2357</v>
      </c>
      <c r="J56" s="3102" t="e">
        <f ca="1">ROUND(IF(J48="钢混",J58/J51,1-(1-2%)*(J51-J58)/J51),3)</f>
        <v>#VALUE!</v>
      </c>
      <c r="K56" s="3167" t="s">
        <v>2358</v>
      </c>
      <c r="L56" s="2388"/>
      <c r="O56" s="2406" t="s">
        <v>2413</v>
      </c>
      <c r="P56" s="1593"/>
      <c r="Q56" s="1605"/>
      <c r="R56" s="1593"/>
    </row>
    <row r="57" spans="1:18" s="2061" customFormat="1" ht="43.5" thickBot="1">
      <c r="A57" s="2098"/>
      <c r="B57" s="2099"/>
      <c r="C57" s="2099"/>
      <c r="I57" s="3168" t="s">
        <v>2359</v>
      </c>
      <c r="J57" s="3178" t="s">
        <v>1679</v>
      </c>
      <c r="K57" s="3127" t="s">
        <v>2364</v>
      </c>
      <c r="L57" s="1910">
        <f ca="1">IF(L49&lt;J52,"——",L49-J52)</f>
        <v>0</v>
      </c>
      <c r="O57" s="2397" t="s">
        <v>2377</v>
      </c>
      <c r="P57" s="2398" t="s">
        <v>2378</v>
      </c>
      <c r="Q57" s="2399" t="s">
        <v>2379</v>
      </c>
      <c r="R57" s="2398" t="s">
        <v>2380</v>
      </c>
    </row>
    <row r="58" spans="1:18" s="2061" customFormat="1" ht="29.25" thickBot="1">
      <c r="A58" s="2098"/>
      <c r="B58" s="2099"/>
      <c r="C58" s="2099"/>
      <c r="I58" s="3169" t="s">
        <v>2360</v>
      </c>
      <c r="J58" s="3170" t="str">
        <f ca="1">IF(OR(M48="住宅",J52&lt;L49,J57="是"),"——",J52-L49)</f>
        <v>——</v>
      </c>
      <c r="K58" s="3127"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169" t="s">
        <v>2361</v>
      </c>
      <c r="J59" s="3103" t="e">
        <f ca="1">IF(J56&lt;0.4,0.4,J56)</f>
        <v>#VALUE!</v>
      </c>
      <c r="K59" s="3127"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69" t="s">
        <v>2362</v>
      </c>
      <c r="J60" s="3170" t="str">
        <f ca="1">IF(OR(M48="住宅",J52&lt;L49,J57="是"),"——",ROUND(C30*J59,0))</f>
        <v>——</v>
      </c>
      <c r="K60" s="3127"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1" t="s">
        <v>2363</v>
      </c>
      <c r="J61" s="3172" t="str">
        <f ca="1">IF(OR(M48="住宅",J52&lt;L49,J57="是"),"0",ROUND(J60/(1+J53)^J54,0))</f>
        <v>0</v>
      </c>
      <c r="K61" s="3173" t="s">
        <v>2368</v>
      </c>
      <c r="L61" s="3172"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74" t="s">
        <v>2369</v>
      </c>
      <c r="J63" s="3175" t="s">
        <v>2370</v>
      </c>
      <c r="K63" s="3175" t="s">
        <v>2371</v>
      </c>
      <c r="L63" s="3175" t="s">
        <v>2352</v>
      </c>
      <c r="M63" s="3176" t="s">
        <v>2945</v>
      </c>
      <c r="O63" s="2403" t="s">
        <v>2390</v>
      </c>
      <c r="P63" s="2401" t="s">
        <v>2398</v>
      </c>
      <c r="Q63" s="2402">
        <f ca="1">L60</f>
        <v>0</v>
      </c>
      <c r="R63" s="2405" t="s">
        <v>2399</v>
      </c>
    </row>
    <row r="64" spans="1:18" s="2061" customFormat="1" ht="15.75" thickBot="1">
      <c r="A64" s="2098"/>
      <c r="B64" s="2099"/>
      <c r="C64" s="2099"/>
      <c r="I64" s="3174" t="s">
        <v>2372</v>
      </c>
      <c r="J64" s="3175">
        <v>70</v>
      </c>
      <c r="K64" s="3175">
        <v>50</v>
      </c>
      <c r="L64" s="3175">
        <v>80</v>
      </c>
      <c r="M64" s="3177">
        <v>0.02</v>
      </c>
      <c r="O64" s="2400" t="s">
        <v>2393</v>
      </c>
      <c r="P64" s="2401" t="s">
        <v>2410</v>
      </c>
      <c r="Q64" s="2402" t="e">
        <f ca="1">Q58+Q59</f>
        <v>#DIV/0!</v>
      </c>
      <c r="R64" s="2405" t="s">
        <v>2394</v>
      </c>
    </row>
    <row r="65" spans="1:18" s="2061" customFormat="1" ht="16.5" thickBot="1">
      <c r="A65" s="2098"/>
      <c r="B65" s="2099"/>
      <c r="C65" s="2099"/>
      <c r="I65" s="3174" t="s">
        <v>2373</v>
      </c>
      <c r="J65" s="3175">
        <v>50</v>
      </c>
      <c r="K65" s="3175">
        <v>35</v>
      </c>
      <c r="L65" s="3175">
        <v>60</v>
      </c>
      <c r="M65" s="846">
        <v>0</v>
      </c>
      <c r="O65" s="2406" t="s">
        <v>2417</v>
      </c>
      <c r="P65" s="1593"/>
      <c r="Q65" s="1605"/>
      <c r="R65" s="1593"/>
    </row>
    <row r="66" spans="1:18" s="2061" customFormat="1" ht="15.75" thickBot="1">
      <c r="A66" s="2098"/>
      <c r="B66" s="2099"/>
      <c r="C66" s="2099"/>
      <c r="I66" s="3174" t="s">
        <v>2374</v>
      </c>
      <c r="J66" s="3175">
        <v>40</v>
      </c>
      <c r="K66" s="3175">
        <v>30</v>
      </c>
      <c r="L66" s="3175">
        <v>50</v>
      </c>
      <c r="M66" s="3177">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5" t="s">
        <v>2578</v>
      </c>
      <c r="C1" s="3465"/>
      <c r="D1" s="3465"/>
      <c r="E1" s="3465"/>
      <c r="F1" s="3465"/>
      <c r="G1" s="3464" t="s">
        <v>2579</v>
      </c>
      <c r="H1" s="3464"/>
      <c r="I1" s="3464"/>
      <c r="J1" s="3464"/>
      <c r="K1" s="3464"/>
      <c r="L1" s="3464"/>
      <c r="N1" s="3464" t="s">
        <v>2580</v>
      </c>
      <c r="O1" s="3464"/>
      <c r="P1" s="3464"/>
      <c r="Q1" s="3464"/>
      <c r="R1" s="2656"/>
      <c r="S1" s="3464" t="s">
        <v>2581</v>
      </c>
      <c r="T1" s="3464"/>
      <c r="U1" s="3464"/>
      <c r="V1" s="3464"/>
      <c r="X1" s="3463" t="s">
        <v>2641</v>
      </c>
      <c r="Y1" s="3464"/>
      <c r="Z1" s="3464"/>
      <c r="AA1" s="3464"/>
      <c r="AB1" s="3464"/>
      <c r="AD1" s="3463" t="s">
        <v>2645</v>
      </c>
      <c r="AE1" s="3464"/>
      <c r="AF1" s="3464"/>
      <c r="AG1" s="3464"/>
      <c r="AH1" s="3464"/>
    </row>
    <row r="2" spans="1:34" s="2758" customFormat="1" ht="14.25" thickBot="1">
      <c r="B2" s="2766" t="s">
        <v>2582</v>
      </c>
      <c r="C2" s="2766" t="s">
        <v>2643</v>
      </c>
      <c r="D2" s="2759" t="s">
        <v>1645</v>
      </c>
      <c r="E2" s="2759" t="s">
        <v>1952</v>
      </c>
      <c r="F2" s="2766" t="s">
        <v>2644</v>
      </c>
      <c r="G2" s="2762"/>
      <c r="H2" s="2761"/>
      <c r="I2" s="2766" t="s">
        <v>2959</v>
      </c>
      <c r="J2" s="2759" t="s">
        <v>2961</v>
      </c>
      <c r="K2" s="2759" t="s">
        <v>2962</v>
      </c>
      <c r="L2" s="2766" t="s">
        <v>2963</v>
      </c>
      <c r="N2" s="2766" t="s">
        <v>2582</v>
      </c>
      <c r="O2" s="2759" t="s">
        <v>2960</v>
      </c>
      <c r="P2" s="2759" t="s">
        <v>1952</v>
      </c>
      <c r="Q2" s="2766" t="s">
        <v>2644</v>
      </c>
      <c r="R2" s="2760"/>
      <c r="S2" s="2766" t="s">
        <v>2582</v>
      </c>
      <c r="T2" s="2759" t="s">
        <v>2960</v>
      </c>
      <c r="U2" s="2759" t="s">
        <v>1952</v>
      </c>
      <c r="V2" s="2766" t="s">
        <v>2644</v>
      </c>
      <c r="X2" s="2766" t="s">
        <v>2582</v>
      </c>
      <c r="Y2" s="2766" t="s">
        <v>2643</v>
      </c>
      <c r="Z2" s="2759" t="s">
        <v>1645</v>
      </c>
      <c r="AA2" s="2759" t="s">
        <v>1952</v>
      </c>
      <c r="AB2" s="2766" t="s">
        <v>2644</v>
      </c>
      <c r="AD2" s="2766" t="s">
        <v>2582</v>
      </c>
      <c r="AE2" s="2766" t="s">
        <v>2643</v>
      </c>
      <c r="AF2" s="2759" t="s">
        <v>1645</v>
      </c>
      <c r="AG2" s="2759" t="s">
        <v>1952</v>
      </c>
      <c r="AH2" s="2766" t="s">
        <v>2644</v>
      </c>
    </row>
    <row r="3" spans="1:34" s="3135" customFormat="1" ht="14.25">
      <c r="A3" s="3147" t="s">
        <v>2972</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2983</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5">
        <v>3</v>
      </c>
      <c r="I5" s="3129">
        <v>1.49</v>
      </c>
      <c r="J5" s="3129">
        <v>0.96</v>
      </c>
      <c r="K5" s="3129">
        <v>1.58</v>
      </c>
      <c r="L5" s="3129">
        <v>2.44</v>
      </c>
      <c r="N5" s="2764">
        <f t="shared" ref="N5" si="6">I5/100</f>
        <v>1.49E-2</v>
      </c>
      <c r="O5" s="2764">
        <f t="shared" ref="O5" si="7">J5/100</f>
        <v>9.5999999999999992E-3</v>
      </c>
      <c r="P5" s="2764">
        <f t="shared" ref="P5" si="8">K5/100</f>
        <v>1.5800000000000002E-2</v>
      </c>
      <c r="Q5" s="2764">
        <f t="shared" ref="Q5" si="9">L5/100</f>
        <v>2.4399999999999998E-2</v>
      </c>
      <c r="R5" s="3117"/>
      <c r="S5" s="3118"/>
      <c r="T5" s="3117"/>
      <c r="U5" s="3117"/>
      <c r="V5" s="3117"/>
      <c r="W5" s="3145" t="s">
        <v>2973</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3" customFormat="1" ht="13.5" thickBot="1">
      <c r="A6" s="2657" t="s">
        <v>2984</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4"/>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2979</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4"/>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2970</v>
      </c>
      <c r="B8" s="3149">
        <v>439</v>
      </c>
      <c r="C8" s="3149">
        <v>327</v>
      </c>
      <c r="D8" s="3149">
        <f t="shared" si="23"/>
        <v>327</v>
      </c>
      <c r="E8" s="3149">
        <v>627</v>
      </c>
      <c r="F8" s="3150">
        <v>283</v>
      </c>
      <c r="G8" s="3132">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2974</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4"/>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2583</v>
      </c>
      <c r="B10" s="2671">
        <f t="shared" si="35"/>
        <v>419.31181600000002</v>
      </c>
      <c r="C10" s="2671">
        <f t="shared" si="35"/>
        <v>313.95436800000004</v>
      </c>
      <c r="D10" s="2671">
        <f t="shared" si="23"/>
        <v>313.95436800000004</v>
      </c>
      <c r="E10" s="2671">
        <f t="shared" si="36"/>
        <v>596.63028431999999</v>
      </c>
      <c r="F10" s="2671">
        <f t="shared" si="36"/>
        <v>274.74220703999998</v>
      </c>
      <c r="G10" s="3133"/>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2584</v>
      </c>
      <c r="B11" s="2671">
        <f t="shared" si="35"/>
        <v>405.524</v>
      </c>
      <c r="C11" s="2671">
        <f t="shared" si="35"/>
        <v>307.79840000000002</v>
      </c>
      <c r="D11" s="2671">
        <f t="shared" si="23"/>
        <v>307.79840000000002</v>
      </c>
      <c r="E11" s="2671">
        <f t="shared" si="36"/>
        <v>574.67759999999998</v>
      </c>
      <c r="F11" s="2671">
        <f t="shared" si="36"/>
        <v>270.20280000000002</v>
      </c>
      <c r="G11" s="3134"/>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62">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60"/>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60"/>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61"/>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59">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60"/>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60"/>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61"/>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59">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60"/>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60"/>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61"/>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2642</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2585</v>
      </c>
      <c r="B24" s="2663">
        <v>299</v>
      </c>
      <c r="C24" s="2663">
        <v>252</v>
      </c>
      <c r="D24" s="2663">
        <f t="shared" si="45"/>
        <v>252</v>
      </c>
      <c r="E24" s="2663">
        <v>409</v>
      </c>
      <c r="F24" s="2664">
        <v>227</v>
      </c>
      <c r="G24" s="3466">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2586</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67"/>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2587</v>
      </c>
      <c r="B26" s="2671">
        <f t="shared" si="54"/>
        <v>288.2649053828776</v>
      </c>
      <c r="C26" s="2671">
        <f t="shared" si="54"/>
        <v>243.64564425013293</v>
      </c>
      <c r="D26" s="2671">
        <f t="shared" si="45"/>
        <v>243.64564425013293</v>
      </c>
      <c r="E26" s="2671">
        <f t="shared" si="55"/>
        <v>393.31080825986544</v>
      </c>
      <c r="F26" s="2671">
        <f t="shared" si="55"/>
        <v>223.07903790551154</v>
      </c>
      <c r="G26" s="3467"/>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2588</v>
      </c>
      <c r="B27" s="2671">
        <f t="shared" si="54"/>
        <v>282.50186729015837</v>
      </c>
      <c r="C27" s="2671">
        <f t="shared" si="54"/>
        <v>238.09796174155468</v>
      </c>
      <c r="D27" s="2671">
        <f t="shared" si="45"/>
        <v>238.09796174155468</v>
      </c>
      <c r="E27" s="2671">
        <f t="shared" si="55"/>
        <v>385.33438646014054</v>
      </c>
      <c r="F27" s="2671">
        <f t="shared" si="55"/>
        <v>221.55034055567739</v>
      </c>
      <c r="G27" s="3468"/>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2589</v>
      </c>
      <c r="B28" s="2701">
        <v>278</v>
      </c>
      <c r="C28" s="2701">
        <v>234</v>
      </c>
      <c r="D28" s="2701">
        <f t="shared" si="45"/>
        <v>234</v>
      </c>
      <c r="E28" s="2701">
        <v>379</v>
      </c>
      <c r="F28" s="2702">
        <v>220</v>
      </c>
      <c r="G28" s="3459">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2590</v>
      </c>
      <c r="B29" s="2671">
        <f>B28/(1+N28)</f>
        <v>275.49301357645425</v>
      </c>
      <c r="C29" s="2671">
        <f>C28/(1+O28)</f>
        <v>232.41954707985698</v>
      </c>
      <c r="D29" s="2671">
        <f t="shared" si="45"/>
        <v>232.41954707985698</v>
      </c>
      <c r="E29" s="2671">
        <f t="shared" ref="E29:F31" si="56">E28/(1+P28)</f>
        <v>375.32184591008121</v>
      </c>
      <c r="F29" s="2671">
        <f t="shared" si="56"/>
        <v>218.03766105054513</v>
      </c>
      <c r="G29" s="3460"/>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2591</v>
      </c>
      <c r="B30" s="2671">
        <f>B29/(1+N29)</f>
        <v>275.24529281292263</v>
      </c>
      <c r="C30" s="2671">
        <f>C29/(1+O29)</f>
        <v>231.74747938962707</v>
      </c>
      <c r="D30" s="2671">
        <f t="shared" si="45"/>
        <v>231.74747938962707</v>
      </c>
      <c r="E30" s="2671">
        <f t="shared" si="56"/>
        <v>375.35938184826603</v>
      </c>
      <c r="F30" s="2671">
        <f t="shared" si="56"/>
        <v>216.78033510692495</v>
      </c>
      <c r="G30" s="3460"/>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2592</v>
      </c>
      <c r="B31" s="2671">
        <f>B30/(1+N30)</f>
        <v>275.19025476197027</v>
      </c>
      <c r="C31" s="2703">
        <v>232</v>
      </c>
      <c r="D31" s="2703">
        <f t="shared" si="45"/>
        <v>232</v>
      </c>
      <c r="E31" s="2671">
        <f t="shared" si="56"/>
        <v>375.65990977608692</v>
      </c>
      <c r="F31" s="2671">
        <f t="shared" si="56"/>
        <v>214.12518283971252</v>
      </c>
      <c r="G31" s="3461"/>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2593</v>
      </c>
      <c r="B32" s="2663">
        <v>275</v>
      </c>
      <c r="C32" s="2663">
        <v>232</v>
      </c>
      <c r="D32" s="2663">
        <f t="shared" si="45"/>
        <v>232</v>
      </c>
      <c r="E32" s="2663">
        <v>376</v>
      </c>
      <c r="F32" s="2664">
        <v>213</v>
      </c>
      <c r="G32" s="3459">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2594</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60">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2595</v>
      </c>
      <c r="B34" s="2671">
        <f t="shared" si="57"/>
        <v>275.19335084830601</v>
      </c>
      <c r="C34" s="2671">
        <f t="shared" si="57"/>
        <v>230.18088050139744</v>
      </c>
      <c r="D34" s="2671">
        <f t="shared" si="45"/>
        <v>230.18088050139744</v>
      </c>
      <c r="E34" s="2671">
        <f t="shared" si="58"/>
        <v>377.58482925212331</v>
      </c>
      <c r="F34" s="2671">
        <f t="shared" si="58"/>
        <v>210.90687997847917</v>
      </c>
      <c r="G34" s="3460">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2596</v>
      </c>
      <c r="B35" s="2671">
        <f t="shared" si="57"/>
        <v>276.29854502841971</v>
      </c>
      <c r="C35" s="2671">
        <f t="shared" si="57"/>
        <v>229.79023709833027</v>
      </c>
      <c r="D35" s="2671">
        <f t="shared" si="45"/>
        <v>229.79023709833027</v>
      </c>
      <c r="E35" s="2671">
        <f t="shared" si="58"/>
        <v>379.78759731655936</v>
      </c>
      <c r="F35" s="2671">
        <f t="shared" si="58"/>
        <v>211.32953905659235</v>
      </c>
      <c r="G35" s="3461">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2597</v>
      </c>
      <c r="B36" s="2663">
        <v>269</v>
      </c>
      <c r="C36" s="2663">
        <v>221</v>
      </c>
      <c r="D36" s="2663">
        <f t="shared" si="45"/>
        <v>221</v>
      </c>
      <c r="E36" s="2663">
        <v>373</v>
      </c>
      <c r="F36" s="2664">
        <v>196</v>
      </c>
      <c r="G36" s="3459">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2598</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60">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2599</v>
      </c>
      <c r="B38" s="2671">
        <f t="shared" si="59"/>
        <v>242.95398227588385</v>
      </c>
      <c r="C38" s="2671">
        <f t="shared" si="59"/>
        <v>199.59137053614126</v>
      </c>
      <c r="D38" s="2671">
        <f t="shared" si="45"/>
        <v>199.59137053614126</v>
      </c>
      <c r="E38" s="2671">
        <f t="shared" si="60"/>
        <v>335.92189522342125</v>
      </c>
      <c r="F38" s="2671">
        <f t="shared" si="60"/>
        <v>183.10139991109489</v>
      </c>
      <c r="G38" s="3460">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2600</v>
      </c>
      <c r="B39" s="2671">
        <f t="shared" si="59"/>
        <v>232.06990378821649</v>
      </c>
      <c r="C39" s="2671">
        <f t="shared" si="59"/>
        <v>192.74878854286936</v>
      </c>
      <c r="D39" s="2671">
        <f t="shared" si="45"/>
        <v>192.74878854286936</v>
      </c>
      <c r="E39" s="2671">
        <f t="shared" si="60"/>
        <v>319.71247284992984</v>
      </c>
      <c r="F39" s="2671">
        <f t="shared" si="60"/>
        <v>175.67053622862409</v>
      </c>
      <c r="G39" s="3461">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2601</v>
      </c>
      <c r="B40" s="2663">
        <v>220</v>
      </c>
      <c r="C40" s="2663">
        <v>187</v>
      </c>
      <c r="D40" s="2663">
        <f t="shared" si="45"/>
        <v>187</v>
      </c>
      <c r="E40" s="2663">
        <v>301</v>
      </c>
      <c r="F40" s="2664">
        <v>168</v>
      </c>
      <c r="G40" s="3459">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2602</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60">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2603</v>
      </c>
      <c r="B42" s="2671">
        <f t="shared" si="61"/>
        <v>210.630522469011</v>
      </c>
      <c r="C42" s="2671">
        <f t="shared" si="61"/>
        <v>181.69567812247232</v>
      </c>
      <c r="D42" s="2671">
        <f t="shared" si="45"/>
        <v>181.69567812247232</v>
      </c>
      <c r="E42" s="2671">
        <f t="shared" si="62"/>
        <v>286.13517466736738</v>
      </c>
      <c r="F42" s="2671">
        <f t="shared" si="62"/>
        <v>165.47535084591149</v>
      </c>
      <c r="G42" s="3460">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2604</v>
      </c>
      <c r="B43" s="2671">
        <f t="shared" si="61"/>
        <v>208.83454537875372</v>
      </c>
      <c r="C43" s="2671">
        <f t="shared" si="61"/>
        <v>183.77230517090351</v>
      </c>
      <c r="D43" s="2671">
        <f t="shared" si="45"/>
        <v>183.77230517090351</v>
      </c>
      <c r="E43" s="2671">
        <f t="shared" si="62"/>
        <v>281.10342338870947</v>
      </c>
      <c r="F43" s="2671">
        <f t="shared" si="62"/>
        <v>168.97309388942256</v>
      </c>
      <c r="G43" s="3461">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2605</v>
      </c>
      <c r="B44" s="2701">
        <v>214</v>
      </c>
      <c r="C44" s="2701">
        <v>188</v>
      </c>
      <c r="D44" s="2701">
        <f t="shared" si="45"/>
        <v>188</v>
      </c>
      <c r="E44" s="2701">
        <v>289</v>
      </c>
      <c r="F44" s="2702">
        <v>166</v>
      </c>
      <c r="G44" s="3459">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2606</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60">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2607</v>
      </c>
      <c r="B46" s="2671">
        <f t="shared" si="63"/>
        <v>206.31694671589116</v>
      </c>
      <c r="C46" s="2671">
        <f t="shared" si="63"/>
        <v>183.61041121036101</v>
      </c>
      <c r="D46" s="2671">
        <f t="shared" si="45"/>
        <v>183.61041121036101</v>
      </c>
      <c r="E46" s="2671">
        <f t="shared" si="64"/>
        <v>276.66850301795557</v>
      </c>
      <c r="F46" s="2671">
        <f t="shared" si="64"/>
        <v>165.1360938278614</v>
      </c>
      <c r="G46" s="3460">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2608</v>
      </c>
      <c r="B47" s="2704">
        <f t="shared" si="63"/>
        <v>196.62341248059772</v>
      </c>
      <c r="C47" s="2704">
        <f t="shared" si="63"/>
        <v>170.99125648199012</v>
      </c>
      <c r="D47" s="2704">
        <f t="shared" si="45"/>
        <v>170.99125648199012</v>
      </c>
      <c r="E47" s="2704">
        <f t="shared" si="64"/>
        <v>266.07857570490052</v>
      </c>
      <c r="F47" s="2704">
        <f t="shared" si="64"/>
        <v>154.53499328828505</v>
      </c>
      <c r="G47" s="3461">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2609</v>
      </c>
      <c r="B48" s="2663">
        <v>188</v>
      </c>
      <c r="C48" s="2663">
        <v>165</v>
      </c>
      <c r="D48" s="2663">
        <f t="shared" si="45"/>
        <v>165</v>
      </c>
      <c r="E48" s="2663">
        <v>254</v>
      </c>
      <c r="F48" s="2664">
        <v>148</v>
      </c>
      <c r="G48" s="3459">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2610</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60">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2611</v>
      </c>
      <c r="B50" s="2671">
        <f t="shared" si="67"/>
        <v>168.82017748715555</v>
      </c>
      <c r="C50" s="2671">
        <f t="shared" si="67"/>
        <v>148.06267029972753</v>
      </c>
      <c r="D50" s="2671">
        <f t="shared" si="45"/>
        <v>148.06267029972753</v>
      </c>
      <c r="E50" s="2671">
        <f t="shared" si="68"/>
        <v>216.46288379323747</v>
      </c>
      <c r="F50" s="2671">
        <f t="shared" si="68"/>
        <v>134.23529411764704</v>
      </c>
      <c r="G50" s="3460">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2612</v>
      </c>
      <c r="B51" s="2671">
        <f t="shared" si="67"/>
        <v>163.84913591779542</v>
      </c>
      <c r="C51" s="2671">
        <f t="shared" si="67"/>
        <v>145.0283378746594</v>
      </c>
      <c r="D51" s="2671">
        <f t="shared" si="45"/>
        <v>145.0283378746594</v>
      </c>
      <c r="E51" s="2671">
        <f t="shared" si="68"/>
        <v>204.95180722891567</v>
      </c>
      <c r="F51" s="2671">
        <f t="shared" si="68"/>
        <v>125.95920303605313</v>
      </c>
      <c r="G51" s="3461">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2613</v>
      </c>
      <c r="B52" s="2685">
        <v>159</v>
      </c>
      <c r="C52" s="2685">
        <v>141</v>
      </c>
      <c r="D52" s="2685">
        <f t="shared" si="45"/>
        <v>141</v>
      </c>
      <c r="E52" s="2685">
        <v>195</v>
      </c>
      <c r="F52" s="2686">
        <v>122</v>
      </c>
      <c r="G52" s="3459">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2614</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60">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2615</v>
      </c>
      <c r="B54" s="2671">
        <f t="shared" si="71"/>
        <v>146.57412060301507</v>
      </c>
      <c r="C54" s="2671">
        <f t="shared" si="71"/>
        <v>136.46831955922866</v>
      </c>
      <c r="D54" s="2671">
        <f t="shared" si="45"/>
        <v>136.46831955922866</v>
      </c>
      <c r="E54" s="2671">
        <f t="shared" si="72"/>
        <v>166.73864894795128</v>
      </c>
      <c r="F54" s="2671">
        <f t="shared" si="72"/>
        <v>115.05882352941177</v>
      </c>
      <c r="G54" s="3460">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2616</v>
      </c>
      <c r="B55" s="2671">
        <f t="shared" si="71"/>
        <v>144.04145728643215</v>
      </c>
      <c r="C55" s="2671">
        <f t="shared" si="71"/>
        <v>136.12396694214877</v>
      </c>
      <c r="D55" s="2671">
        <f t="shared" si="45"/>
        <v>136.12396694214877</v>
      </c>
      <c r="E55" s="2671">
        <f t="shared" si="72"/>
        <v>158.32225913621264</v>
      </c>
      <c r="F55" s="2671">
        <f t="shared" si="72"/>
        <v>114.04278074866311</v>
      </c>
      <c r="G55" s="3461">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2617</v>
      </c>
      <c r="B56" s="2685">
        <v>138</v>
      </c>
      <c r="C56" s="2685">
        <v>131</v>
      </c>
      <c r="D56" s="2685">
        <f t="shared" si="45"/>
        <v>131</v>
      </c>
      <c r="E56" s="2685">
        <v>155</v>
      </c>
      <c r="F56" s="2686">
        <v>114</v>
      </c>
      <c r="G56" s="3459">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2618</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60">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2619</v>
      </c>
      <c r="B58" s="2671">
        <f t="shared" si="75"/>
        <v>124.29032258064517</v>
      </c>
      <c r="C58" s="2671">
        <f t="shared" si="75"/>
        <v>123.8968609865471</v>
      </c>
      <c r="D58" s="2671">
        <f t="shared" si="45"/>
        <v>123.8968609865471</v>
      </c>
      <c r="E58" s="2671">
        <f t="shared" si="76"/>
        <v>138.00507614213197</v>
      </c>
      <c r="F58" s="2671">
        <f t="shared" si="76"/>
        <v>107.96106557377048</v>
      </c>
      <c r="G58" s="3460">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2620</v>
      </c>
      <c r="B59" s="2671">
        <f t="shared" si="75"/>
        <v>122.57204301075269</v>
      </c>
      <c r="C59" s="2671">
        <f t="shared" si="75"/>
        <v>123.4932735426009</v>
      </c>
      <c r="D59" s="2671">
        <f t="shared" si="45"/>
        <v>123.4932735426009</v>
      </c>
      <c r="E59" s="2671">
        <f t="shared" si="76"/>
        <v>129.82233502538071</v>
      </c>
      <c r="F59" s="2671">
        <f t="shared" si="76"/>
        <v>107.39446721311475</v>
      </c>
      <c r="G59" s="3461">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2621</v>
      </c>
      <c r="B60" s="2701">
        <v>121</v>
      </c>
      <c r="C60" s="2701">
        <v>122</v>
      </c>
      <c r="D60" s="2701">
        <f t="shared" si="45"/>
        <v>122</v>
      </c>
      <c r="E60" s="2701">
        <v>124</v>
      </c>
      <c r="F60" s="2702">
        <v>107</v>
      </c>
      <c r="G60" s="3459">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2622</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60">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2623</v>
      </c>
      <c r="B62" s="2671">
        <f t="shared" si="79"/>
        <v>116.99099099099099</v>
      </c>
      <c r="C62" s="2671">
        <f t="shared" si="79"/>
        <v>118.84848484848486</v>
      </c>
      <c r="D62" s="2671">
        <f t="shared" si="45"/>
        <v>118.84848484848486</v>
      </c>
      <c r="E62" s="2671">
        <f t="shared" si="80"/>
        <v>117.60960960960961</v>
      </c>
      <c r="F62" s="2671">
        <f t="shared" si="80"/>
        <v>104</v>
      </c>
      <c r="G62" s="3460">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2624</v>
      </c>
      <c r="B63" s="2704">
        <f t="shared" si="79"/>
        <v>112.48648648648648</v>
      </c>
      <c r="C63" s="2704">
        <f t="shared" si="79"/>
        <v>115.21212121212122</v>
      </c>
      <c r="D63" s="2704">
        <f t="shared" si="45"/>
        <v>115.21212121212122</v>
      </c>
      <c r="E63" s="2704">
        <f t="shared" si="80"/>
        <v>110.4024024024024</v>
      </c>
      <c r="F63" s="2704">
        <f t="shared" si="80"/>
        <v>104</v>
      </c>
      <c r="G63" s="3461">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2625</v>
      </c>
      <c r="B64" s="2722">
        <v>111</v>
      </c>
      <c r="C64" s="2722">
        <v>114</v>
      </c>
      <c r="D64" s="2722">
        <f t="shared" si="45"/>
        <v>114</v>
      </c>
      <c r="E64" s="2722">
        <v>108</v>
      </c>
      <c r="F64" s="2723">
        <v>104</v>
      </c>
      <c r="G64" s="3459">
        <v>2003</v>
      </c>
      <c r="H64" s="2712">
        <v>4</v>
      </c>
      <c r="I64" s="2724"/>
      <c r="J64" s="2724"/>
      <c r="K64" s="2724"/>
      <c r="L64" s="2724"/>
      <c r="N64" s="2725"/>
      <c r="O64" s="2724"/>
      <c r="P64" s="2724"/>
      <c r="Q64" s="2724"/>
      <c r="S64" s="2725"/>
      <c r="T64" s="2724"/>
      <c r="U64" s="2724"/>
      <c r="V64" s="2724"/>
      <c r="X64" s="2716"/>
      <c r="Y64" s="2716"/>
      <c r="Z64" s="2716"/>
    </row>
    <row r="65" spans="1:26">
      <c r="A65" s="2657" t="s">
        <v>2626</v>
      </c>
      <c r="B65" s="2726">
        <f t="shared" ref="B65:C67" si="81">B66+(B$64-B$68)/4</f>
        <v>109.75</v>
      </c>
      <c r="C65" s="2726">
        <f t="shared" si="81"/>
        <v>112.25</v>
      </c>
      <c r="D65" s="2726">
        <f t="shared" si="45"/>
        <v>112.25</v>
      </c>
      <c r="E65" s="2726">
        <f t="shared" ref="E65:F67" si="82">E66+(E$64-E$68)/4</f>
        <v>107.25</v>
      </c>
      <c r="F65" s="2726">
        <f t="shared" si="82"/>
        <v>103.5</v>
      </c>
      <c r="G65" s="3460">
        <v>2003</v>
      </c>
      <c r="H65" s="2682">
        <v>3</v>
      </c>
      <c r="I65" s="2724"/>
      <c r="J65" s="2724"/>
      <c r="K65" s="2724"/>
      <c r="L65" s="2724"/>
      <c r="X65" s="2716"/>
      <c r="Y65" s="2716"/>
      <c r="Z65" s="2716"/>
    </row>
    <row r="66" spans="1:26">
      <c r="A66" s="2657" t="s">
        <v>2627</v>
      </c>
      <c r="B66" s="2726">
        <f t="shared" si="81"/>
        <v>108.5</v>
      </c>
      <c r="C66" s="2726">
        <f t="shared" si="81"/>
        <v>110.5</v>
      </c>
      <c r="D66" s="2726">
        <f t="shared" si="45"/>
        <v>110.5</v>
      </c>
      <c r="E66" s="2726">
        <f t="shared" si="82"/>
        <v>106.5</v>
      </c>
      <c r="F66" s="2726">
        <f t="shared" si="82"/>
        <v>103</v>
      </c>
      <c r="G66" s="3460">
        <v>2003</v>
      </c>
      <c r="H66" s="2662">
        <v>2</v>
      </c>
      <c r="I66" s="2724"/>
      <c r="J66" s="2724"/>
      <c r="K66" s="2724"/>
      <c r="L66" s="2724"/>
      <c r="X66" s="2716"/>
      <c r="Y66" s="2716"/>
      <c r="Z66" s="2716"/>
    </row>
    <row r="67" spans="1:26" ht="13.5" thickBot="1">
      <c r="A67" s="2657" t="s">
        <v>2628</v>
      </c>
      <c r="B67" s="2726">
        <f t="shared" si="81"/>
        <v>107.25</v>
      </c>
      <c r="C67" s="2726">
        <f t="shared" si="81"/>
        <v>108.75</v>
      </c>
      <c r="D67" s="2726">
        <f t="shared" si="45"/>
        <v>108.75</v>
      </c>
      <c r="E67" s="2726">
        <f t="shared" si="82"/>
        <v>105.75</v>
      </c>
      <c r="F67" s="2726">
        <f t="shared" si="82"/>
        <v>102.5</v>
      </c>
      <c r="G67" s="3461">
        <v>2003</v>
      </c>
      <c r="H67" s="2727">
        <v>1</v>
      </c>
      <c r="I67" s="2724"/>
      <c r="J67" s="2724"/>
      <c r="K67" s="2724"/>
      <c r="L67" s="2724"/>
      <c r="S67" s="2666"/>
      <c r="T67" s="2667"/>
      <c r="U67" s="2667"/>
      <c r="X67" s="2716"/>
      <c r="Y67" s="2716"/>
      <c r="Z67" s="2716"/>
    </row>
    <row r="68" spans="1:26" ht="13.5" thickBot="1">
      <c r="A68" s="2657" t="s">
        <v>2629</v>
      </c>
      <c r="B68" s="2728">
        <v>106</v>
      </c>
      <c r="C68" s="2728">
        <v>107</v>
      </c>
      <c r="D68" s="2728">
        <f t="shared" si="45"/>
        <v>107</v>
      </c>
      <c r="E68" s="2728">
        <v>105</v>
      </c>
      <c r="F68" s="2729">
        <v>102</v>
      </c>
      <c r="G68" s="3459">
        <v>2002</v>
      </c>
      <c r="H68" s="2677">
        <v>4</v>
      </c>
      <c r="I68" s="2724"/>
      <c r="J68" s="2724"/>
      <c r="K68" s="2724"/>
      <c r="L68" s="2724"/>
      <c r="N68" s="2725"/>
      <c r="O68" s="2724"/>
      <c r="P68" s="2724"/>
      <c r="Q68" s="2724"/>
      <c r="S68" s="2725"/>
      <c r="T68" s="2724"/>
      <c r="U68" s="2724"/>
      <c r="V68" s="2724"/>
      <c r="X68" s="2716"/>
      <c r="Y68" s="2716"/>
      <c r="Z68" s="2716"/>
    </row>
    <row r="69" spans="1:26">
      <c r="A69" s="2657" t="s">
        <v>2630</v>
      </c>
      <c r="B69" s="2726">
        <f t="shared" ref="B69:C71" si="83">B70+(B$68-B$72)/4</f>
        <v>105</v>
      </c>
      <c r="C69" s="2726">
        <f t="shared" si="83"/>
        <v>106</v>
      </c>
      <c r="D69" s="2726">
        <f t="shared" si="45"/>
        <v>106</v>
      </c>
      <c r="E69" s="2726">
        <f t="shared" ref="E69:F71" si="84">E70+(E$68-E$72)/4</f>
        <v>104.5</v>
      </c>
      <c r="F69" s="2726">
        <f t="shared" si="84"/>
        <v>101.5</v>
      </c>
      <c r="G69" s="3460">
        <v>2002</v>
      </c>
      <c r="H69" s="2682">
        <v>3</v>
      </c>
      <c r="I69" s="2724"/>
      <c r="J69" s="2724"/>
      <c r="K69" s="2724"/>
      <c r="L69" s="2724"/>
      <c r="X69" s="2716"/>
      <c r="Y69" s="2716"/>
      <c r="Z69" s="2716"/>
    </row>
    <row r="70" spans="1:26">
      <c r="A70" s="2657" t="s">
        <v>2631</v>
      </c>
      <c r="B70" s="2726">
        <f t="shared" si="83"/>
        <v>104</v>
      </c>
      <c r="C70" s="2726">
        <f t="shared" si="83"/>
        <v>105</v>
      </c>
      <c r="D70" s="2726">
        <f t="shared" si="45"/>
        <v>105</v>
      </c>
      <c r="E70" s="2726">
        <f t="shared" si="84"/>
        <v>104</v>
      </c>
      <c r="F70" s="2726">
        <f t="shared" si="84"/>
        <v>101</v>
      </c>
      <c r="G70" s="3460">
        <v>2002</v>
      </c>
      <c r="H70" s="2662">
        <v>2</v>
      </c>
      <c r="I70" s="2724"/>
      <c r="J70" s="2724"/>
      <c r="K70" s="2724"/>
      <c r="L70" s="2724"/>
      <c r="X70" s="2716"/>
      <c r="Y70" s="2716"/>
      <c r="Z70" s="2716"/>
    </row>
    <row r="71" spans="1:26" s="2693" customFormat="1" ht="13.5" thickBot="1">
      <c r="A71" s="2689" t="s">
        <v>2632</v>
      </c>
      <c r="B71" s="2730">
        <f t="shared" si="83"/>
        <v>103</v>
      </c>
      <c r="C71" s="2730">
        <f t="shared" si="83"/>
        <v>104</v>
      </c>
      <c r="D71" s="2730">
        <f t="shared" si="45"/>
        <v>104</v>
      </c>
      <c r="E71" s="2730">
        <f t="shared" si="84"/>
        <v>103.5</v>
      </c>
      <c r="F71" s="2730">
        <f t="shared" si="84"/>
        <v>100.5</v>
      </c>
      <c r="G71" s="3461">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2633</v>
      </c>
      <c r="G74" s="2740"/>
      <c r="N74" s="2740"/>
      <c r="S74" s="2740"/>
    </row>
    <row r="75" spans="1:26" s="2739" customFormat="1">
      <c r="A75" s="2739" t="s">
        <v>2634</v>
      </c>
      <c r="G75" s="2740"/>
      <c r="N75" s="2740"/>
      <c r="S75" s="2740"/>
    </row>
    <row r="76" spans="1:26" s="2739" customFormat="1">
      <c r="A76" s="2739" t="s">
        <v>2635</v>
      </c>
      <c r="G76" s="2740"/>
      <c r="I76" s="2741"/>
      <c r="J76" s="2741"/>
      <c r="K76" s="2741"/>
      <c r="L76" s="2741"/>
      <c r="N76" s="2742"/>
      <c r="O76" s="2741"/>
      <c r="P76" s="2741"/>
      <c r="Q76" s="2741"/>
      <c r="S76" s="2742"/>
      <c r="T76" s="2741"/>
      <c r="U76" s="2741"/>
      <c r="V76" s="2741"/>
    </row>
    <row r="77" spans="1:26" s="2739" customFormat="1">
      <c r="A77" s="2739" t="s">
        <v>2636</v>
      </c>
      <c r="G77" s="2740"/>
      <c r="N77" s="2740"/>
      <c r="S77" s="2740"/>
    </row>
    <row r="84" spans="7:22" ht="13.5" thickBot="1"/>
    <row r="85" spans="7:22">
      <c r="G85" s="2665"/>
      <c r="S85" s="2743" t="s">
        <v>2637</v>
      </c>
      <c r="T85" s="2744" t="s">
        <v>2638</v>
      </c>
      <c r="U85" s="2744" t="s">
        <v>2639</v>
      </c>
      <c r="V85" s="2744" t="s">
        <v>2640</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6" t="s">
        <v>952</v>
      </c>
      <c r="E1" s="2389" t="s">
        <v>2376</v>
      </c>
      <c r="F1" s="2390">
        <f ca="1">J53</f>
        <v>0</v>
      </c>
      <c r="G1" s="774">
        <f>MATCH(C1,'数据-取费表'!A6:A16,0)+5</f>
        <v>9</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0</v>
      </c>
      <c r="D5" s="2498" t="s">
        <v>2463</v>
      </c>
      <c r="E5" s="2492"/>
      <c r="F5" s="2493"/>
      <c r="G5" s="1593"/>
      <c r="H5" s="781">
        <v>1</v>
      </c>
      <c r="I5" s="782" t="s">
        <v>2460</v>
      </c>
      <c r="J5" s="55">
        <f ca="1">J6+J10+J12</f>
        <v>0</v>
      </c>
      <c r="K5" s="2498" t="s">
        <v>2463</v>
      </c>
      <c r="L5" s="2492"/>
      <c r="M5" s="2493"/>
    </row>
    <row r="6" spans="1:33" ht="18" customHeight="1">
      <c r="A6" s="1832" t="s">
        <v>1825</v>
      </c>
      <c r="B6" s="3453" t="s">
        <v>2465</v>
      </c>
      <c r="C6" s="783">
        <f ca="1">ROUND(F6*F8*F7*(1-F9)/10000,0)</f>
        <v>0</v>
      </c>
      <c r="D6" s="2499" t="s">
        <v>2464</v>
      </c>
      <c r="E6" s="784" t="s">
        <v>1739</v>
      </c>
      <c r="F6" s="785">
        <f ca="1">INDIRECT("'数据-取费表'!u"&amp;$G$1)</f>
        <v>0</v>
      </c>
      <c r="G6" s="1593"/>
      <c r="H6" s="2506" t="s">
        <v>2470</v>
      </c>
      <c r="I6" s="3453" t="s">
        <v>2465</v>
      </c>
      <c r="J6" s="783">
        <f ca="1">ROUND(M6*M8*M7*(1-M9)/10000,0)</f>
        <v>0</v>
      </c>
      <c r="K6" s="341" t="s">
        <v>1738</v>
      </c>
      <c r="L6" s="784" t="s">
        <v>1739</v>
      </c>
      <c r="M6" s="785">
        <f ca="1">INDIRECT("'数据-取费表'!z"&amp;$G$1)</f>
        <v>0</v>
      </c>
    </row>
    <row r="7" spans="1:33" ht="18" customHeight="1">
      <c r="A7" s="2502"/>
      <c r="B7" s="3454"/>
      <c r="C7" s="788"/>
      <c r="D7" s="789"/>
      <c r="E7" s="784" t="s">
        <v>1740</v>
      </c>
      <c r="F7" s="785">
        <f ca="1">IF(INDIRECT("'数据-取费表'!ah"&amp;$G$1)="",INDIRECT("'数据-取费表'!k"&amp;$G$1),INDIRECT("'数据-取费表'!ah"&amp;$G$1))</f>
        <v>0</v>
      </c>
      <c r="G7" s="1593"/>
      <c r="H7" s="2491"/>
      <c r="I7" s="3454"/>
      <c r="J7" s="788"/>
      <c r="K7" s="789"/>
      <c r="L7" s="784" t="s">
        <v>1740</v>
      </c>
      <c r="M7" s="785">
        <f ca="1">F7</f>
        <v>0</v>
      </c>
    </row>
    <row r="8" spans="1:33" ht="18" customHeight="1">
      <c r="A8" s="2495"/>
      <c r="B8" s="3455"/>
      <c r="C8" s="788"/>
      <c r="D8" s="789"/>
      <c r="E8" s="784" t="s">
        <v>1741</v>
      </c>
      <c r="F8" s="785">
        <f ca="1">INDIRECT("'数据-取费表'!ai"&amp;$G$1)</f>
        <v>0</v>
      </c>
      <c r="G8" s="1593"/>
      <c r="H8" s="2491"/>
      <c r="I8" s="3455"/>
      <c r="J8" s="788"/>
      <c r="K8" s="789"/>
      <c r="L8" s="784" t="s">
        <v>1741</v>
      </c>
      <c r="M8" s="785">
        <f ca="1">INDIRECT("'数据-取费表'!ai"&amp;$G$1)</f>
        <v>0</v>
      </c>
    </row>
    <row r="9" spans="1:33" ht="18" customHeight="1">
      <c r="A9" s="786"/>
      <c r="B9" s="3456"/>
      <c r="C9" s="788"/>
      <c r="D9" s="789"/>
      <c r="E9" s="784" t="s">
        <v>1742</v>
      </c>
      <c r="F9" s="794">
        <f ca="1">INDIRECT("'数据-取费表'!w"&amp;$G$1)</f>
        <v>0</v>
      </c>
      <c r="G9" s="1593"/>
      <c r="H9" s="2507"/>
      <c r="I9" s="3455"/>
      <c r="J9" s="788"/>
      <c r="K9" s="789"/>
      <c r="L9" s="795" t="s">
        <v>1742</v>
      </c>
      <c r="M9" s="796">
        <f ca="1">INDIRECT("'数据-取费表'!ab"&amp;$G$1)</f>
        <v>0</v>
      </c>
    </row>
    <row r="10" spans="1:33" ht="18" customHeight="1">
      <c r="A10" s="1832" t="s">
        <v>2468</v>
      </c>
      <c r="B10" s="2496" t="s">
        <v>2461</v>
      </c>
      <c r="C10" s="799">
        <f ca="1">ROUND(IF(F10="押一",C6/12*F11,IF(F10="押二",C6/12*2*F11,IF(F10="押三",C6/12*3*F11,C11*F11))),0)</f>
        <v>0</v>
      </c>
      <c r="D10" s="2503" t="s">
        <v>2977</v>
      </c>
      <c r="E10" s="2500" t="s">
        <v>2466</v>
      </c>
      <c r="F10" s="2623"/>
      <c r="G10" s="1593"/>
      <c r="H10" s="2563" t="s">
        <v>2471</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1743</v>
      </c>
      <c r="C13" s="792">
        <f ca="1">ROUND(C29*F13,0)</f>
        <v>0</v>
      </c>
      <c r="D13" s="1836" t="s">
        <v>2299</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2827</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150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8</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2300</v>
      </c>
      <c r="E21" s="784" t="s">
        <v>1766</v>
      </c>
      <c r="F21" s="809">
        <f>'数据-取费表'!B38</f>
        <v>0.02</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2537</v>
      </c>
      <c r="C23" s="53">
        <f ca="1">ROUND(IF('数据-取费表'!B22&lt;=1,(C19+C20)*F24*F23/2,(C19+C20)*(POWER((1+F24),F23/2)-1)),0)</f>
        <v>0</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2823</v>
      </c>
      <c r="J25" s="792">
        <f ca="1">J5-J16</f>
        <v>0</v>
      </c>
      <c r="K25" s="2550" t="s">
        <v>1778</v>
      </c>
      <c r="L25" s="2551"/>
      <c r="M25" s="2552"/>
    </row>
    <row r="26" spans="1:33" ht="18" customHeight="1">
      <c r="A26" s="1649" t="s">
        <v>1832</v>
      </c>
      <c r="B26" s="784" t="s">
        <v>2440</v>
      </c>
      <c r="C26" s="53">
        <f ca="1">ROUND((C19+C20)*F26,0)</f>
        <v>0</v>
      </c>
      <c r="D26" s="812" t="s">
        <v>1779</v>
      </c>
      <c r="E26" s="795" t="s">
        <v>1780</v>
      </c>
      <c r="F26" s="794">
        <f ca="1">INDIRECT("'数据-取费表'!q"&amp;$G$1)</f>
        <v>0</v>
      </c>
      <c r="G26" s="1593"/>
      <c r="H26" s="2504" t="s">
        <v>1781</v>
      </c>
      <c r="I26" s="2234" t="s">
        <v>2828</v>
      </c>
      <c r="J26" s="783">
        <f ca="1">IF(J5&lt;&gt;0,ROUND(J25*(1-((1+M28)/(1+M26))^M27)/(M26-M28),0),0)</f>
        <v>0</v>
      </c>
      <c r="K26" s="814" t="s">
        <v>1782</v>
      </c>
      <c r="L26" s="784" t="s">
        <v>2421</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2301</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2302</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8</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1" t="s">
        <v>2823</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2303</v>
      </c>
      <c r="C40" s="783" t="e">
        <f ca="1">ROUND(C39*(1-((1+F42)/(1+F40))^F41)/(F40-F42),0)</f>
        <v>#DIV/0!</v>
      </c>
      <c r="D40" s="814" t="s">
        <v>1808</v>
      </c>
      <c r="E40" s="784" t="s">
        <v>2421</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2967</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#DIV/0!</v>
      </c>
      <c r="D46" s="2087"/>
      <c r="E46" s="2087"/>
      <c r="F46" s="2087"/>
      <c r="I46" s="2380" t="s">
        <v>2345</v>
      </c>
      <c r="J46" s="2381"/>
      <c r="K46" s="2382"/>
      <c r="L46" s="3161" t="e">
        <f ca="1">IF(OR(M47="住宅",D1="土地（套用方法）"),0,IF(L48&gt;J51,L60,J60))</f>
        <v>#DIV/0!</v>
      </c>
      <c r="O46" s="2396" t="s">
        <v>2412</v>
      </c>
      <c r="P46" s="1593"/>
      <c r="Q46" s="1605"/>
      <c r="R46" s="1593"/>
    </row>
    <row r="47" spans="1:18" s="2061" customFormat="1" ht="18" customHeight="1" thickBot="1">
      <c r="A47" s="2374">
        <v>1</v>
      </c>
      <c r="B47" s="2375" t="s">
        <v>635</v>
      </c>
      <c r="C47" s="2576">
        <f ca="1">C48+C52+C54</f>
        <v>0</v>
      </c>
      <c r="D47" s="2087"/>
      <c r="E47" s="2087"/>
      <c r="F47" s="2087"/>
      <c r="I47" s="3151" t="s">
        <v>2346</v>
      </c>
      <c r="J47" s="2383"/>
      <c r="K47" s="3158" t="s">
        <v>2351</v>
      </c>
      <c r="L47" s="3162">
        <f ca="1">INDIRECT("'数据-取费表'!d"&amp;$G$1)</f>
        <v>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127" t="s">
        <v>2347</v>
      </c>
      <c r="J48" s="2384"/>
      <c r="K48" s="3159" t="s">
        <v>2353</v>
      </c>
      <c r="L48" s="1910">
        <f ca="1">INDIRECT("'数据-取费表'!f"&amp;$G$1)</f>
        <v>0</v>
      </c>
      <c r="O48" s="2400" t="s">
        <v>2381</v>
      </c>
      <c r="P48" s="2401" t="s">
        <v>2407</v>
      </c>
      <c r="Q48" s="2402" t="e">
        <f ca="1">C40+J29</f>
        <v>#DIV/0!</v>
      </c>
      <c r="R48" s="2401" t="s">
        <v>2382</v>
      </c>
    </row>
    <row r="49" spans="1:18" s="2061" customFormat="1" ht="18" customHeight="1" thickBot="1">
      <c r="A49" s="786"/>
      <c r="B49" s="787"/>
      <c r="C49" s="788"/>
      <c r="D49" s="789"/>
      <c r="E49" s="784" t="s">
        <v>1740</v>
      </c>
      <c r="F49" s="785">
        <f ca="1">F7</f>
        <v>0</v>
      </c>
      <c r="G49" s="2092"/>
      <c r="H49" s="2095"/>
      <c r="I49" s="3127" t="s">
        <v>2348</v>
      </c>
      <c r="J49" s="2385"/>
      <c r="K49" s="3160" t="s">
        <v>2354</v>
      </c>
      <c r="L49" s="2386"/>
      <c r="O49" s="2400" t="s">
        <v>2383</v>
      </c>
      <c r="P49" s="2401" t="s">
        <v>2408</v>
      </c>
      <c r="Q49" s="2402" t="e">
        <f ca="1">J60</f>
        <v>#DIV/0!</v>
      </c>
      <c r="R49" s="2401" t="s">
        <v>2384</v>
      </c>
    </row>
    <row r="50" spans="1:18" s="2061" customFormat="1" ht="18" customHeight="1" thickBot="1">
      <c r="A50" s="786"/>
      <c r="B50" s="787"/>
      <c r="C50" s="788"/>
      <c r="D50" s="789"/>
      <c r="E50" s="784" t="s">
        <v>1741</v>
      </c>
      <c r="F50" s="785">
        <f ca="1">F8</f>
        <v>0</v>
      </c>
      <c r="G50" s="2097"/>
      <c r="H50" s="2095"/>
      <c r="I50" s="3127" t="s">
        <v>2349</v>
      </c>
      <c r="J50" s="3155">
        <f>SUMPRODUCT((I63:I65=J47)*(J62:L62=J48)*(J63:L65))</f>
        <v>0</v>
      </c>
      <c r="K50" s="3160" t="s">
        <v>2355</v>
      </c>
      <c r="L50" s="2386"/>
      <c r="O50" s="2403" t="s">
        <v>2385</v>
      </c>
      <c r="P50" s="2401" t="s">
        <v>2409</v>
      </c>
      <c r="Q50" s="2402">
        <f ca="1">C29</f>
        <v>0</v>
      </c>
      <c r="R50" s="2401" t="s">
        <v>2382</v>
      </c>
    </row>
    <row r="51" spans="1:18" s="2061" customFormat="1" ht="18" customHeight="1" thickBot="1">
      <c r="A51" s="786"/>
      <c r="B51" s="787"/>
      <c r="C51" s="788"/>
      <c r="D51" s="789"/>
      <c r="E51" s="784" t="s">
        <v>640</v>
      </c>
      <c r="F51" s="2373"/>
      <c r="H51" s="2095"/>
      <c r="I51" s="3152" t="s">
        <v>2350</v>
      </c>
      <c r="J51" s="3156">
        <f>IF(J49="",J50,J49+J50-YEAR('数据-取费表'!B2))</f>
        <v>0</v>
      </c>
      <c r="K51" s="3127" t="s">
        <v>2356</v>
      </c>
      <c r="L51" s="3163">
        <f ca="1">ROUND(-PV(INDIRECT("'数据-取费表'!h"&amp;$G$1),L48,(C39-C13*J36),0),0)</f>
        <v>0</v>
      </c>
      <c r="O51" s="2403" t="s">
        <v>2386</v>
      </c>
      <c r="P51" s="2401" t="s">
        <v>2387</v>
      </c>
      <c r="Q51" s="2404" t="e">
        <f ca="1">J58</f>
        <v>#DIV/0!</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3" t="s">
        <v>2423</v>
      </c>
      <c r="J52" s="2387"/>
      <c r="K52" s="3153" t="s">
        <v>2422</v>
      </c>
      <c r="L52" s="2387"/>
      <c r="O52" s="2403" t="s">
        <v>2388</v>
      </c>
      <c r="P52" s="2401" t="s">
        <v>2389</v>
      </c>
      <c r="Q52" s="2404">
        <f>J52</f>
        <v>0</v>
      </c>
      <c r="R52" s="2405"/>
    </row>
    <row r="53" spans="1:18" s="2061" customFormat="1" ht="39.75" customHeight="1" thickBot="1">
      <c r="A53" s="786"/>
      <c r="B53" s="2497" t="s">
        <v>2575</v>
      </c>
      <c r="C53" s="2501"/>
      <c r="D53" s="2503"/>
      <c r="E53" s="2500"/>
      <c r="F53" s="800"/>
      <c r="I53" s="3154" t="s">
        <v>2982</v>
      </c>
      <c r="J53" s="3157">
        <f ca="1">IF(M47="住宅",IF(D1="——",MAX(J51,L48),MAX(J51,L48-'数据-取费表'!B20)),IF(D1="——",MIN(J51,L48),MIN(J51,L48-'数据-取费表'!B20)))</f>
        <v>0</v>
      </c>
      <c r="K53" s="3469" t="s">
        <v>2969</v>
      </c>
      <c r="L53" s="3470"/>
      <c r="O53" s="2403" t="s">
        <v>2390</v>
      </c>
      <c r="P53" s="2401" t="s">
        <v>2391</v>
      </c>
      <c r="Q53" s="2402">
        <f ca="1">J53</f>
        <v>0</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2393</v>
      </c>
      <c r="P54" s="2401" t="s">
        <v>2410</v>
      </c>
      <c r="Q54" s="2402" t="e">
        <f ca="1">Q48+Q49</f>
        <v>#DIV/0!</v>
      </c>
      <c r="R54" s="2405" t="s">
        <v>2394</v>
      </c>
    </row>
    <row r="55" spans="1:18" s="2061" customFormat="1" ht="18" customHeight="1" thickTop="1" thickBot="1">
      <c r="A55" s="797">
        <v>2</v>
      </c>
      <c r="B55" s="798" t="s">
        <v>644</v>
      </c>
      <c r="C55" s="799">
        <f ca="1">C13</f>
        <v>0</v>
      </c>
      <c r="D55" s="795"/>
      <c r="E55" s="795"/>
      <c r="F55" s="800"/>
      <c r="I55" s="3166" t="s">
        <v>2357</v>
      </c>
      <c r="J55" s="3102" t="e">
        <f ca="1">ROUND(IF(J47="钢混",J57/J50,1-(1-2%)*(J50-J57)/J50),3)</f>
        <v>#DIV/0!</v>
      </c>
      <c r="K55" s="3167" t="s">
        <v>2358</v>
      </c>
      <c r="L55" s="2388"/>
      <c r="O55" s="2406" t="s">
        <v>2413</v>
      </c>
      <c r="P55" s="1593"/>
      <c r="Q55" s="1605"/>
      <c r="R55" s="1593"/>
    </row>
    <row r="56" spans="1:18" s="2061" customFormat="1" ht="42.75" customHeight="1" thickBot="1">
      <c r="A56" s="1651"/>
      <c r="B56" s="2233" t="s">
        <v>2304</v>
      </c>
      <c r="C56" s="53">
        <f ca="1">C29</f>
        <v>0</v>
      </c>
      <c r="D56" s="2641"/>
      <c r="E56" s="784"/>
      <c r="F56" s="809"/>
      <c r="I56" s="3168" t="s">
        <v>2359</v>
      </c>
      <c r="J56" s="3178"/>
      <c r="K56" s="3127" t="s">
        <v>2364</v>
      </c>
      <c r="L56" s="1910">
        <f ca="1">IF(L48&lt;J51,"——",L48-J51)</f>
        <v>0</v>
      </c>
      <c r="O56" s="2397" t="s">
        <v>2377</v>
      </c>
      <c r="P56" s="2398" t="s">
        <v>2378</v>
      </c>
      <c r="Q56" s="2399" t="s">
        <v>2379</v>
      </c>
      <c r="R56" s="2398" t="s">
        <v>2380</v>
      </c>
    </row>
    <row r="57" spans="1:18" s="2061" customFormat="1" ht="28.5" customHeight="1" thickBot="1">
      <c r="A57" s="797" t="s">
        <v>1749</v>
      </c>
      <c r="B57" s="798" t="s">
        <v>651</v>
      </c>
      <c r="C57" s="799">
        <f ca="1">ROUND(C58+C63+C64+C65,0)</f>
        <v>0</v>
      </c>
      <c r="D57" s="26" t="s">
        <v>1751</v>
      </c>
      <c r="E57" s="2642"/>
      <c r="F57" s="56"/>
      <c r="I57" s="3169" t="s">
        <v>2360</v>
      </c>
      <c r="J57" s="3170">
        <f ca="1">IF(OR(M47="住宅",J51&lt;L48,J56="是"),"——",J51-L48)</f>
        <v>0</v>
      </c>
      <c r="K57" s="3127" t="s">
        <v>2365</v>
      </c>
      <c r="L57" s="1910">
        <f ca="1">IF(L48&lt;J51,"——",IF(L55="比较法",L49,IF(L55="基准地价",L50,L51)))</f>
        <v>0</v>
      </c>
      <c r="O57" s="2400" t="s">
        <v>2381</v>
      </c>
      <c r="P57" s="2401" t="s">
        <v>2411</v>
      </c>
      <c r="Q57" s="2402" t="e">
        <f ca="1">C40+J29</f>
        <v>#DIV/0!</v>
      </c>
      <c r="R57" s="2401" t="s">
        <v>2382</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69" t="s">
        <v>2361</v>
      </c>
      <c r="J58" s="3103" t="e">
        <f ca="1">IF(J55&lt;0.4,0.4,J55)</f>
        <v>#DIV/0!</v>
      </c>
      <c r="K58" s="3127" t="s">
        <v>2366</v>
      </c>
      <c r="L58" s="1910" t="e">
        <f ca="1">ROUND(POWER(1+L52,L47-L48)*(POWER(1+L52,L48)-1)/(POWER(1+L52,L47)-1),4)</f>
        <v>#DIV/0!</v>
      </c>
      <c r="O58" s="2400" t="s">
        <v>2383</v>
      </c>
      <c r="P58" s="2401" t="s">
        <v>2414</v>
      </c>
      <c r="Q58" s="2402" t="e">
        <f ca="1">L60</f>
        <v>#DIV/0!</v>
      </c>
      <c r="R58" s="2405" t="s">
        <v>2416</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69" t="s">
        <v>2362</v>
      </c>
      <c r="J59" s="3170" t="e">
        <f ca="1">IF(OR(M47="住宅",J51&lt;L48,J56="是"),"——",ROUND(C29*J58,0))</f>
        <v>#DIV/0!</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1" t="s">
        <v>2363</v>
      </c>
      <c r="J60" s="3172" t="e">
        <f ca="1">IF(OR(M47="住宅",J51&lt;L48,J56="是"),"0",ROUND(J59/(1+J52)^J53,0))</f>
        <v>#DIV/0!</v>
      </c>
      <c r="K60" s="3173" t="s">
        <v>2368</v>
      </c>
      <c r="L60" s="3172" t="e">
        <f ca="1">IF(OR(M47="住宅",L48&lt;J51),0,ROUND(L57*(L58/L59-1),0))</f>
        <v>#DIV/0!</v>
      </c>
      <c r="O60" s="2403" t="s">
        <v>2386</v>
      </c>
      <c r="P60" s="2401" t="s">
        <v>2395</v>
      </c>
      <c r="Q60" s="2404">
        <f>L52</f>
        <v>0</v>
      </c>
      <c r="R60" s="2405"/>
    </row>
    <row r="61" spans="1:18" s="2061" customFormat="1" ht="18" customHeight="1" thickBot="1">
      <c r="A61" s="1652" t="s">
        <v>1834</v>
      </c>
      <c r="B61" s="341" t="s">
        <v>668</v>
      </c>
      <c r="C61" s="54">
        <f ca="1">ROUND(F61*F62/10000,1)</f>
        <v>0</v>
      </c>
      <c r="D61" s="814" t="s">
        <v>669</v>
      </c>
      <c r="E61" s="784" t="s">
        <v>670</v>
      </c>
      <c r="F61" s="640">
        <f t="shared" si="0"/>
        <v>8</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0</v>
      </c>
      <c r="I62" s="3174" t="s">
        <v>2369</v>
      </c>
      <c r="J62" s="3175" t="s">
        <v>2370</v>
      </c>
      <c r="K62" s="3175" t="s">
        <v>2371</v>
      </c>
      <c r="L62" s="3175" t="s">
        <v>2352</v>
      </c>
      <c r="M62" s="3176" t="s">
        <v>2945</v>
      </c>
      <c r="O62" s="2403" t="s">
        <v>2390</v>
      </c>
      <c r="P62" s="2401" t="str">
        <f>K59</f>
        <v>建筑物剩余耐用年限下的土地年期修正系数Kn</v>
      </c>
      <c r="Q62" s="2402" t="e">
        <f ca="1">L59</f>
        <v>#DIV/0!</v>
      </c>
      <c r="R62" s="2405" t="s">
        <v>2399</v>
      </c>
    </row>
    <row r="63" spans="1:18" s="2061" customFormat="1" ht="15.75" thickBot="1">
      <c r="A63" s="1650" t="s">
        <v>1890</v>
      </c>
      <c r="B63" s="784" t="s">
        <v>676</v>
      </c>
      <c r="C63" s="53">
        <f ca="1">ROUND(C56*F63,1)</f>
        <v>0</v>
      </c>
      <c r="D63" s="2641" t="s">
        <v>1804</v>
      </c>
      <c r="E63" s="784" t="s">
        <v>1748</v>
      </c>
      <c r="F63" s="817">
        <f t="shared" ca="1" si="0"/>
        <v>0</v>
      </c>
      <c r="I63" s="3174" t="s">
        <v>2372</v>
      </c>
      <c r="J63" s="3175">
        <v>70</v>
      </c>
      <c r="K63" s="3175">
        <v>50</v>
      </c>
      <c r="L63" s="3175">
        <v>80</v>
      </c>
      <c r="M63" s="3177">
        <v>0.02</v>
      </c>
      <c r="O63" s="2400" t="s">
        <v>2393</v>
      </c>
      <c r="P63" s="2401" t="s">
        <v>2410</v>
      </c>
      <c r="Q63" s="2402" t="e">
        <f ca="1">Q57+Q58</f>
        <v>#DIV/0!</v>
      </c>
      <c r="R63" s="2405" t="s">
        <v>2394</v>
      </c>
    </row>
    <row r="64" spans="1:18" s="2061" customFormat="1" ht="16.5" thickBot="1">
      <c r="A64" s="1650" t="s">
        <v>1891</v>
      </c>
      <c r="B64" s="784" t="s">
        <v>679</v>
      </c>
      <c r="C64" s="53">
        <f ca="1">ROUND(C55*F64,1)</f>
        <v>0</v>
      </c>
      <c r="D64" s="2641" t="s">
        <v>680</v>
      </c>
      <c r="E64" s="784" t="s">
        <v>1748</v>
      </c>
      <c r="F64" s="818">
        <f t="shared" ca="1" si="0"/>
        <v>0</v>
      </c>
      <c r="I64" s="3174" t="s">
        <v>2373</v>
      </c>
      <c r="J64" s="3175">
        <v>50</v>
      </c>
      <c r="K64" s="3175">
        <v>35</v>
      </c>
      <c r="L64" s="3175">
        <v>60</v>
      </c>
      <c r="M64" s="846">
        <v>0</v>
      </c>
      <c r="O64" s="2406" t="s">
        <v>2417</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4" t="s">
        <v>2374</v>
      </c>
      <c r="J65" s="3175">
        <v>40</v>
      </c>
      <c r="K65" s="3175">
        <v>30</v>
      </c>
      <c r="L65" s="3175">
        <v>50</v>
      </c>
      <c r="M65" s="3177">
        <v>0.02</v>
      </c>
      <c r="O65" s="2397" t="s">
        <v>2377</v>
      </c>
      <c r="P65" s="2398" t="s">
        <v>2378</v>
      </c>
      <c r="Q65" s="2399" t="s">
        <v>2379</v>
      </c>
      <c r="R65" s="2398" t="s">
        <v>2380</v>
      </c>
    </row>
    <row r="66" spans="1:18" s="2061" customFormat="1" ht="24.75" thickBot="1">
      <c r="A66" s="797" t="s">
        <v>1777</v>
      </c>
      <c r="B66" s="3012" t="s">
        <v>2823</v>
      </c>
      <c r="C66" s="799">
        <f ca="1">C47-C57</f>
        <v>0</v>
      </c>
      <c r="D66" s="2640" t="s">
        <v>700</v>
      </c>
      <c r="E66" s="2639"/>
      <c r="F66" s="820"/>
      <c r="K66" s="2088"/>
      <c r="O66" s="2400" t="s">
        <v>2381</v>
      </c>
      <c r="P66" s="2401" t="s">
        <v>2411</v>
      </c>
      <c r="Q66" s="2402" t="e">
        <f ca="1">C40+J29</f>
        <v>#DIV/0!</v>
      </c>
      <c r="R66" s="2401" t="s">
        <v>2382</v>
      </c>
    </row>
    <row r="67" spans="1:18" s="2061" customFormat="1" ht="20.25" thickBot="1">
      <c r="A67" s="781" t="s">
        <v>1781</v>
      </c>
      <c r="B67" s="2234" t="s">
        <v>2303</v>
      </c>
      <c r="C67" s="783" t="e">
        <f ca="1">ROUND(C66*(1-((1+F69)/(1+F67))^F68)/(F67-F69),0)</f>
        <v>#DIV/0!</v>
      </c>
      <c r="D67" s="814" t="s">
        <v>704</v>
      </c>
      <c r="E67" s="784" t="s">
        <v>705</v>
      </c>
      <c r="F67" s="794">
        <f ca="1">F40</f>
        <v>0</v>
      </c>
      <c r="K67" s="2088"/>
      <c r="O67" s="2400" t="s">
        <v>2383</v>
      </c>
      <c r="P67" s="2401" t="s">
        <v>2414</v>
      </c>
      <c r="Q67" s="2402" t="e">
        <f ca="1">L60</f>
        <v>#DIV/0!</v>
      </c>
      <c r="R67" s="2405" t="s">
        <v>2416</v>
      </c>
    </row>
    <row r="68" spans="1:18" ht="21.75" thickBot="1">
      <c r="A68" s="786"/>
      <c r="B68" s="787"/>
      <c r="C68" s="788"/>
      <c r="D68" s="821" t="s">
        <v>1809</v>
      </c>
      <c r="E68" s="784" t="s">
        <v>1785</v>
      </c>
      <c r="F68" s="822">
        <f ca="1">F41</f>
        <v>0</v>
      </c>
      <c r="O68" s="2403" t="s">
        <v>2385</v>
      </c>
      <c r="P68" s="2401" t="s">
        <v>2415</v>
      </c>
      <c r="Q68" s="2407">
        <f ca="1">L51</f>
        <v>0</v>
      </c>
      <c r="R68" s="2408" t="s">
        <v>2418</v>
      </c>
    </row>
    <row r="69" spans="1:18" ht="20.25" thickBot="1">
      <c r="A69" s="790"/>
      <c r="B69" s="791"/>
      <c r="C69" s="792"/>
      <c r="D69" s="816"/>
      <c r="E69" s="784" t="s">
        <v>710</v>
      </c>
      <c r="F69" s="2373"/>
      <c r="O69" s="2403" t="s">
        <v>2386</v>
      </c>
      <c r="P69" s="2409" t="s">
        <v>2400</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2401</v>
      </c>
      <c r="P70" s="2409" t="s">
        <v>2402</v>
      </c>
      <c r="Q70" s="2402">
        <f ca="1">C39</f>
        <v>0</v>
      </c>
      <c r="R70" s="2401" t="s">
        <v>2382</v>
      </c>
    </row>
    <row r="71" spans="1:18" ht="15.75" thickBot="1">
      <c r="O71" s="2403" t="s">
        <v>2403</v>
      </c>
      <c r="P71" s="2409" t="s">
        <v>2404</v>
      </c>
      <c r="Q71" s="2402">
        <f ca="1">C13</f>
        <v>0</v>
      </c>
      <c r="R71" s="2401" t="s">
        <v>2382</v>
      </c>
    </row>
    <row r="72" spans="1:18" ht="15.75" thickBot="1">
      <c r="O72" s="2403" t="s">
        <v>2405</v>
      </c>
      <c r="P72" s="2409" t="s">
        <v>2406</v>
      </c>
      <c r="Q72" s="2404">
        <f ca="1">J36</f>
        <v>0</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建筑物剩余耐用年限下的土地年期修正系数Kn</v>
      </c>
      <c r="Q75" s="2402" t="e">
        <f ca="1">L59</f>
        <v>#DIV/0!</v>
      </c>
      <c r="R75" s="2405" t="s">
        <v>2399</v>
      </c>
    </row>
    <row r="76" spans="1:18" ht="15.75" thickBot="1">
      <c r="O76" s="2400" t="s">
        <v>2393</v>
      </c>
      <c r="P76" s="2401" t="s">
        <v>2410</v>
      </c>
      <c r="Q76" s="2402" t="e">
        <f ca="1">Q66+Q67</f>
        <v>#DIV/0!</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受贵公司委托，我公司对广东省河源市出让国有建设用地使用权抵押价格进行了预评估。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河源市出让国有建设用地使用权。根据《国有土地使用证》[]，估价对象（分摊）出让国有建设用地使用权面积为47310.04平方米。根据《建设工程规划许可证》[]、《出让合同》[]，估价对象规划建筑面积为150957.27平方米。</v>
      </c>
    </row>
    <row r="7" spans="1:4" ht="56.25">
      <c r="A7" s="1797" t="s">
        <v>2748</v>
      </c>
    </row>
    <row r="8" spans="1:4" ht="18.75">
      <c r="A8" s="1796" t="s">
        <v>1907</v>
      </c>
    </row>
    <row r="9" spans="1:4" ht="75">
      <c r="A9" s="1798" t="str">
        <f>IF(项目基本情况!B8="抵押",IF(项目基本情况!B5=项目基本情况!B6,定义!C51,定义!B51),定义!D51)</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2018年7月24日（评估专业人员勘察现场之日）</v>
      </c>
    </row>
    <row r="12" spans="1:4" ht="18.75">
      <c r="A12" s="1799" t="s">
        <v>2027</v>
      </c>
    </row>
    <row r="13" spans="1:4" ht="18.75">
      <c r="A13" s="1793" t="s">
        <v>2944</v>
      </c>
    </row>
    <row r="14" spans="1:4" ht="37.5">
      <c r="A14" s="1793" t="str">
        <f>"根据"&amp;项目基本情况!F12&amp;"，本次评估估价对象证载（地类）用途为"&amp;项目基本情况!B12&amp;"。"</f>
        <v>根据《国有土地使用证》[粤（2017）河源市不动产权第0038838号]，本次评估估价对象证载（地类）用途为住宅、商服。</v>
      </c>
      <c r="C14" s="1783"/>
      <c r="D14" s="1784"/>
    </row>
    <row r="15" spans="1:4" ht="93.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根据《国有土地使用证》[]，估价对象（分摊）出让国有建设用地使用权面积为47310.04平方米。根据《建设工程规划许可证》[]、《出让合同》[]，估价对象规划建筑面积为150957.27平方米。</v>
      </c>
    </row>
    <row r="21" spans="1:1" ht="18.75">
      <c r="A21" s="1793" t="s">
        <v>2076</v>
      </c>
    </row>
    <row r="22" spans="1:1" ht="11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粤（2017）河源市不动产权第0038838号]、《国有建设用地使用权出让合同》[]及附件、《北京市规划委员会关于同意XX项目的规划设计方案的规划意见复函》[]以及《建设工程规划许可证》[]，土地终止日期为住宅2084年12月31日、商业2054年12月31日地下车库2064年12月31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2473</v>
      </c>
      <c r="B1" s="3472"/>
      <c r="C1" s="3473"/>
      <c r="D1" s="3474">
        <f>SUM(I10,I15,I20,I21,I23)</f>
        <v>0</v>
      </c>
      <c r="E1" s="3474"/>
      <c r="F1" s="3474"/>
      <c r="G1" s="3474"/>
      <c r="H1" s="3474"/>
      <c r="I1" s="3475"/>
    </row>
    <row r="2" spans="1:9">
      <c r="A2" s="3476" t="s">
        <v>2474</v>
      </c>
      <c r="B2" s="3477" t="s">
        <v>2475</v>
      </c>
      <c r="C2" s="3477"/>
      <c r="D2" s="2509" t="s">
        <v>2476</v>
      </c>
      <c r="E2" s="2509" t="s">
        <v>2477</v>
      </c>
      <c r="F2" s="2509" t="s">
        <v>2478</v>
      </c>
      <c r="G2" s="2509" t="s">
        <v>2479</v>
      </c>
      <c r="H2" s="2509" t="s">
        <v>2480</v>
      </c>
      <c r="I2" s="2510" t="s">
        <v>2481</v>
      </c>
    </row>
    <row r="3" spans="1:9">
      <c r="A3" s="3476"/>
      <c r="B3" s="3477" t="s">
        <v>2482</v>
      </c>
      <c r="C3" s="3477"/>
      <c r="D3" s="2511"/>
      <c r="E3" s="2509"/>
      <c r="F3" s="2512"/>
      <c r="G3" s="2512"/>
      <c r="H3" s="2513"/>
      <c r="I3" s="2514">
        <f>ROUND(D3*E3*F3*G3*H3/10000,0)</f>
        <v>0</v>
      </c>
    </row>
    <row r="4" spans="1:9">
      <c r="A4" s="3476"/>
      <c r="B4" s="3477" t="s">
        <v>2483</v>
      </c>
      <c r="C4" s="3477"/>
      <c r="D4" s="2511"/>
      <c r="E4" s="2509"/>
      <c r="F4" s="2512"/>
      <c r="G4" s="2512"/>
      <c r="H4" s="2513"/>
      <c r="I4" s="2514">
        <f t="shared" ref="I4:I9" si="0">ROUND(D4*E4*F4*G4*H4/10000,0)</f>
        <v>0</v>
      </c>
    </row>
    <row r="5" spans="1:9">
      <c r="A5" s="3476"/>
      <c r="B5" s="3477" t="s">
        <v>2484</v>
      </c>
      <c r="C5" s="3477"/>
      <c r="D5" s="2511"/>
      <c r="E5" s="2509"/>
      <c r="F5" s="2512"/>
      <c r="G5" s="2512"/>
      <c r="H5" s="2513"/>
      <c r="I5" s="2514">
        <f t="shared" si="0"/>
        <v>0</v>
      </c>
    </row>
    <row r="6" spans="1:9">
      <c r="A6" s="3476"/>
      <c r="B6" s="3477" t="s">
        <v>2485</v>
      </c>
      <c r="C6" s="3477"/>
      <c r="D6" s="2511"/>
      <c r="E6" s="2509"/>
      <c r="F6" s="2512"/>
      <c r="G6" s="2512"/>
      <c r="H6" s="2513"/>
      <c r="I6" s="2514">
        <f t="shared" si="0"/>
        <v>0</v>
      </c>
    </row>
    <row r="7" spans="1:9">
      <c r="A7" s="3476"/>
      <c r="B7" s="3477" t="s">
        <v>2486</v>
      </c>
      <c r="C7" s="3477"/>
      <c r="D7" s="2511"/>
      <c r="E7" s="2509"/>
      <c r="F7" s="2512"/>
      <c r="G7" s="2512"/>
      <c r="H7" s="2513"/>
      <c r="I7" s="2514">
        <f t="shared" si="0"/>
        <v>0</v>
      </c>
    </row>
    <row r="8" spans="1:9">
      <c r="A8" s="3476"/>
      <c r="B8" s="3477" t="s">
        <v>2487</v>
      </c>
      <c r="C8" s="3477"/>
      <c r="D8" s="2511"/>
      <c r="E8" s="2509"/>
      <c r="F8" s="2512"/>
      <c r="G8" s="2512"/>
      <c r="H8" s="2513"/>
      <c r="I8" s="2514">
        <f t="shared" si="0"/>
        <v>0</v>
      </c>
    </row>
    <row r="9" spans="1:9">
      <c r="A9" s="3476"/>
      <c r="B9" s="3477" t="s">
        <v>2488</v>
      </c>
      <c r="C9" s="3477"/>
      <c r="D9" s="2511"/>
      <c r="E9" s="2509"/>
      <c r="F9" s="2512"/>
      <c r="G9" s="2512"/>
      <c r="H9" s="2513"/>
      <c r="I9" s="2514">
        <f t="shared" si="0"/>
        <v>0</v>
      </c>
    </row>
    <row r="10" spans="1:9">
      <c r="A10" s="3476"/>
      <c r="B10" s="3478" t="s">
        <v>2489</v>
      </c>
      <c r="C10" s="3478"/>
      <c r="D10" s="2515">
        <v>527</v>
      </c>
      <c r="E10" s="2515" t="e">
        <f>ROUND(D1*10000/D10/H9,0)</f>
        <v>#DIV/0!</v>
      </c>
      <c r="F10" s="2516"/>
      <c r="G10" s="2516"/>
      <c r="H10" s="2517"/>
      <c r="I10" s="2518">
        <f>SUM(I3:I9)</f>
        <v>0</v>
      </c>
    </row>
    <row r="11" spans="1:9" ht="14.25">
      <c r="A11" s="3476" t="s">
        <v>2490</v>
      </c>
      <c r="B11" s="3477" t="s">
        <v>2491</v>
      </c>
      <c r="C11" s="3477"/>
      <c r="D11" s="2511" t="s">
        <v>2492</v>
      </c>
      <c r="E11" s="2511" t="s">
        <v>2493</v>
      </c>
      <c r="F11" s="2512" t="s">
        <v>2494</v>
      </c>
      <c r="G11" s="2512" t="s">
        <v>2495</v>
      </c>
      <c r="H11" s="2519" t="s">
        <v>2496</v>
      </c>
      <c r="I11" s="2510" t="s">
        <v>2497</v>
      </c>
    </row>
    <row r="12" spans="1:9">
      <c r="A12" s="3476"/>
      <c r="B12" s="3477" t="s">
        <v>2498</v>
      </c>
      <c r="C12" s="3477"/>
      <c r="D12" s="2511"/>
      <c r="E12" s="2511"/>
      <c r="F12" s="2512"/>
      <c r="G12" s="2513"/>
      <c r="H12" s="2520"/>
      <c r="I12" s="2510">
        <f>ROUND(D12*E12*F12*G12/10000,0)</f>
        <v>0</v>
      </c>
    </row>
    <row r="13" spans="1:9">
      <c r="A13" s="3476"/>
      <c r="B13" s="3477" t="s">
        <v>2499</v>
      </c>
      <c r="C13" s="3477"/>
      <c r="D13" s="2511"/>
      <c r="E13" s="2511"/>
      <c r="F13" s="2512"/>
      <c r="G13" s="2513"/>
      <c r="H13" s="2520"/>
      <c r="I13" s="2510">
        <f>ROUND(D13*E13*F13*G13/10000,0)</f>
        <v>0</v>
      </c>
    </row>
    <row r="14" spans="1:9">
      <c r="A14" s="3476"/>
      <c r="B14" s="3477" t="s">
        <v>2500</v>
      </c>
      <c r="C14" s="3477"/>
      <c r="D14" s="2511"/>
      <c r="E14" s="2511"/>
      <c r="F14" s="2512"/>
      <c r="G14" s="2513"/>
      <c r="H14" s="2520"/>
      <c r="I14" s="2510">
        <f>ROUND(D14*E14*F14*G14/10000,0)</f>
        <v>0</v>
      </c>
    </row>
    <row r="15" spans="1:9">
      <c r="A15" s="3476"/>
      <c r="B15" s="3478" t="s">
        <v>2489</v>
      </c>
      <c r="C15" s="3478"/>
      <c r="D15" s="2515"/>
      <c r="E15" s="2515">
        <f>SUM(E12:E14)</f>
        <v>0</v>
      </c>
      <c r="F15" s="2516"/>
      <c r="G15" s="2513"/>
      <c r="H15" s="2520"/>
      <c r="I15" s="2521">
        <f>SUM(I12:I14)</f>
        <v>0</v>
      </c>
    </row>
    <row r="16" spans="1:9" ht="24">
      <c r="A16" s="3476" t="s">
        <v>2501</v>
      </c>
      <c r="B16" s="3477" t="s">
        <v>2502</v>
      </c>
      <c r="C16" s="3477"/>
      <c r="D16" s="2511" t="s">
        <v>2503</v>
      </c>
      <c r="E16" s="2522" t="s">
        <v>2504</v>
      </c>
      <c r="F16" s="2512" t="s">
        <v>2505</v>
      </c>
      <c r="G16" s="2513" t="s">
        <v>2495</v>
      </c>
      <c r="H16" s="2519" t="s">
        <v>2496</v>
      </c>
      <c r="I16" s="2510" t="s">
        <v>2497</v>
      </c>
    </row>
    <row r="17" spans="1:9" ht="14.25">
      <c r="A17" s="3476"/>
      <c r="B17" s="3477" t="s">
        <v>2506</v>
      </c>
      <c r="C17" s="3477"/>
      <c r="D17" s="2511"/>
      <c r="E17" s="2511"/>
      <c r="F17" s="2512"/>
      <c r="G17" s="2513"/>
      <c r="H17" s="2523"/>
      <c r="I17" s="2524">
        <f>ROUND(D17*E17*F17*G17/10000,0)</f>
        <v>0</v>
      </c>
    </row>
    <row r="18" spans="1:9" ht="14.25">
      <c r="A18" s="3476"/>
      <c r="B18" s="3477" t="s">
        <v>2507</v>
      </c>
      <c r="C18" s="3477"/>
      <c r="D18" s="2511"/>
      <c r="E18" s="2511"/>
      <c r="F18" s="2512"/>
      <c r="G18" s="2513"/>
      <c r="H18" s="2523"/>
      <c r="I18" s="2524">
        <f>ROUND(D18*E18*F18*G18/10000,0)</f>
        <v>0</v>
      </c>
    </row>
    <row r="19" spans="1:9" ht="14.25">
      <c r="A19" s="3476"/>
      <c r="B19" s="3477" t="s">
        <v>2508</v>
      </c>
      <c r="C19" s="3477"/>
      <c r="D19" s="2511"/>
      <c r="E19" s="2511"/>
      <c r="F19" s="2512"/>
      <c r="G19" s="2513"/>
      <c r="H19" s="2523"/>
      <c r="I19" s="2524">
        <f>ROUND(D19*E19*F19*G19/10000,0)</f>
        <v>0</v>
      </c>
    </row>
    <row r="20" spans="1:9">
      <c r="A20" s="3476"/>
      <c r="B20" s="3478" t="s">
        <v>2489</v>
      </c>
      <c r="C20" s="3478"/>
      <c r="D20" s="2515">
        <f>SUM(D17:D19)</f>
        <v>0</v>
      </c>
      <c r="E20" s="2515"/>
      <c r="F20" s="2516"/>
      <c r="G20" s="2513"/>
      <c r="H20" s="2520"/>
      <c r="I20" s="2521">
        <f>SUM(I17:I19)</f>
        <v>0</v>
      </c>
    </row>
    <row r="21" spans="1:9">
      <c r="A21" s="3476" t="s">
        <v>2509</v>
      </c>
      <c r="B21" s="3480"/>
      <c r="C21" s="3480"/>
      <c r="D21" s="3480"/>
      <c r="E21" s="3480"/>
      <c r="F21" s="3480"/>
      <c r="G21" s="3480"/>
      <c r="H21" s="2525">
        <v>0.1</v>
      </c>
      <c r="I21" s="2518">
        <f>ROUND(I10*H21,0)</f>
        <v>0</v>
      </c>
    </row>
    <row r="22" spans="1:9" ht="14.25">
      <c r="A22" s="3481" t="s">
        <v>2510</v>
      </c>
      <c r="B22" s="3482"/>
      <c r="C22" s="3483"/>
      <c r="D22" s="2526" t="s">
        <v>2511</v>
      </c>
      <c r="E22" s="2526" t="s">
        <v>2512</v>
      </c>
      <c r="F22" s="2527" t="s">
        <v>2513</v>
      </c>
      <c r="G22" s="2527" t="s">
        <v>2514</v>
      </c>
      <c r="H22" s="2519" t="s">
        <v>2515</v>
      </c>
      <c r="I22" s="2510" t="s">
        <v>2516</v>
      </c>
    </row>
    <row r="23" spans="1:9" ht="14.25" thickBot="1">
      <c r="A23" s="3484"/>
      <c r="B23" s="3485"/>
      <c r="C23" s="3486"/>
      <c r="D23" s="2528"/>
      <c r="E23" s="2528"/>
      <c r="F23" s="2528"/>
      <c r="G23" s="2529"/>
      <c r="H23" s="2530"/>
      <c r="I23" s="2531">
        <f>ROUND(E23*D23*F23*(1-G23)/10000,0)</f>
        <v>0</v>
      </c>
    </row>
    <row r="26" spans="1:9">
      <c r="A26" s="2532" t="s">
        <v>2517</v>
      </c>
      <c r="B26" s="2532"/>
      <c r="C26" s="2532"/>
      <c r="D26" s="2532"/>
      <c r="E26" s="3487">
        <f>C27-C30-C31-C32</f>
        <v>0</v>
      </c>
      <c r="F26" s="3487"/>
      <c r="G26" s="3487"/>
      <c r="H26" s="3044" t="s">
        <v>2844</v>
      </c>
    </row>
    <row r="27" spans="1:9">
      <c r="A27" s="2533">
        <v>1</v>
      </c>
      <c r="B27" s="2534" t="s">
        <v>2518</v>
      </c>
      <c r="C27" s="2534"/>
      <c r="D27" s="2534"/>
      <c r="E27" s="3488"/>
      <c r="F27" s="3488"/>
      <c r="G27" s="3488"/>
    </row>
    <row r="28" spans="1:9">
      <c r="A28" s="2535" t="s">
        <v>2519</v>
      </c>
      <c r="B28" s="2534" t="s">
        <v>2520</v>
      </c>
      <c r="C28" s="2534"/>
      <c r="D28" s="2534"/>
      <c r="E28" s="3488"/>
      <c r="F28" s="3488"/>
      <c r="G28" s="3488"/>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79"/>
      <c r="F32" s="3479"/>
      <c r="G32" s="3479"/>
    </row>
    <row r="33" spans="1:7" hidden="1">
      <c r="A33" s="3489" t="s">
        <v>2528</v>
      </c>
      <c r="B33" s="3490"/>
      <c r="C33" s="3490"/>
      <c r="D33" s="3491"/>
      <c r="E33" s="3487"/>
      <c r="F33" s="3487"/>
      <c r="G33" s="3487"/>
    </row>
    <row r="34" spans="1:7" hidden="1">
      <c r="A34" s="2537">
        <v>1</v>
      </c>
      <c r="B34" s="2534" t="s">
        <v>2529</v>
      </c>
      <c r="C34" s="2534"/>
      <c r="D34" s="2534"/>
      <c r="E34" s="3488"/>
      <c r="F34" s="3488"/>
      <c r="G34" s="3488"/>
    </row>
    <row r="35" spans="1:7" hidden="1">
      <c r="A35" s="2537">
        <v>2</v>
      </c>
      <c r="B35" s="2534" t="s">
        <v>2530</v>
      </c>
      <c r="C35" s="2534"/>
      <c r="D35" s="2534"/>
      <c r="E35" s="3488"/>
      <c r="F35" s="3488"/>
      <c r="G35" s="3488"/>
    </row>
    <row r="36" spans="1:7" hidden="1">
      <c r="A36" s="2537">
        <v>3</v>
      </c>
      <c r="B36" s="2534" t="s">
        <v>2531</v>
      </c>
      <c r="C36" s="2534"/>
      <c r="D36" s="2534"/>
      <c r="E36" s="3488"/>
      <c r="F36" s="3488"/>
      <c r="G36" s="3488"/>
    </row>
    <row r="37" spans="1:7" hidden="1">
      <c r="A37" s="2537">
        <v>4</v>
      </c>
      <c r="B37" s="2534" t="s">
        <v>2532</v>
      </c>
      <c r="C37" s="2534"/>
      <c r="D37" s="2534"/>
      <c r="E37" s="3488"/>
      <c r="F37" s="3488"/>
      <c r="G37" s="3488"/>
    </row>
    <row r="38" spans="1:7" hidden="1">
      <c r="A38" s="3489" t="s">
        <v>2533</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150957.27000000002</v>
      </c>
      <c r="E10" s="749">
        <f>'数据-取费表'!B31</f>
        <v>100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885</v>
      </c>
      <c r="D12" s="758">
        <f>'数据-汇总表'!E5</f>
        <v>100535.19</v>
      </c>
      <c r="E12" s="757">
        <f>'数据-取费表'!B27</f>
        <v>88</v>
      </c>
      <c r="F12" s="755"/>
      <c r="G12" s="759"/>
    </row>
    <row r="13" spans="1:25" s="2185" customFormat="1" ht="13.5" customHeight="1">
      <c r="A13" s="2478" t="s">
        <v>2449</v>
      </c>
      <c r="B13" s="756" t="s">
        <v>612</v>
      </c>
      <c r="C13" s="757">
        <f>ROUND(D13*E13/10000,0)</f>
        <v>252</v>
      </c>
      <c r="D13" s="758">
        <f>'数据-汇总表'!E6</f>
        <v>50422.080000000016</v>
      </c>
      <c r="E13" s="757">
        <f>'数据-取费表'!B28</f>
        <v>50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0.08</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0.93300000000000005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topLeftCell="A7" zoomScaleNormal="100" workbookViewId="0">
      <selection activeCell="D4" sqref="D4"/>
    </sheetView>
  </sheetViews>
  <sheetFormatPr defaultRowHeight="12.75"/>
  <cols>
    <col min="1" max="1" width="41.5" style="3185" customWidth="1"/>
    <col min="2" max="2" width="6.25" style="3185" customWidth="1"/>
    <col min="3" max="3" width="7.75" style="3185" customWidth="1"/>
    <col min="4" max="4" width="9.625" style="3185" customWidth="1"/>
    <col min="5" max="5" width="13.875" style="3185" customWidth="1"/>
    <col min="6" max="6" width="8.375" style="3185" customWidth="1"/>
    <col min="7" max="7" width="7.875" style="3185" customWidth="1"/>
    <col min="8" max="8" width="9" style="3185" customWidth="1"/>
    <col min="9" max="10" width="10.625" style="3185" customWidth="1"/>
    <col min="11" max="11" width="10.125" style="3185" customWidth="1"/>
    <col min="12" max="12" width="6.25" style="3185" customWidth="1"/>
    <col min="13" max="13" width="26.125" style="3185" hidden="1" customWidth="1"/>
    <col min="14" max="256" width="9" style="3185"/>
    <col min="257" max="257" width="62.5" style="3185" customWidth="1"/>
    <col min="258" max="258" width="6.25" style="3185" customWidth="1"/>
    <col min="259" max="261" width="13.875" style="3185" customWidth="1"/>
    <col min="262" max="262" width="8.375" style="3185" customWidth="1"/>
    <col min="263" max="263" width="7.875" style="3185" customWidth="1"/>
    <col min="264" max="264" width="9" style="3185" customWidth="1"/>
    <col min="265" max="266" width="10.625" style="3185" customWidth="1"/>
    <col min="267" max="267" width="14.375" style="3185" customWidth="1"/>
    <col min="268" max="268" width="6.25" style="3185" customWidth="1"/>
    <col min="269" max="269" width="26.125" style="3185" customWidth="1"/>
    <col min="270" max="512" width="9" style="3185"/>
    <col min="513" max="513" width="62.5" style="3185" customWidth="1"/>
    <col min="514" max="514" width="6.25" style="3185" customWidth="1"/>
    <col min="515" max="517" width="13.875" style="3185" customWidth="1"/>
    <col min="518" max="518" width="8.375" style="3185" customWidth="1"/>
    <col min="519" max="519" width="7.875" style="3185" customWidth="1"/>
    <col min="520" max="520" width="9" style="3185" customWidth="1"/>
    <col min="521" max="522" width="10.625" style="3185" customWidth="1"/>
    <col min="523" max="523" width="14.375" style="3185" customWidth="1"/>
    <col min="524" max="524" width="6.25" style="3185" customWidth="1"/>
    <col min="525" max="525" width="26.125" style="3185" customWidth="1"/>
    <col min="526" max="768" width="9" style="3185"/>
    <col min="769" max="769" width="62.5" style="3185" customWidth="1"/>
    <col min="770" max="770" width="6.25" style="3185" customWidth="1"/>
    <col min="771" max="773" width="13.875" style="3185" customWidth="1"/>
    <col min="774" max="774" width="8.375" style="3185" customWidth="1"/>
    <col min="775" max="775" width="7.875" style="3185" customWidth="1"/>
    <col min="776" max="776" width="9" style="3185" customWidth="1"/>
    <col min="777" max="778" width="10.625" style="3185" customWidth="1"/>
    <col min="779" max="779" width="14.375" style="3185" customWidth="1"/>
    <col min="780" max="780" width="6.25" style="3185" customWidth="1"/>
    <col min="781" max="781" width="26.125" style="3185" customWidth="1"/>
    <col min="782" max="1024" width="9" style="3185"/>
    <col min="1025" max="1025" width="62.5" style="3185" customWidth="1"/>
    <col min="1026" max="1026" width="6.25" style="3185" customWidth="1"/>
    <col min="1027" max="1029" width="13.875" style="3185" customWidth="1"/>
    <col min="1030" max="1030" width="8.375" style="3185" customWidth="1"/>
    <col min="1031" max="1031" width="7.875" style="3185" customWidth="1"/>
    <col min="1032" max="1032" width="9" style="3185" customWidth="1"/>
    <col min="1033" max="1034" width="10.625" style="3185" customWidth="1"/>
    <col min="1035" max="1035" width="14.375" style="3185" customWidth="1"/>
    <col min="1036" max="1036" width="6.25" style="3185" customWidth="1"/>
    <col min="1037" max="1037" width="26.125" style="3185" customWidth="1"/>
    <col min="1038" max="1280" width="9" style="3185"/>
    <col min="1281" max="1281" width="62.5" style="3185" customWidth="1"/>
    <col min="1282" max="1282" width="6.25" style="3185" customWidth="1"/>
    <col min="1283" max="1285" width="13.875" style="3185" customWidth="1"/>
    <col min="1286" max="1286" width="8.375" style="3185" customWidth="1"/>
    <col min="1287" max="1287" width="7.875" style="3185" customWidth="1"/>
    <col min="1288" max="1288" width="9" style="3185" customWidth="1"/>
    <col min="1289" max="1290" width="10.625" style="3185" customWidth="1"/>
    <col min="1291" max="1291" width="14.375" style="3185" customWidth="1"/>
    <col min="1292" max="1292" width="6.25" style="3185" customWidth="1"/>
    <col min="1293" max="1293" width="26.125" style="3185" customWidth="1"/>
    <col min="1294" max="1536" width="9" style="3185"/>
    <col min="1537" max="1537" width="62.5" style="3185" customWidth="1"/>
    <col min="1538" max="1538" width="6.25" style="3185" customWidth="1"/>
    <col min="1539" max="1541" width="13.875" style="3185" customWidth="1"/>
    <col min="1542" max="1542" width="8.375" style="3185" customWidth="1"/>
    <col min="1543" max="1543" width="7.875" style="3185" customWidth="1"/>
    <col min="1544" max="1544" width="9" style="3185" customWidth="1"/>
    <col min="1545" max="1546" width="10.625" style="3185" customWidth="1"/>
    <col min="1547" max="1547" width="14.375" style="3185" customWidth="1"/>
    <col min="1548" max="1548" width="6.25" style="3185" customWidth="1"/>
    <col min="1549" max="1549" width="26.125" style="3185" customWidth="1"/>
    <col min="1550" max="1792" width="9" style="3185"/>
    <col min="1793" max="1793" width="62.5" style="3185" customWidth="1"/>
    <col min="1794" max="1794" width="6.25" style="3185" customWidth="1"/>
    <col min="1795" max="1797" width="13.875" style="3185" customWidth="1"/>
    <col min="1798" max="1798" width="8.375" style="3185" customWidth="1"/>
    <col min="1799" max="1799" width="7.875" style="3185" customWidth="1"/>
    <col min="1800" max="1800" width="9" style="3185" customWidth="1"/>
    <col min="1801" max="1802" width="10.625" style="3185" customWidth="1"/>
    <col min="1803" max="1803" width="14.375" style="3185" customWidth="1"/>
    <col min="1804" max="1804" width="6.25" style="3185" customWidth="1"/>
    <col min="1805" max="1805" width="26.125" style="3185" customWidth="1"/>
    <col min="1806" max="2048" width="9" style="3185"/>
    <col min="2049" max="2049" width="62.5" style="3185" customWidth="1"/>
    <col min="2050" max="2050" width="6.25" style="3185" customWidth="1"/>
    <col min="2051" max="2053" width="13.875" style="3185" customWidth="1"/>
    <col min="2054" max="2054" width="8.375" style="3185" customWidth="1"/>
    <col min="2055" max="2055" width="7.875" style="3185" customWidth="1"/>
    <col min="2056" max="2056" width="9" style="3185" customWidth="1"/>
    <col min="2057" max="2058" width="10.625" style="3185" customWidth="1"/>
    <col min="2059" max="2059" width="14.375" style="3185" customWidth="1"/>
    <col min="2060" max="2060" width="6.25" style="3185" customWidth="1"/>
    <col min="2061" max="2061" width="26.125" style="3185" customWidth="1"/>
    <col min="2062" max="2304" width="9" style="3185"/>
    <col min="2305" max="2305" width="62.5" style="3185" customWidth="1"/>
    <col min="2306" max="2306" width="6.25" style="3185" customWidth="1"/>
    <col min="2307" max="2309" width="13.875" style="3185" customWidth="1"/>
    <col min="2310" max="2310" width="8.375" style="3185" customWidth="1"/>
    <col min="2311" max="2311" width="7.875" style="3185" customWidth="1"/>
    <col min="2312" max="2312" width="9" style="3185" customWidth="1"/>
    <col min="2313" max="2314" width="10.625" style="3185" customWidth="1"/>
    <col min="2315" max="2315" width="14.375" style="3185" customWidth="1"/>
    <col min="2316" max="2316" width="6.25" style="3185" customWidth="1"/>
    <col min="2317" max="2317" width="26.125" style="3185" customWidth="1"/>
    <col min="2318" max="2560" width="9" style="3185"/>
    <col min="2561" max="2561" width="62.5" style="3185" customWidth="1"/>
    <col min="2562" max="2562" width="6.25" style="3185" customWidth="1"/>
    <col min="2563" max="2565" width="13.875" style="3185" customWidth="1"/>
    <col min="2566" max="2566" width="8.375" style="3185" customWidth="1"/>
    <col min="2567" max="2567" width="7.875" style="3185" customWidth="1"/>
    <col min="2568" max="2568" width="9" style="3185" customWidth="1"/>
    <col min="2569" max="2570" width="10.625" style="3185" customWidth="1"/>
    <col min="2571" max="2571" width="14.375" style="3185" customWidth="1"/>
    <col min="2572" max="2572" width="6.25" style="3185" customWidth="1"/>
    <col min="2573" max="2573" width="26.125" style="3185" customWidth="1"/>
    <col min="2574" max="2816" width="9" style="3185"/>
    <col min="2817" max="2817" width="62.5" style="3185" customWidth="1"/>
    <col min="2818" max="2818" width="6.25" style="3185" customWidth="1"/>
    <col min="2819" max="2821" width="13.875" style="3185" customWidth="1"/>
    <col min="2822" max="2822" width="8.375" style="3185" customWidth="1"/>
    <col min="2823" max="2823" width="7.875" style="3185" customWidth="1"/>
    <col min="2824" max="2824" width="9" style="3185" customWidth="1"/>
    <col min="2825" max="2826" width="10.625" style="3185" customWidth="1"/>
    <col min="2827" max="2827" width="14.375" style="3185" customWidth="1"/>
    <col min="2828" max="2828" width="6.25" style="3185" customWidth="1"/>
    <col min="2829" max="2829" width="26.125" style="3185" customWidth="1"/>
    <col min="2830" max="3072" width="9" style="3185"/>
    <col min="3073" max="3073" width="62.5" style="3185" customWidth="1"/>
    <col min="3074" max="3074" width="6.25" style="3185" customWidth="1"/>
    <col min="3075" max="3077" width="13.875" style="3185" customWidth="1"/>
    <col min="3078" max="3078" width="8.375" style="3185" customWidth="1"/>
    <col min="3079" max="3079" width="7.875" style="3185" customWidth="1"/>
    <col min="3080" max="3080" width="9" style="3185" customWidth="1"/>
    <col min="3081" max="3082" width="10.625" style="3185" customWidth="1"/>
    <col min="3083" max="3083" width="14.375" style="3185" customWidth="1"/>
    <col min="3084" max="3084" width="6.25" style="3185" customWidth="1"/>
    <col min="3085" max="3085" width="26.125" style="3185" customWidth="1"/>
    <col min="3086" max="3328" width="9" style="3185"/>
    <col min="3329" max="3329" width="62.5" style="3185" customWidth="1"/>
    <col min="3330" max="3330" width="6.25" style="3185" customWidth="1"/>
    <col min="3331" max="3333" width="13.875" style="3185" customWidth="1"/>
    <col min="3334" max="3334" width="8.375" style="3185" customWidth="1"/>
    <col min="3335" max="3335" width="7.875" style="3185" customWidth="1"/>
    <col min="3336" max="3336" width="9" style="3185" customWidth="1"/>
    <col min="3337" max="3338" width="10.625" style="3185" customWidth="1"/>
    <col min="3339" max="3339" width="14.375" style="3185" customWidth="1"/>
    <col min="3340" max="3340" width="6.25" style="3185" customWidth="1"/>
    <col min="3341" max="3341" width="26.125" style="3185" customWidth="1"/>
    <col min="3342" max="3584" width="9" style="3185"/>
    <col min="3585" max="3585" width="62.5" style="3185" customWidth="1"/>
    <col min="3586" max="3586" width="6.25" style="3185" customWidth="1"/>
    <col min="3587" max="3589" width="13.875" style="3185" customWidth="1"/>
    <col min="3590" max="3590" width="8.375" style="3185" customWidth="1"/>
    <col min="3591" max="3591" width="7.875" style="3185" customWidth="1"/>
    <col min="3592" max="3592" width="9" style="3185" customWidth="1"/>
    <col min="3593" max="3594" width="10.625" style="3185" customWidth="1"/>
    <col min="3595" max="3595" width="14.375" style="3185" customWidth="1"/>
    <col min="3596" max="3596" width="6.25" style="3185" customWidth="1"/>
    <col min="3597" max="3597" width="26.125" style="3185" customWidth="1"/>
    <col min="3598" max="3840" width="9" style="3185"/>
    <col min="3841" max="3841" width="62.5" style="3185" customWidth="1"/>
    <col min="3842" max="3842" width="6.25" style="3185" customWidth="1"/>
    <col min="3843" max="3845" width="13.875" style="3185" customWidth="1"/>
    <col min="3846" max="3846" width="8.375" style="3185" customWidth="1"/>
    <col min="3847" max="3847" width="7.875" style="3185" customWidth="1"/>
    <col min="3848" max="3848" width="9" style="3185" customWidth="1"/>
    <col min="3849" max="3850" width="10.625" style="3185" customWidth="1"/>
    <col min="3851" max="3851" width="14.375" style="3185" customWidth="1"/>
    <col min="3852" max="3852" width="6.25" style="3185" customWidth="1"/>
    <col min="3853" max="3853" width="26.125" style="3185" customWidth="1"/>
    <col min="3854" max="4096" width="9" style="3185"/>
    <col min="4097" max="4097" width="62.5" style="3185" customWidth="1"/>
    <col min="4098" max="4098" width="6.25" style="3185" customWidth="1"/>
    <col min="4099" max="4101" width="13.875" style="3185" customWidth="1"/>
    <col min="4102" max="4102" width="8.375" style="3185" customWidth="1"/>
    <col min="4103" max="4103" width="7.875" style="3185" customWidth="1"/>
    <col min="4104" max="4104" width="9" style="3185" customWidth="1"/>
    <col min="4105" max="4106" width="10.625" style="3185" customWidth="1"/>
    <col min="4107" max="4107" width="14.375" style="3185" customWidth="1"/>
    <col min="4108" max="4108" width="6.25" style="3185" customWidth="1"/>
    <col min="4109" max="4109" width="26.125" style="3185" customWidth="1"/>
    <col min="4110" max="4352" width="9" style="3185"/>
    <col min="4353" max="4353" width="62.5" style="3185" customWidth="1"/>
    <col min="4354" max="4354" width="6.25" style="3185" customWidth="1"/>
    <col min="4355" max="4357" width="13.875" style="3185" customWidth="1"/>
    <col min="4358" max="4358" width="8.375" style="3185" customWidth="1"/>
    <col min="4359" max="4359" width="7.875" style="3185" customWidth="1"/>
    <col min="4360" max="4360" width="9" style="3185" customWidth="1"/>
    <col min="4361" max="4362" width="10.625" style="3185" customWidth="1"/>
    <col min="4363" max="4363" width="14.375" style="3185" customWidth="1"/>
    <col min="4364" max="4364" width="6.25" style="3185" customWidth="1"/>
    <col min="4365" max="4365" width="26.125" style="3185" customWidth="1"/>
    <col min="4366" max="4608" width="9" style="3185"/>
    <col min="4609" max="4609" width="62.5" style="3185" customWidth="1"/>
    <col min="4610" max="4610" width="6.25" style="3185" customWidth="1"/>
    <col min="4611" max="4613" width="13.875" style="3185" customWidth="1"/>
    <col min="4614" max="4614" width="8.375" style="3185" customWidth="1"/>
    <col min="4615" max="4615" width="7.875" style="3185" customWidth="1"/>
    <col min="4616" max="4616" width="9" style="3185" customWidth="1"/>
    <col min="4617" max="4618" width="10.625" style="3185" customWidth="1"/>
    <col min="4619" max="4619" width="14.375" style="3185" customWidth="1"/>
    <col min="4620" max="4620" width="6.25" style="3185" customWidth="1"/>
    <col min="4621" max="4621" width="26.125" style="3185" customWidth="1"/>
    <col min="4622" max="4864" width="9" style="3185"/>
    <col min="4865" max="4865" width="62.5" style="3185" customWidth="1"/>
    <col min="4866" max="4866" width="6.25" style="3185" customWidth="1"/>
    <col min="4867" max="4869" width="13.875" style="3185" customWidth="1"/>
    <col min="4870" max="4870" width="8.375" style="3185" customWidth="1"/>
    <col min="4871" max="4871" width="7.875" style="3185" customWidth="1"/>
    <col min="4872" max="4872" width="9" style="3185" customWidth="1"/>
    <col min="4873" max="4874" width="10.625" style="3185" customWidth="1"/>
    <col min="4875" max="4875" width="14.375" style="3185" customWidth="1"/>
    <col min="4876" max="4876" width="6.25" style="3185" customWidth="1"/>
    <col min="4877" max="4877" width="26.125" style="3185" customWidth="1"/>
    <col min="4878" max="5120" width="9" style="3185"/>
    <col min="5121" max="5121" width="62.5" style="3185" customWidth="1"/>
    <col min="5122" max="5122" width="6.25" style="3185" customWidth="1"/>
    <col min="5123" max="5125" width="13.875" style="3185" customWidth="1"/>
    <col min="5126" max="5126" width="8.375" style="3185" customWidth="1"/>
    <col min="5127" max="5127" width="7.875" style="3185" customWidth="1"/>
    <col min="5128" max="5128" width="9" style="3185" customWidth="1"/>
    <col min="5129" max="5130" width="10.625" style="3185" customWidth="1"/>
    <col min="5131" max="5131" width="14.375" style="3185" customWidth="1"/>
    <col min="5132" max="5132" width="6.25" style="3185" customWidth="1"/>
    <col min="5133" max="5133" width="26.125" style="3185" customWidth="1"/>
    <col min="5134" max="5376" width="9" style="3185"/>
    <col min="5377" max="5377" width="62.5" style="3185" customWidth="1"/>
    <col min="5378" max="5378" width="6.25" style="3185" customWidth="1"/>
    <col min="5379" max="5381" width="13.875" style="3185" customWidth="1"/>
    <col min="5382" max="5382" width="8.375" style="3185" customWidth="1"/>
    <col min="5383" max="5383" width="7.875" style="3185" customWidth="1"/>
    <col min="5384" max="5384" width="9" style="3185" customWidth="1"/>
    <col min="5385" max="5386" width="10.625" style="3185" customWidth="1"/>
    <col min="5387" max="5387" width="14.375" style="3185" customWidth="1"/>
    <col min="5388" max="5388" width="6.25" style="3185" customWidth="1"/>
    <col min="5389" max="5389" width="26.125" style="3185" customWidth="1"/>
    <col min="5390" max="5632" width="9" style="3185"/>
    <col min="5633" max="5633" width="62.5" style="3185" customWidth="1"/>
    <col min="5634" max="5634" width="6.25" style="3185" customWidth="1"/>
    <col min="5635" max="5637" width="13.875" style="3185" customWidth="1"/>
    <col min="5638" max="5638" width="8.375" style="3185" customWidth="1"/>
    <col min="5639" max="5639" width="7.875" style="3185" customWidth="1"/>
    <col min="5640" max="5640" width="9" style="3185" customWidth="1"/>
    <col min="5641" max="5642" width="10.625" style="3185" customWidth="1"/>
    <col min="5643" max="5643" width="14.375" style="3185" customWidth="1"/>
    <col min="5644" max="5644" width="6.25" style="3185" customWidth="1"/>
    <col min="5645" max="5645" width="26.125" style="3185" customWidth="1"/>
    <col min="5646" max="5888" width="9" style="3185"/>
    <col min="5889" max="5889" width="62.5" style="3185" customWidth="1"/>
    <col min="5890" max="5890" width="6.25" style="3185" customWidth="1"/>
    <col min="5891" max="5893" width="13.875" style="3185" customWidth="1"/>
    <col min="5894" max="5894" width="8.375" style="3185" customWidth="1"/>
    <col min="5895" max="5895" width="7.875" style="3185" customWidth="1"/>
    <col min="5896" max="5896" width="9" style="3185" customWidth="1"/>
    <col min="5897" max="5898" width="10.625" style="3185" customWidth="1"/>
    <col min="5899" max="5899" width="14.375" style="3185" customWidth="1"/>
    <col min="5900" max="5900" width="6.25" style="3185" customWidth="1"/>
    <col min="5901" max="5901" width="26.125" style="3185" customWidth="1"/>
    <col min="5902" max="6144" width="9" style="3185"/>
    <col min="6145" max="6145" width="62.5" style="3185" customWidth="1"/>
    <col min="6146" max="6146" width="6.25" style="3185" customWidth="1"/>
    <col min="6147" max="6149" width="13.875" style="3185" customWidth="1"/>
    <col min="6150" max="6150" width="8.375" style="3185" customWidth="1"/>
    <col min="6151" max="6151" width="7.875" style="3185" customWidth="1"/>
    <col min="6152" max="6152" width="9" style="3185" customWidth="1"/>
    <col min="6153" max="6154" width="10.625" style="3185" customWidth="1"/>
    <col min="6155" max="6155" width="14.375" style="3185" customWidth="1"/>
    <col min="6156" max="6156" width="6.25" style="3185" customWidth="1"/>
    <col min="6157" max="6157" width="26.125" style="3185" customWidth="1"/>
    <col min="6158" max="6400" width="9" style="3185"/>
    <col min="6401" max="6401" width="62.5" style="3185" customWidth="1"/>
    <col min="6402" max="6402" width="6.25" style="3185" customWidth="1"/>
    <col min="6403" max="6405" width="13.875" style="3185" customWidth="1"/>
    <col min="6406" max="6406" width="8.375" style="3185" customWidth="1"/>
    <col min="6407" max="6407" width="7.875" style="3185" customWidth="1"/>
    <col min="6408" max="6408" width="9" style="3185" customWidth="1"/>
    <col min="6409" max="6410" width="10.625" style="3185" customWidth="1"/>
    <col min="6411" max="6411" width="14.375" style="3185" customWidth="1"/>
    <col min="6412" max="6412" width="6.25" style="3185" customWidth="1"/>
    <col min="6413" max="6413" width="26.125" style="3185" customWidth="1"/>
    <col min="6414" max="6656" width="9" style="3185"/>
    <col min="6657" max="6657" width="62.5" style="3185" customWidth="1"/>
    <col min="6658" max="6658" width="6.25" style="3185" customWidth="1"/>
    <col min="6659" max="6661" width="13.875" style="3185" customWidth="1"/>
    <col min="6662" max="6662" width="8.375" style="3185" customWidth="1"/>
    <col min="6663" max="6663" width="7.875" style="3185" customWidth="1"/>
    <col min="6664" max="6664" width="9" style="3185" customWidth="1"/>
    <col min="6665" max="6666" width="10.625" style="3185" customWidth="1"/>
    <col min="6667" max="6667" width="14.375" style="3185" customWidth="1"/>
    <col min="6668" max="6668" width="6.25" style="3185" customWidth="1"/>
    <col min="6669" max="6669" width="26.125" style="3185" customWidth="1"/>
    <col min="6670" max="6912" width="9" style="3185"/>
    <col min="6913" max="6913" width="62.5" style="3185" customWidth="1"/>
    <col min="6914" max="6914" width="6.25" style="3185" customWidth="1"/>
    <col min="6915" max="6917" width="13.875" style="3185" customWidth="1"/>
    <col min="6918" max="6918" width="8.375" style="3185" customWidth="1"/>
    <col min="6919" max="6919" width="7.875" style="3185" customWidth="1"/>
    <col min="6920" max="6920" width="9" style="3185" customWidth="1"/>
    <col min="6921" max="6922" width="10.625" style="3185" customWidth="1"/>
    <col min="6923" max="6923" width="14.375" style="3185" customWidth="1"/>
    <col min="6924" max="6924" width="6.25" style="3185" customWidth="1"/>
    <col min="6925" max="6925" width="26.125" style="3185" customWidth="1"/>
    <col min="6926" max="7168" width="9" style="3185"/>
    <col min="7169" max="7169" width="62.5" style="3185" customWidth="1"/>
    <col min="7170" max="7170" width="6.25" style="3185" customWidth="1"/>
    <col min="7171" max="7173" width="13.875" style="3185" customWidth="1"/>
    <col min="7174" max="7174" width="8.375" style="3185" customWidth="1"/>
    <col min="7175" max="7175" width="7.875" style="3185" customWidth="1"/>
    <col min="7176" max="7176" width="9" style="3185" customWidth="1"/>
    <col min="7177" max="7178" width="10.625" style="3185" customWidth="1"/>
    <col min="7179" max="7179" width="14.375" style="3185" customWidth="1"/>
    <col min="7180" max="7180" width="6.25" style="3185" customWidth="1"/>
    <col min="7181" max="7181" width="26.125" style="3185" customWidth="1"/>
    <col min="7182" max="7424" width="9" style="3185"/>
    <col min="7425" max="7425" width="62.5" style="3185" customWidth="1"/>
    <col min="7426" max="7426" width="6.25" style="3185" customWidth="1"/>
    <col min="7427" max="7429" width="13.875" style="3185" customWidth="1"/>
    <col min="7430" max="7430" width="8.375" style="3185" customWidth="1"/>
    <col min="7431" max="7431" width="7.875" style="3185" customWidth="1"/>
    <col min="7432" max="7432" width="9" style="3185" customWidth="1"/>
    <col min="7433" max="7434" width="10.625" style="3185" customWidth="1"/>
    <col min="7435" max="7435" width="14.375" style="3185" customWidth="1"/>
    <col min="7436" max="7436" width="6.25" style="3185" customWidth="1"/>
    <col min="7437" max="7437" width="26.125" style="3185" customWidth="1"/>
    <col min="7438" max="7680" width="9" style="3185"/>
    <col min="7681" max="7681" width="62.5" style="3185" customWidth="1"/>
    <col min="7682" max="7682" width="6.25" style="3185" customWidth="1"/>
    <col min="7683" max="7685" width="13.875" style="3185" customWidth="1"/>
    <col min="7686" max="7686" width="8.375" style="3185" customWidth="1"/>
    <col min="7687" max="7687" width="7.875" style="3185" customWidth="1"/>
    <col min="7688" max="7688" width="9" style="3185" customWidth="1"/>
    <col min="7689" max="7690" width="10.625" style="3185" customWidth="1"/>
    <col min="7691" max="7691" width="14.375" style="3185" customWidth="1"/>
    <col min="7692" max="7692" width="6.25" style="3185" customWidth="1"/>
    <col min="7693" max="7693" width="26.125" style="3185" customWidth="1"/>
    <col min="7694" max="7936" width="9" style="3185"/>
    <col min="7937" max="7937" width="62.5" style="3185" customWidth="1"/>
    <col min="7938" max="7938" width="6.25" style="3185" customWidth="1"/>
    <col min="7939" max="7941" width="13.875" style="3185" customWidth="1"/>
    <col min="7942" max="7942" width="8.375" style="3185" customWidth="1"/>
    <col min="7943" max="7943" width="7.875" style="3185" customWidth="1"/>
    <col min="7944" max="7944" width="9" style="3185" customWidth="1"/>
    <col min="7945" max="7946" width="10.625" style="3185" customWidth="1"/>
    <col min="7947" max="7947" width="14.375" style="3185" customWidth="1"/>
    <col min="7948" max="7948" width="6.25" style="3185" customWidth="1"/>
    <col min="7949" max="7949" width="26.125" style="3185" customWidth="1"/>
    <col min="7950" max="8192" width="9" style="3185"/>
    <col min="8193" max="8193" width="62.5" style="3185" customWidth="1"/>
    <col min="8194" max="8194" width="6.25" style="3185" customWidth="1"/>
    <col min="8195" max="8197" width="13.875" style="3185" customWidth="1"/>
    <col min="8198" max="8198" width="8.375" style="3185" customWidth="1"/>
    <col min="8199" max="8199" width="7.875" style="3185" customWidth="1"/>
    <col min="8200" max="8200" width="9" style="3185" customWidth="1"/>
    <col min="8201" max="8202" width="10.625" style="3185" customWidth="1"/>
    <col min="8203" max="8203" width="14.375" style="3185" customWidth="1"/>
    <col min="8204" max="8204" width="6.25" style="3185" customWidth="1"/>
    <col min="8205" max="8205" width="26.125" style="3185" customWidth="1"/>
    <col min="8206" max="8448" width="9" style="3185"/>
    <col min="8449" max="8449" width="62.5" style="3185" customWidth="1"/>
    <col min="8450" max="8450" width="6.25" style="3185" customWidth="1"/>
    <col min="8451" max="8453" width="13.875" style="3185" customWidth="1"/>
    <col min="8454" max="8454" width="8.375" style="3185" customWidth="1"/>
    <col min="8455" max="8455" width="7.875" style="3185" customWidth="1"/>
    <col min="8456" max="8456" width="9" style="3185" customWidth="1"/>
    <col min="8457" max="8458" width="10.625" style="3185" customWidth="1"/>
    <col min="8459" max="8459" width="14.375" style="3185" customWidth="1"/>
    <col min="8460" max="8460" width="6.25" style="3185" customWidth="1"/>
    <col min="8461" max="8461" width="26.125" style="3185" customWidth="1"/>
    <col min="8462" max="8704" width="9" style="3185"/>
    <col min="8705" max="8705" width="62.5" style="3185" customWidth="1"/>
    <col min="8706" max="8706" width="6.25" style="3185" customWidth="1"/>
    <col min="8707" max="8709" width="13.875" style="3185" customWidth="1"/>
    <col min="8710" max="8710" width="8.375" style="3185" customWidth="1"/>
    <col min="8711" max="8711" width="7.875" style="3185" customWidth="1"/>
    <col min="8712" max="8712" width="9" style="3185" customWidth="1"/>
    <col min="8713" max="8714" width="10.625" style="3185" customWidth="1"/>
    <col min="8715" max="8715" width="14.375" style="3185" customWidth="1"/>
    <col min="8716" max="8716" width="6.25" style="3185" customWidth="1"/>
    <col min="8717" max="8717" width="26.125" style="3185" customWidth="1"/>
    <col min="8718" max="8960" width="9" style="3185"/>
    <col min="8961" max="8961" width="62.5" style="3185" customWidth="1"/>
    <col min="8962" max="8962" width="6.25" style="3185" customWidth="1"/>
    <col min="8963" max="8965" width="13.875" style="3185" customWidth="1"/>
    <col min="8966" max="8966" width="8.375" style="3185" customWidth="1"/>
    <col min="8967" max="8967" width="7.875" style="3185" customWidth="1"/>
    <col min="8968" max="8968" width="9" style="3185" customWidth="1"/>
    <col min="8969" max="8970" width="10.625" style="3185" customWidth="1"/>
    <col min="8971" max="8971" width="14.375" style="3185" customWidth="1"/>
    <col min="8972" max="8972" width="6.25" style="3185" customWidth="1"/>
    <col min="8973" max="8973" width="26.125" style="3185" customWidth="1"/>
    <col min="8974" max="9216" width="9" style="3185"/>
    <col min="9217" max="9217" width="62.5" style="3185" customWidth="1"/>
    <col min="9218" max="9218" width="6.25" style="3185" customWidth="1"/>
    <col min="9219" max="9221" width="13.875" style="3185" customWidth="1"/>
    <col min="9222" max="9222" width="8.375" style="3185" customWidth="1"/>
    <col min="9223" max="9223" width="7.875" style="3185" customWidth="1"/>
    <col min="9224" max="9224" width="9" style="3185" customWidth="1"/>
    <col min="9225" max="9226" width="10.625" style="3185" customWidth="1"/>
    <col min="9227" max="9227" width="14.375" style="3185" customWidth="1"/>
    <col min="9228" max="9228" width="6.25" style="3185" customWidth="1"/>
    <col min="9229" max="9229" width="26.125" style="3185" customWidth="1"/>
    <col min="9230" max="9472" width="9" style="3185"/>
    <col min="9473" max="9473" width="62.5" style="3185" customWidth="1"/>
    <col min="9474" max="9474" width="6.25" style="3185" customWidth="1"/>
    <col min="9475" max="9477" width="13.875" style="3185" customWidth="1"/>
    <col min="9478" max="9478" width="8.375" style="3185" customWidth="1"/>
    <col min="9479" max="9479" width="7.875" style="3185" customWidth="1"/>
    <col min="9480" max="9480" width="9" style="3185" customWidth="1"/>
    <col min="9481" max="9482" width="10.625" style="3185" customWidth="1"/>
    <col min="9483" max="9483" width="14.375" style="3185" customWidth="1"/>
    <col min="9484" max="9484" width="6.25" style="3185" customWidth="1"/>
    <col min="9485" max="9485" width="26.125" style="3185" customWidth="1"/>
    <col min="9486" max="9728" width="9" style="3185"/>
    <col min="9729" max="9729" width="62.5" style="3185" customWidth="1"/>
    <col min="9730" max="9730" width="6.25" style="3185" customWidth="1"/>
    <col min="9731" max="9733" width="13.875" style="3185" customWidth="1"/>
    <col min="9734" max="9734" width="8.375" style="3185" customWidth="1"/>
    <col min="9735" max="9735" width="7.875" style="3185" customWidth="1"/>
    <col min="9736" max="9736" width="9" style="3185" customWidth="1"/>
    <col min="9737" max="9738" width="10.625" style="3185" customWidth="1"/>
    <col min="9739" max="9739" width="14.375" style="3185" customWidth="1"/>
    <col min="9740" max="9740" width="6.25" style="3185" customWidth="1"/>
    <col min="9741" max="9741" width="26.125" style="3185" customWidth="1"/>
    <col min="9742" max="9984" width="9" style="3185"/>
    <col min="9985" max="9985" width="62.5" style="3185" customWidth="1"/>
    <col min="9986" max="9986" width="6.25" style="3185" customWidth="1"/>
    <col min="9987" max="9989" width="13.875" style="3185" customWidth="1"/>
    <col min="9990" max="9990" width="8.375" style="3185" customWidth="1"/>
    <col min="9991" max="9991" width="7.875" style="3185" customWidth="1"/>
    <col min="9992" max="9992" width="9" style="3185" customWidth="1"/>
    <col min="9993" max="9994" width="10.625" style="3185" customWidth="1"/>
    <col min="9995" max="9995" width="14.375" style="3185" customWidth="1"/>
    <col min="9996" max="9996" width="6.25" style="3185" customWidth="1"/>
    <col min="9997" max="9997" width="26.125" style="3185" customWidth="1"/>
    <col min="9998" max="10240" width="9" style="3185"/>
    <col min="10241" max="10241" width="62.5" style="3185" customWidth="1"/>
    <col min="10242" max="10242" width="6.25" style="3185" customWidth="1"/>
    <col min="10243" max="10245" width="13.875" style="3185" customWidth="1"/>
    <col min="10246" max="10246" width="8.375" style="3185" customWidth="1"/>
    <col min="10247" max="10247" width="7.875" style="3185" customWidth="1"/>
    <col min="10248" max="10248" width="9" style="3185" customWidth="1"/>
    <col min="10249" max="10250" width="10.625" style="3185" customWidth="1"/>
    <col min="10251" max="10251" width="14.375" style="3185" customWidth="1"/>
    <col min="10252" max="10252" width="6.25" style="3185" customWidth="1"/>
    <col min="10253" max="10253" width="26.125" style="3185" customWidth="1"/>
    <col min="10254" max="10496" width="9" style="3185"/>
    <col min="10497" max="10497" width="62.5" style="3185" customWidth="1"/>
    <col min="10498" max="10498" width="6.25" style="3185" customWidth="1"/>
    <col min="10499" max="10501" width="13.875" style="3185" customWidth="1"/>
    <col min="10502" max="10502" width="8.375" style="3185" customWidth="1"/>
    <col min="10503" max="10503" width="7.875" style="3185" customWidth="1"/>
    <col min="10504" max="10504" width="9" style="3185" customWidth="1"/>
    <col min="10505" max="10506" width="10.625" style="3185" customWidth="1"/>
    <col min="10507" max="10507" width="14.375" style="3185" customWidth="1"/>
    <col min="10508" max="10508" width="6.25" style="3185" customWidth="1"/>
    <col min="10509" max="10509" width="26.125" style="3185" customWidth="1"/>
    <col min="10510" max="10752" width="9" style="3185"/>
    <col min="10753" max="10753" width="62.5" style="3185" customWidth="1"/>
    <col min="10754" max="10754" width="6.25" style="3185" customWidth="1"/>
    <col min="10755" max="10757" width="13.875" style="3185" customWidth="1"/>
    <col min="10758" max="10758" width="8.375" style="3185" customWidth="1"/>
    <col min="10759" max="10759" width="7.875" style="3185" customWidth="1"/>
    <col min="10760" max="10760" width="9" style="3185" customWidth="1"/>
    <col min="10761" max="10762" width="10.625" style="3185" customWidth="1"/>
    <col min="10763" max="10763" width="14.375" style="3185" customWidth="1"/>
    <col min="10764" max="10764" width="6.25" style="3185" customWidth="1"/>
    <col min="10765" max="10765" width="26.125" style="3185" customWidth="1"/>
    <col min="10766" max="11008" width="9" style="3185"/>
    <col min="11009" max="11009" width="62.5" style="3185" customWidth="1"/>
    <col min="11010" max="11010" width="6.25" style="3185" customWidth="1"/>
    <col min="11011" max="11013" width="13.875" style="3185" customWidth="1"/>
    <col min="11014" max="11014" width="8.375" style="3185" customWidth="1"/>
    <col min="11015" max="11015" width="7.875" style="3185" customWidth="1"/>
    <col min="11016" max="11016" width="9" style="3185" customWidth="1"/>
    <col min="11017" max="11018" width="10.625" style="3185" customWidth="1"/>
    <col min="11019" max="11019" width="14.375" style="3185" customWidth="1"/>
    <col min="11020" max="11020" width="6.25" style="3185" customWidth="1"/>
    <col min="11021" max="11021" width="26.125" style="3185" customWidth="1"/>
    <col min="11022" max="11264" width="9" style="3185"/>
    <col min="11265" max="11265" width="62.5" style="3185" customWidth="1"/>
    <col min="11266" max="11266" width="6.25" style="3185" customWidth="1"/>
    <col min="11267" max="11269" width="13.875" style="3185" customWidth="1"/>
    <col min="11270" max="11270" width="8.375" style="3185" customWidth="1"/>
    <col min="11271" max="11271" width="7.875" style="3185" customWidth="1"/>
    <col min="11272" max="11272" width="9" style="3185" customWidth="1"/>
    <col min="11273" max="11274" width="10.625" style="3185" customWidth="1"/>
    <col min="11275" max="11275" width="14.375" style="3185" customWidth="1"/>
    <col min="11276" max="11276" width="6.25" style="3185" customWidth="1"/>
    <col min="11277" max="11277" width="26.125" style="3185" customWidth="1"/>
    <col min="11278" max="11520" width="9" style="3185"/>
    <col min="11521" max="11521" width="62.5" style="3185" customWidth="1"/>
    <col min="11522" max="11522" width="6.25" style="3185" customWidth="1"/>
    <col min="11523" max="11525" width="13.875" style="3185" customWidth="1"/>
    <col min="11526" max="11526" width="8.375" style="3185" customWidth="1"/>
    <col min="11527" max="11527" width="7.875" style="3185" customWidth="1"/>
    <col min="11528" max="11528" width="9" style="3185" customWidth="1"/>
    <col min="11529" max="11530" width="10.625" style="3185" customWidth="1"/>
    <col min="11531" max="11531" width="14.375" style="3185" customWidth="1"/>
    <col min="11532" max="11532" width="6.25" style="3185" customWidth="1"/>
    <col min="11533" max="11533" width="26.125" style="3185" customWidth="1"/>
    <col min="11534" max="11776" width="9" style="3185"/>
    <col min="11777" max="11777" width="62.5" style="3185" customWidth="1"/>
    <col min="11778" max="11778" width="6.25" style="3185" customWidth="1"/>
    <col min="11779" max="11781" width="13.875" style="3185" customWidth="1"/>
    <col min="11782" max="11782" width="8.375" style="3185" customWidth="1"/>
    <col min="11783" max="11783" width="7.875" style="3185" customWidth="1"/>
    <col min="11784" max="11784" width="9" style="3185" customWidth="1"/>
    <col min="11785" max="11786" width="10.625" style="3185" customWidth="1"/>
    <col min="11787" max="11787" width="14.375" style="3185" customWidth="1"/>
    <col min="11788" max="11788" width="6.25" style="3185" customWidth="1"/>
    <col min="11789" max="11789" width="26.125" style="3185" customWidth="1"/>
    <col min="11790" max="12032" width="9" style="3185"/>
    <col min="12033" max="12033" width="62.5" style="3185" customWidth="1"/>
    <col min="12034" max="12034" width="6.25" style="3185" customWidth="1"/>
    <col min="12035" max="12037" width="13.875" style="3185" customWidth="1"/>
    <col min="12038" max="12038" width="8.375" style="3185" customWidth="1"/>
    <col min="12039" max="12039" width="7.875" style="3185" customWidth="1"/>
    <col min="12040" max="12040" width="9" style="3185" customWidth="1"/>
    <col min="12041" max="12042" width="10.625" style="3185" customWidth="1"/>
    <col min="12043" max="12043" width="14.375" style="3185" customWidth="1"/>
    <col min="12044" max="12044" width="6.25" style="3185" customWidth="1"/>
    <col min="12045" max="12045" width="26.125" style="3185" customWidth="1"/>
    <col min="12046" max="12288" width="9" style="3185"/>
    <col min="12289" max="12289" width="62.5" style="3185" customWidth="1"/>
    <col min="12290" max="12290" width="6.25" style="3185" customWidth="1"/>
    <col min="12291" max="12293" width="13.875" style="3185" customWidth="1"/>
    <col min="12294" max="12294" width="8.375" style="3185" customWidth="1"/>
    <col min="12295" max="12295" width="7.875" style="3185" customWidth="1"/>
    <col min="12296" max="12296" width="9" style="3185" customWidth="1"/>
    <col min="12297" max="12298" width="10.625" style="3185" customWidth="1"/>
    <col min="12299" max="12299" width="14.375" style="3185" customWidth="1"/>
    <col min="12300" max="12300" width="6.25" style="3185" customWidth="1"/>
    <col min="12301" max="12301" width="26.125" style="3185" customWidth="1"/>
    <col min="12302" max="12544" width="9" style="3185"/>
    <col min="12545" max="12545" width="62.5" style="3185" customWidth="1"/>
    <col min="12546" max="12546" width="6.25" style="3185" customWidth="1"/>
    <col min="12547" max="12549" width="13.875" style="3185" customWidth="1"/>
    <col min="12550" max="12550" width="8.375" style="3185" customWidth="1"/>
    <col min="12551" max="12551" width="7.875" style="3185" customWidth="1"/>
    <col min="12552" max="12552" width="9" style="3185" customWidth="1"/>
    <col min="12553" max="12554" width="10.625" style="3185" customWidth="1"/>
    <col min="12555" max="12555" width="14.375" style="3185" customWidth="1"/>
    <col min="12556" max="12556" width="6.25" style="3185" customWidth="1"/>
    <col min="12557" max="12557" width="26.125" style="3185" customWidth="1"/>
    <col min="12558" max="12800" width="9" style="3185"/>
    <col min="12801" max="12801" width="62.5" style="3185" customWidth="1"/>
    <col min="12802" max="12802" width="6.25" style="3185" customWidth="1"/>
    <col min="12803" max="12805" width="13.875" style="3185" customWidth="1"/>
    <col min="12806" max="12806" width="8.375" style="3185" customWidth="1"/>
    <col min="12807" max="12807" width="7.875" style="3185" customWidth="1"/>
    <col min="12808" max="12808" width="9" style="3185" customWidth="1"/>
    <col min="12809" max="12810" width="10.625" style="3185" customWidth="1"/>
    <col min="12811" max="12811" width="14.375" style="3185" customWidth="1"/>
    <col min="12812" max="12812" width="6.25" style="3185" customWidth="1"/>
    <col min="12813" max="12813" width="26.125" style="3185" customWidth="1"/>
    <col min="12814" max="13056" width="9" style="3185"/>
    <col min="13057" max="13057" width="62.5" style="3185" customWidth="1"/>
    <col min="13058" max="13058" width="6.25" style="3185" customWidth="1"/>
    <col min="13059" max="13061" width="13.875" style="3185" customWidth="1"/>
    <col min="13062" max="13062" width="8.375" style="3185" customWidth="1"/>
    <col min="13063" max="13063" width="7.875" style="3185" customWidth="1"/>
    <col min="13064" max="13064" width="9" style="3185" customWidth="1"/>
    <col min="13065" max="13066" width="10.625" style="3185" customWidth="1"/>
    <col min="13067" max="13067" width="14.375" style="3185" customWidth="1"/>
    <col min="13068" max="13068" width="6.25" style="3185" customWidth="1"/>
    <col min="13069" max="13069" width="26.125" style="3185" customWidth="1"/>
    <col min="13070" max="13312" width="9" style="3185"/>
    <col min="13313" max="13313" width="62.5" style="3185" customWidth="1"/>
    <col min="13314" max="13314" width="6.25" style="3185" customWidth="1"/>
    <col min="13315" max="13317" width="13.875" style="3185" customWidth="1"/>
    <col min="13318" max="13318" width="8.375" style="3185" customWidth="1"/>
    <col min="13319" max="13319" width="7.875" style="3185" customWidth="1"/>
    <col min="13320" max="13320" width="9" style="3185" customWidth="1"/>
    <col min="13321" max="13322" width="10.625" style="3185" customWidth="1"/>
    <col min="13323" max="13323" width="14.375" style="3185" customWidth="1"/>
    <col min="13324" max="13324" width="6.25" style="3185" customWidth="1"/>
    <col min="13325" max="13325" width="26.125" style="3185" customWidth="1"/>
    <col min="13326" max="13568" width="9" style="3185"/>
    <col min="13569" max="13569" width="62.5" style="3185" customWidth="1"/>
    <col min="13570" max="13570" width="6.25" style="3185" customWidth="1"/>
    <col min="13571" max="13573" width="13.875" style="3185" customWidth="1"/>
    <col min="13574" max="13574" width="8.375" style="3185" customWidth="1"/>
    <col min="13575" max="13575" width="7.875" style="3185" customWidth="1"/>
    <col min="13576" max="13576" width="9" style="3185" customWidth="1"/>
    <col min="13577" max="13578" width="10.625" style="3185" customWidth="1"/>
    <col min="13579" max="13579" width="14.375" style="3185" customWidth="1"/>
    <col min="13580" max="13580" width="6.25" style="3185" customWidth="1"/>
    <col min="13581" max="13581" width="26.125" style="3185" customWidth="1"/>
    <col min="13582" max="13824" width="9" style="3185"/>
    <col min="13825" max="13825" width="62.5" style="3185" customWidth="1"/>
    <col min="13826" max="13826" width="6.25" style="3185" customWidth="1"/>
    <col min="13827" max="13829" width="13.875" style="3185" customWidth="1"/>
    <col min="13830" max="13830" width="8.375" style="3185" customWidth="1"/>
    <col min="13831" max="13831" width="7.875" style="3185" customWidth="1"/>
    <col min="13832" max="13832" width="9" style="3185" customWidth="1"/>
    <col min="13833" max="13834" width="10.625" style="3185" customWidth="1"/>
    <col min="13835" max="13835" width="14.375" style="3185" customWidth="1"/>
    <col min="13836" max="13836" width="6.25" style="3185" customWidth="1"/>
    <col min="13837" max="13837" width="26.125" style="3185" customWidth="1"/>
    <col min="13838" max="14080" width="9" style="3185"/>
    <col min="14081" max="14081" width="62.5" style="3185" customWidth="1"/>
    <col min="14082" max="14082" width="6.25" style="3185" customWidth="1"/>
    <col min="14083" max="14085" width="13.875" style="3185" customWidth="1"/>
    <col min="14086" max="14086" width="8.375" style="3185" customWidth="1"/>
    <col min="14087" max="14087" width="7.875" style="3185" customWidth="1"/>
    <col min="14088" max="14088" width="9" style="3185" customWidth="1"/>
    <col min="14089" max="14090" width="10.625" style="3185" customWidth="1"/>
    <col min="14091" max="14091" width="14.375" style="3185" customWidth="1"/>
    <col min="14092" max="14092" width="6.25" style="3185" customWidth="1"/>
    <col min="14093" max="14093" width="26.125" style="3185" customWidth="1"/>
    <col min="14094" max="14336" width="9" style="3185"/>
    <col min="14337" max="14337" width="62.5" style="3185" customWidth="1"/>
    <col min="14338" max="14338" width="6.25" style="3185" customWidth="1"/>
    <col min="14339" max="14341" width="13.875" style="3185" customWidth="1"/>
    <col min="14342" max="14342" width="8.375" style="3185" customWidth="1"/>
    <col min="14343" max="14343" width="7.875" style="3185" customWidth="1"/>
    <col min="14344" max="14344" width="9" style="3185" customWidth="1"/>
    <col min="14345" max="14346" width="10.625" style="3185" customWidth="1"/>
    <col min="14347" max="14347" width="14.375" style="3185" customWidth="1"/>
    <col min="14348" max="14348" width="6.25" style="3185" customWidth="1"/>
    <col min="14349" max="14349" width="26.125" style="3185" customWidth="1"/>
    <col min="14350" max="14592" width="9" style="3185"/>
    <col min="14593" max="14593" width="62.5" style="3185" customWidth="1"/>
    <col min="14594" max="14594" width="6.25" style="3185" customWidth="1"/>
    <col min="14595" max="14597" width="13.875" style="3185" customWidth="1"/>
    <col min="14598" max="14598" width="8.375" style="3185" customWidth="1"/>
    <col min="14599" max="14599" width="7.875" style="3185" customWidth="1"/>
    <col min="14600" max="14600" width="9" style="3185" customWidth="1"/>
    <col min="14601" max="14602" width="10.625" style="3185" customWidth="1"/>
    <col min="14603" max="14603" width="14.375" style="3185" customWidth="1"/>
    <col min="14604" max="14604" width="6.25" style="3185" customWidth="1"/>
    <col min="14605" max="14605" width="26.125" style="3185" customWidth="1"/>
    <col min="14606" max="14848" width="9" style="3185"/>
    <col min="14849" max="14849" width="62.5" style="3185" customWidth="1"/>
    <col min="14850" max="14850" width="6.25" style="3185" customWidth="1"/>
    <col min="14851" max="14853" width="13.875" style="3185" customWidth="1"/>
    <col min="14854" max="14854" width="8.375" style="3185" customWidth="1"/>
    <col min="14855" max="14855" width="7.875" style="3185" customWidth="1"/>
    <col min="14856" max="14856" width="9" style="3185" customWidth="1"/>
    <col min="14857" max="14858" width="10.625" style="3185" customWidth="1"/>
    <col min="14859" max="14859" width="14.375" style="3185" customWidth="1"/>
    <col min="14860" max="14860" width="6.25" style="3185" customWidth="1"/>
    <col min="14861" max="14861" width="26.125" style="3185" customWidth="1"/>
    <col min="14862" max="15104" width="9" style="3185"/>
    <col min="15105" max="15105" width="62.5" style="3185" customWidth="1"/>
    <col min="15106" max="15106" width="6.25" style="3185" customWidth="1"/>
    <col min="15107" max="15109" width="13.875" style="3185" customWidth="1"/>
    <col min="15110" max="15110" width="8.375" style="3185" customWidth="1"/>
    <col min="15111" max="15111" width="7.875" style="3185" customWidth="1"/>
    <col min="15112" max="15112" width="9" style="3185" customWidth="1"/>
    <col min="15113" max="15114" width="10.625" style="3185" customWidth="1"/>
    <col min="15115" max="15115" width="14.375" style="3185" customWidth="1"/>
    <col min="15116" max="15116" width="6.25" style="3185" customWidth="1"/>
    <col min="15117" max="15117" width="26.125" style="3185" customWidth="1"/>
    <col min="15118" max="15360" width="9" style="3185"/>
    <col min="15361" max="15361" width="62.5" style="3185" customWidth="1"/>
    <col min="15362" max="15362" width="6.25" style="3185" customWidth="1"/>
    <col min="15363" max="15365" width="13.875" style="3185" customWidth="1"/>
    <col min="15366" max="15366" width="8.375" style="3185" customWidth="1"/>
    <col min="15367" max="15367" width="7.875" style="3185" customWidth="1"/>
    <col min="15368" max="15368" width="9" style="3185" customWidth="1"/>
    <col min="15369" max="15370" width="10.625" style="3185" customWidth="1"/>
    <col min="15371" max="15371" width="14.375" style="3185" customWidth="1"/>
    <col min="15372" max="15372" width="6.25" style="3185" customWidth="1"/>
    <col min="15373" max="15373" width="26.125" style="3185" customWidth="1"/>
    <col min="15374" max="15616" width="9" style="3185"/>
    <col min="15617" max="15617" width="62.5" style="3185" customWidth="1"/>
    <col min="15618" max="15618" width="6.25" style="3185" customWidth="1"/>
    <col min="15619" max="15621" width="13.875" style="3185" customWidth="1"/>
    <col min="15622" max="15622" width="8.375" style="3185" customWidth="1"/>
    <col min="15623" max="15623" width="7.875" style="3185" customWidth="1"/>
    <col min="15624" max="15624" width="9" style="3185" customWidth="1"/>
    <col min="15625" max="15626" width="10.625" style="3185" customWidth="1"/>
    <col min="15627" max="15627" width="14.375" style="3185" customWidth="1"/>
    <col min="15628" max="15628" width="6.25" style="3185" customWidth="1"/>
    <col min="15629" max="15629" width="26.125" style="3185" customWidth="1"/>
    <col min="15630" max="15872" width="9" style="3185"/>
    <col min="15873" max="15873" width="62.5" style="3185" customWidth="1"/>
    <col min="15874" max="15874" width="6.25" style="3185" customWidth="1"/>
    <col min="15875" max="15877" width="13.875" style="3185" customWidth="1"/>
    <col min="15878" max="15878" width="8.375" style="3185" customWidth="1"/>
    <col min="15879" max="15879" width="7.875" style="3185" customWidth="1"/>
    <col min="15880" max="15880" width="9" style="3185" customWidth="1"/>
    <col min="15881" max="15882" width="10.625" style="3185" customWidth="1"/>
    <col min="15883" max="15883" width="14.375" style="3185" customWidth="1"/>
    <col min="15884" max="15884" width="6.25" style="3185" customWidth="1"/>
    <col min="15885" max="15885" width="26.125" style="3185" customWidth="1"/>
    <col min="15886" max="16128" width="9" style="3185"/>
    <col min="16129" max="16129" width="62.5" style="3185" customWidth="1"/>
    <col min="16130" max="16130" width="6.25" style="3185" customWidth="1"/>
    <col min="16131" max="16133" width="13.875" style="3185" customWidth="1"/>
    <col min="16134" max="16134" width="8.375" style="3185" customWidth="1"/>
    <col min="16135" max="16135" width="7.875" style="3185" customWidth="1"/>
    <col min="16136" max="16136" width="9" style="3185" customWidth="1"/>
    <col min="16137" max="16138" width="10.625" style="3185" customWidth="1"/>
    <col min="16139" max="16139" width="14.375" style="3185" customWidth="1"/>
    <col min="16140" max="16140" width="6.25" style="3185" customWidth="1"/>
    <col min="16141" max="16141" width="26.125" style="3185" customWidth="1"/>
    <col min="16142" max="16384" width="9" style="3185"/>
  </cols>
  <sheetData>
    <row r="1" spans="1:15">
      <c r="A1" s="3185" t="s">
        <v>3018</v>
      </c>
      <c r="B1" s="3185" t="s">
        <v>3019</v>
      </c>
      <c r="C1" s="3185" t="s">
        <v>3020</v>
      </c>
      <c r="D1" s="3185" t="s">
        <v>3021</v>
      </c>
      <c r="E1" s="3185" t="s">
        <v>3022</v>
      </c>
      <c r="F1" s="3185" t="s">
        <v>2034</v>
      </c>
      <c r="G1" s="3185" t="s">
        <v>3023</v>
      </c>
      <c r="H1" s="3185" t="s">
        <v>3024</v>
      </c>
      <c r="I1" s="3185" t="s">
        <v>3025</v>
      </c>
      <c r="J1" s="3185" t="s">
        <v>3026</v>
      </c>
      <c r="K1" s="3185" t="s">
        <v>3027</v>
      </c>
      <c r="L1" s="3185" t="s">
        <v>3028</v>
      </c>
      <c r="M1" s="3185" t="s">
        <v>3029</v>
      </c>
      <c r="O1" s="3204" t="s">
        <v>3127</v>
      </c>
    </row>
    <row r="2" spans="1:15">
      <c r="A2" s="3185" t="s">
        <v>3030</v>
      </c>
      <c r="B2" s="3185" t="s">
        <v>3031</v>
      </c>
      <c r="C2" s="3185" t="s">
        <v>3032</v>
      </c>
      <c r="D2" s="3185">
        <v>96503.72</v>
      </c>
      <c r="E2" s="3185">
        <v>173706.7</v>
      </c>
      <c r="F2" s="3185" t="s">
        <v>3033</v>
      </c>
      <c r="G2" s="3185" t="s">
        <v>3034</v>
      </c>
      <c r="H2" s="3185" t="s">
        <v>3035</v>
      </c>
      <c r="I2" s="3185">
        <v>12091.89</v>
      </c>
      <c r="J2" s="3185">
        <v>13591.89</v>
      </c>
      <c r="K2" s="3185">
        <v>782.46</v>
      </c>
      <c r="L2" s="3185">
        <v>12.4</v>
      </c>
      <c r="M2" s="3185" t="s">
        <v>3036</v>
      </c>
      <c r="O2" s="3185">
        <v>696</v>
      </c>
    </row>
    <row r="3" spans="1:15">
      <c r="A3" s="3185" t="s">
        <v>3030</v>
      </c>
      <c r="B3" s="3185" t="s">
        <v>3031</v>
      </c>
      <c r="C3" s="3185" t="s">
        <v>3037</v>
      </c>
      <c r="D3" s="3185">
        <v>29523.08</v>
      </c>
      <c r="E3" s="3185">
        <v>53141.54</v>
      </c>
      <c r="F3" s="3185" t="s">
        <v>3033</v>
      </c>
      <c r="G3" s="3185" t="s">
        <v>3034</v>
      </c>
      <c r="H3" s="3185" t="s">
        <v>3038</v>
      </c>
      <c r="I3" s="3185">
        <v>4068.3</v>
      </c>
      <c r="J3" s="3185">
        <v>20468.29</v>
      </c>
      <c r="K3" s="3185">
        <v>3851.65</v>
      </c>
      <c r="L3" s="3185">
        <v>403.12</v>
      </c>
      <c r="M3" s="3185" t="s">
        <v>3036</v>
      </c>
      <c r="O3" s="3185">
        <v>766</v>
      </c>
    </row>
    <row r="4" spans="1:15" s="3205" customFormat="1">
      <c r="A4" s="3205" t="s">
        <v>3030</v>
      </c>
      <c r="B4" s="3205" t="s">
        <v>3031</v>
      </c>
      <c r="C4" s="3205" t="s">
        <v>3032</v>
      </c>
      <c r="D4" s="3205">
        <v>18998.25</v>
      </c>
      <c r="E4" s="3205">
        <v>34196.85</v>
      </c>
      <c r="F4" s="3205" t="s">
        <v>3033</v>
      </c>
      <c r="G4" s="3205" t="s">
        <v>3034</v>
      </c>
      <c r="H4" s="3205" t="s">
        <v>3039</v>
      </c>
      <c r="I4" s="3205">
        <v>2357.69</v>
      </c>
      <c r="J4" s="3205">
        <v>10107.700000000001</v>
      </c>
      <c r="K4" s="3205">
        <v>2955.73</v>
      </c>
      <c r="L4" s="3205">
        <v>328.71</v>
      </c>
      <c r="M4" s="3205" t="s">
        <v>3036</v>
      </c>
      <c r="O4" s="3205">
        <v>689</v>
      </c>
    </row>
    <row r="5" spans="1:15" s="3205" customFormat="1">
      <c r="A5" s="3205" t="s">
        <v>3030</v>
      </c>
      <c r="B5" s="3205" t="s">
        <v>3031</v>
      </c>
      <c r="C5" s="3205" t="s">
        <v>3032</v>
      </c>
      <c r="D5" s="3205">
        <v>38113.18</v>
      </c>
      <c r="E5" s="3205">
        <v>68603.72</v>
      </c>
      <c r="F5" s="3205" t="s">
        <v>3033</v>
      </c>
      <c r="G5" s="3205" t="s">
        <v>3034</v>
      </c>
      <c r="H5" s="3205" t="s">
        <v>3039</v>
      </c>
      <c r="I5" s="3205">
        <v>4729.8</v>
      </c>
      <c r="J5" s="3205">
        <v>16229.79</v>
      </c>
      <c r="K5" s="3205">
        <v>2365.73</v>
      </c>
      <c r="L5" s="3205">
        <v>243.14</v>
      </c>
      <c r="M5" s="3205" t="s">
        <v>3040</v>
      </c>
      <c r="O5" s="3205">
        <v>689</v>
      </c>
    </row>
    <row r="6" spans="1:15">
      <c r="A6" s="3185" t="s">
        <v>3041</v>
      </c>
      <c r="B6" s="3185" t="s">
        <v>3031</v>
      </c>
      <c r="C6" s="3185" t="s">
        <v>3037</v>
      </c>
      <c r="D6" s="3185">
        <v>25253.4</v>
      </c>
      <c r="E6" s="3185">
        <v>63133.5</v>
      </c>
      <c r="F6" s="3185" t="s">
        <v>3042</v>
      </c>
      <c r="G6" s="3185" t="s">
        <v>3034</v>
      </c>
      <c r="H6" s="3185" t="s">
        <v>3043</v>
      </c>
      <c r="I6" s="3185">
        <v>11222.6</v>
      </c>
      <c r="J6" s="3185">
        <v>30422.59</v>
      </c>
      <c r="K6" s="3185">
        <v>4818.7700000000004</v>
      </c>
      <c r="L6" s="3185">
        <v>171.08</v>
      </c>
      <c r="M6" s="3185" t="s">
        <v>3044</v>
      </c>
      <c r="O6" s="3185">
        <v>1778</v>
      </c>
    </row>
    <row r="7" spans="1:15">
      <c r="A7" s="3185" t="s">
        <v>3045</v>
      </c>
      <c r="B7" s="3185" t="s">
        <v>3031</v>
      </c>
      <c r="C7" s="3185" t="s">
        <v>3037</v>
      </c>
      <c r="D7" s="3185">
        <v>30989.4</v>
      </c>
      <c r="E7" s="3185">
        <v>86770.32</v>
      </c>
      <c r="F7" s="3185" t="s">
        <v>3046</v>
      </c>
      <c r="G7" s="3185" t="s">
        <v>3034</v>
      </c>
      <c r="H7" s="3185" t="s">
        <v>3047</v>
      </c>
      <c r="I7" s="3185">
        <v>3966.63</v>
      </c>
      <c r="J7" s="3185">
        <v>21766.63</v>
      </c>
      <c r="K7" s="3185">
        <v>2508.5300000000002</v>
      </c>
      <c r="L7" s="3185">
        <v>448.74</v>
      </c>
      <c r="M7" s="3185" t="s">
        <v>3048</v>
      </c>
      <c r="O7" s="3185">
        <v>457</v>
      </c>
    </row>
    <row r="8" spans="1:15" s="3186" customFormat="1">
      <c r="A8" s="3186" t="s">
        <v>3049</v>
      </c>
      <c r="B8" s="3186" t="s">
        <v>3031</v>
      </c>
      <c r="C8" s="3186" t="s">
        <v>3032</v>
      </c>
      <c r="D8" s="3186">
        <v>92914.55</v>
      </c>
      <c r="E8" s="3186">
        <v>167246.20000000001</v>
      </c>
      <c r="F8" s="3186" t="s">
        <v>3033</v>
      </c>
      <c r="G8" s="3186" t="s">
        <v>3034</v>
      </c>
      <c r="H8" s="3186" t="s">
        <v>3050</v>
      </c>
      <c r="I8" s="3186">
        <v>32334.25</v>
      </c>
      <c r="J8" s="3186">
        <v>32334.25</v>
      </c>
      <c r="K8" s="3186">
        <v>1933.32</v>
      </c>
      <c r="L8" s="3186">
        <v>0</v>
      </c>
      <c r="M8" s="3186" t="s">
        <v>3051</v>
      </c>
      <c r="N8" s="3186">
        <f>ROUND(J8/D8*10000,0)</f>
        <v>3480</v>
      </c>
      <c r="O8" s="3186">
        <v>1933</v>
      </c>
    </row>
    <row r="9" spans="1:15">
      <c r="A9" s="3185" t="s">
        <v>3052</v>
      </c>
      <c r="B9" s="3185" t="s">
        <v>3031</v>
      </c>
      <c r="C9" s="3185" t="s">
        <v>3037</v>
      </c>
      <c r="D9" s="3185">
        <v>22221.16</v>
      </c>
      <c r="E9" s="3185">
        <v>62219.25</v>
      </c>
      <c r="F9" s="3185" t="s">
        <v>3046</v>
      </c>
      <c r="G9" s="3185" t="s">
        <v>3034</v>
      </c>
      <c r="H9" s="3185" t="s">
        <v>3053</v>
      </c>
      <c r="I9" s="3185">
        <v>1777.69</v>
      </c>
      <c r="J9" s="3185">
        <v>1777.69</v>
      </c>
      <c r="K9" s="3185">
        <v>285.7</v>
      </c>
      <c r="L9" s="3185">
        <v>0</v>
      </c>
      <c r="M9" s="3185" t="s">
        <v>3054</v>
      </c>
      <c r="N9" s="3186"/>
      <c r="O9" s="3185">
        <v>286</v>
      </c>
    </row>
    <row r="10" spans="1:15">
      <c r="A10" s="3185" t="s">
        <v>3055</v>
      </c>
      <c r="B10" s="3185" t="s">
        <v>3031</v>
      </c>
      <c r="C10" s="3185" t="s">
        <v>3037</v>
      </c>
      <c r="D10" s="3185">
        <v>50000</v>
      </c>
      <c r="E10" s="3185">
        <v>125000</v>
      </c>
      <c r="F10" s="3185" t="s">
        <v>3042</v>
      </c>
      <c r="G10" s="3185" t="s">
        <v>3034</v>
      </c>
      <c r="H10" s="3185" t="s">
        <v>3056</v>
      </c>
      <c r="I10" s="3185">
        <v>7975</v>
      </c>
      <c r="J10" s="3185">
        <v>7975</v>
      </c>
      <c r="K10" s="3185">
        <v>638</v>
      </c>
      <c r="L10" s="3185">
        <v>0</v>
      </c>
      <c r="M10" s="3185" t="s">
        <v>3057</v>
      </c>
      <c r="N10" s="3186"/>
      <c r="O10" s="3185">
        <v>638</v>
      </c>
    </row>
    <row r="11" spans="1:15">
      <c r="A11" s="3185" t="s">
        <v>3058</v>
      </c>
      <c r="B11" s="3185" t="s">
        <v>3031</v>
      </c>
      <c r="C11" s="3185" t="s">
        <v>3037</v>
      </c>
      <c r="D11" s="3185">
        <v>45251.67</v>
      </c>
      <c r="E11" s="3185">
        <v>113129.2</v>
      </c>
      <c r="F11" s="3185" t="s">
        <v>3042</v>
      </c>
      <c r="G11" s="3185" t="s">
        <v>3034</v>
      </c>
      <c r="H11" s="3185" t="s">
        <v>3056</v>
      </c>
      <c r="I11" s="3185">
        <v>7217.64</v>
      </c>
      <c r="J11" s="3185">
        <v>7217.64</v>
      </c>
      <c r="K11" s="3185">
        <v>638</v>
      </c>
      <c r="L11" s="3185">
        <v>0</v>
      </c>
      <c r="M11" s="3185" t="s">
        <v>3057</v>
      </c>
      <c r="N11" s="3186"/>
      <c r="O11" s="3185">
        <v>638</v>
      </c>
    </row>
    <row r="12" spans="1:15">
      <c r="A12" s="3185" t="s">
        <v>3059</v>
      </c>
      <c r="B12" s="3185" t="s">
        <v>3031</v>
      </c>
      <c r="C12" s="3185" t="s">
        <v>3037</v>
      </c>
      <c r="D12" s="3185">
        <v>9582.7999999999993</v>
      </c>
      <c r="E12" s="3185">
        <v>23957</v>
      </c>
      <c r="F12" s="3185" t="s">
        <v>3042</v>
      </c>
      <c r="G12" s="3185" t="s">
        <v>3034</v>
      </c>
      <c r="H12" s="3185" t="s">
        <v>3060</v>
      </c>
      <c r="I12" s="3185">
        <v>1609.91</v>
      </c>
      <c r="J12" s="3185">
        <v>1609.91</v>
      </c>
      <c r="K12" s="3185">
        <v>672</v>
      </c>
      <c r="L12" s="3185">
        <v>0</v>
      </c>
      <c r="M12" s="3185" t="s">
        <v>3061</v>
      </c>
      <c r="N12" s="3186"/>
      <c r="O12" s="3185">
        <v>672</v>
      </c>
    </row>
    <row r="13" spans="1:15" s="3186" customFormat="1">
      <c r="A13" s="3186" t="s">
        <v>3062</v>
      </c>
      <c r="B13" s="3186" t="s">
        <v>3031</v>
      </c>
      <c r="C13" s="3186" t="s">
        <v>3037</v>
      </c>
      <c r="D13" s="3186">
        <v>71393.600000000006</v>
      </c>
      <c r="E13" s="3186">
        <v>178484</v>
      </c>
      <c r="F13" s="3186" t="s">
        <v>3042</v>
      </c>
      <c r="G13" s="3186" t="s">
        <v>3034</v>
      </c>
      <c r="H13" s="3186" t="s">
        <v>3063</v>
      </c>
      <c r="I13" s="3186">
        <v>17277.29</v>
      </c>
      <c r="J13" s="3186">
        <v>41177.300000000003</v>
      </c>
      <c r="K13" s="3186">
        <v>2307.0500000000002</v>
      </c>
      <c r="L13" s="3186">
        <v>138.33000000000001</v>
      </c>
      <c r="M13" s="3186" t="s">
        <v>3064</v>
      </c>
      <c r="N13" s="3186">
        <f t="shared" ref="N13:N14" si="0">ROUND(J13/D13*10000,0)</f>
        <v>5768</v>
      </c>
      <c r="O13" s="3186">
        <v>968</v>
      </c>
    </row>
    <row r="14" spans="1:15" s="3186" customFormat="1">
      <c r="A14" s="3186" t="s">
        <v>3065</v>
      </c>
      <c r="B14" s="3186" t="s">
        <v>3031</v>
      </c>
      <c r="C14" s="3186" t="s">
        <v>3037</v>
      </c>
      <c r="D14" s="3186">
        <v>2863.8</v>
      </c>
      <c r="E14" s="3186">
        <v>6300.36</v>
      </c>
      <c r="F14" s="3186" t="s">
        <v>3066</v>
      </c>
      <c r="G14" s="3186" t="s">
        <v>3034</v>
      </c>
      <c r="H14" s="3186" t="s">
        <v>3067</v>
      </c>
      <c r="I14" s="3186">
        <v>748</v>
      </c>
      <c r="J14" s="3186">
        <v>1058</v>
      </c>
      <c r="K14" s="3186">
        <v>1679.26</v>
      </c>
      <c r="L14" s="3186">
        <v>41.44</v>
      </c>
      <c r="M14" s="3186" t="s">
        <v>3068</v>
      </c>
      <c r="N14" s="3186">
        <f t="shared" si="0"/>
        <v>3694</v>
      </c>
      <c r="O14" s="3186">
        <v>1187</v>
      </c>
    </row>
    <row r="15" spans="1:15">
      <c r="A15" s="3185" t="s">
        <v>3069</v>
      </c>
      <c r="B15" s="3185" t="s">
        <v>3031</v>
      </c>
      <c r="C15" s="3185" t="s">
        <v>3032</v>
      </c>
      <c r="D15" s="3185">
        <v>3849.9</v>
      </c>
      <c r="E15" s="3185">
        <v>6929.82</v>
      </c>
      <c r="F15" s="3185" t="s">
        <v>3033</v>
      </c>
      <c r="G15" s="3185" t="s">
        <v>3034</v>
      </c>
      <c r="H15" s="3185" t="s">
        <v>3070</v>
      </c>
      <c r="I15" s="3185">
        <v>737.7</v>
      </c>
      <c r="J15" s="3185">
        <v>737.7</v>
      </c>
      <c r="K15" s="3185">
        <v>1064.52</v>
      </c>
      <c r="L15" s="3185">
        <v>0</v>
      </c>
      <c r="M15" s="3185" t="s">
        <v>3071</v>
      </c>
    </row>
    <row r="16" spans="1:15">
      <c r="A16" s="3185" t="s">
        <v>3072</v>
      </c>
      <c r="B16" s="3185" t="s">
        <v>3031</v>
      </c>
      <c r="C16" s="3185" t="s">
        <v>3037</v>
      </c>
      <c r="D16" s="3185">
        <v>17610</v>
      </c>
      <c r="E16" s="3185">
        <v>44025</v>
      </c>
      <c r="F16" s="3185" t="s">
        <v>3042</v>
      </c>
      <c r="G16" s="3185" t="s">
        <v>3034</v>
      </c>
      <c r="H16" s="3185" t="s">
        <v>3073</v>
      </c>
      <c r="I16" s="3185">
        <v>2377.4</v>
      </c>
      <c r="J16" s="3185">
        <v>2377.4</v>
      </c>
      <c r="K16" s="3185">
        <v>540</v>
      </c>
      <c r="L16" s="3185">
        <v>0</v>
      </c>
      <c r="M16" s="3185" t="s">
        <v>3074</v>
      </c>
    </row>
    <row r="17" spans="1:13">
      <c r="A17" s="3185" t="s">
        <v>3075</v>
      </c>
      <c r="B17" s="3185" t="s">
        <v>3031</v>
      </c>
      <c r="C17" s="3185" t="s">
        <v>3037</v>
      </c>
      <c r="D17" s="3185">
        <v>66222.8</v>
      </c>
      <c r="E17" s="3185">
        <v>152312.4</v>
      </c>
      <c r="F17" s="3185" t="s">
        <v>3076</v>
      </c>
      <c r="G17" s="3185" t="s">
        <v>3034</v>
      </c>
      <c r="H17" s="3185" t="s">
        <v>3077</v>
      </c>
      <c r="I17" s="3185">
        <v>9933.42</v>
      </c>
      <c r="J17" s="3185">
        <v>9933.42</v>
      </c>
      <c r="K17" s="3185">
        <v>652.16</v>
      </c>
      <c r="L17" s="3185">
        <v>0</v>
      </c>
      <c r="M17" s="3185" t="s">
        <v>3078</v>
      </c>
    </row>
    <row r="18" spans="1:13" s="3186" customFormat="1">
      <c r="A18" s="3186" t="s">
        <v>3079</v>
      </c>
      <c r="B18" s="3186" t="s">
        <v>3031</v>
      </c>
      <c r="C18" s="3186" t="s">
        <v>3037</v>
      </c>
      <c r="D18" s="3186">
        <v>30051.66</v>
      </c>
      <c r="E18" s="3186">
        <v>90154.98</v>
      </c>
      <c r="F18" s="3186" t="s">
        <v>3080</v>
      </c>
      <c r="G18" s="3186" t="s">
        <v>3034</v>
      </c>
      <c r="H18" s="3186" t="s">
        <v>3081</v>
      </c>
      <c r="I18" s="3186">
        <v>3975.82</v>
      </c>
      <c r="J18" s="3186">
        <v>3975.84</v>
      </c>
      <c r="K18" s="3186">
        <v>441</v>
      </c>
      <c r="L18" s="3186">
        <v>0</v>
      </c>
      <c r="M18" s="3186" t="s">
        <v>3057</v>
      </c>
    </row>
    <row r="19" spans="1:13">
      <c r="A19" s="3185" t="s">
        <v>3082</v>
      </c>
      <c r="B19" s="3185" t="s">
        <v>3031</v>
      </c>
      <c r="C19" s="3185" t="s">
        <v>3037</v>
      </c>
      <c r="D19" s="3185">
        <v>58395.839999999997</v>
      </c>
      <c r="E19" s="3185">
        <v>163508.29999999999</v>
      </c>
      <c r="F19" s="3185" t="s">
        <v>3046</v>
      </c>
      <c r="G19" s="3185" t="s">
        <v>3034</v>
      </c>
      <c r="H19" s="3185" t="s">
        <v>3081</v>
      </c>
      <c r="I19" s="3185">
        <v>9051.39</v>
      </c>
      <c r="J19" s="3185">
        <v>9051.39</v>
      </c>
      <c r="K19" s="3185">
        <v>553.57000000000005</v>
      </c>
      <c r="L19" s="3185">
        <v>0</v>
      </c>
      <c r="M19" s="3185" t="s">
        <v>3083</v>
      </c>
    </row>
    <row r="20" spans="1:13">
      <c r="A20" s="3185" t="s">
        <v>3084</v>
      </c>
      <c r="B20" s="3185" t="s">
        <v>3031</v>
      </c>
      <c r="C20" s="3185" t="s">
        <v>3037</v>
      </c>
      <c r="D20" s="3185">
        <v>37974.800000000003</v>
      </c>
      <c r="E20" s="3185">
        <v>102532</v>
      </c>
      <c r="F20" s="3185" t="s">
        <v>3085</v>
      </c>
      <c r="G20" s="3185" t="s">
        <v>3034</v>
      </c>
      <c r="H20" s="3185" t="s">
        <v>3086</v>
      </c>
      <c r="I20" s="3185">
        <v>8278.51</v>
      </c>
      <c r="J20" s="3185">
        <v>12158.51</v>
      </c>
      <c r="K20" s="3185">
        <v>1185.82</v>
      </c>
      <c r="L20" s="3185">
        <v>46.87</v>
      </c>
      <c r="M20" s="3185" t="s">
        <v>3087</v>
      </c>
    </row>
    <row r="21" spans="1:13">
      <c r="A21" s="3185" t="s">
        <v>3084</v>
      </c>
      <c r="B21" s="3185" t="s">
        <v>3031</v>
      </c>
      <c r="C21" s="3185" t="s">
        <v>3037</v>
      </c>
      <c r="D21" s="3185">
        <v>60206.1</v>
      </c>
      <c r="E21" s="3185">
        <v>162556.5</v>
      </c>
      <c r="F21" s="3185" t="s">
        <v>3085</v>
      </c>
      <c r="G21" s="3185" t="s">
        <v>3034</v>
      </c>
      <c r="H21" s="3185" t="s">
        <v>3086</v>
      </c>
      <c r="I21" s="3185">
        <v>13124.93</v>
      </c>
      <c r="J21" s="3185">
        <v>19304.93</v>
      </c>
      <c r="K21" s="3185">
        <v>1187.57</v>
      </c>
      <c r="L21" s="3185">
        <v>47.09</v>
      </c>
      <c r="M21" s="3185" t="s">
        <v>3087</v>
      </c>
    </row>
    <row r="22" spans="1:13">
      <c r="A22" s="3185" t="s">
        <v>3088</v>
      </c>
      <c r="B22" s="3185" t="s">
        <v>3031</v>
      </c>
      <c r="C22" s="3185" t="s">
        <v>3032</v>
      </c>
      <c r="D22" s="3185">
        <v>445.2</v>
      </c>
      <c r="E22" s="3185">
        <v>890.4</v>
      </c>
      <c r="F22" s="3185" t="s">
        <v>3089</v>
      </c>
      <c r="G22" s="3185" t="s">
        <v>3034</v>
      </c>
      <c r="H22" s="3185" t="s">
        <v>3090</v>
      </c>
      <c r="I22" s="3185">
        <v>117.98</v>
      </c>
      <c r="J22" s="3185">
        <v>117.98</v>
      </c>
      <c r="K22" s="3185">
        <v>1325.01</v>
      </c>
      <c r="L22" s="3185">
        <v>0</v>
      </c>
      <c r="M22" s="3185" t="s">
        <v>3091</v>
      </c>
    </row>
    <row r="24" spans="1:13">
      <c r="D24" s="3187"/>
    </row>
    <row r="26" spans="1:13">
      <c r="D26" s="3187" t="s">
        <v>3092</v>
      </c>
    </row>
    <row r="27" spans="1:13">
      <c r="H27" s="3185">
        <f>SUM('数据-基础表'!I13:I21)</f>
        <v>129772.48999999999</v>
      </c>
      <c r="I27" s="3185">
        <f>13013.01+14161.96+12844.38+17253.66+15231.79+14525.81+15641.06+17066.53+14161.96</f>
        <v>133900.15999999997</v>
      </c>
    </row>
    <row r="28" spans="1:13">
      <c r="I28" s="3185">
        <f>I27-H27</f>
        <v>4127.6699999999837</v>
      </c>
    </row>
    <row r="29" spans="1:13" ht="14.25">
      <c r="G29" s="3189"/>
      <c r="I29" s="3185">
        <v>3465.62</v>
      </c>
    </row>
    <row r="30" spans="1:13">
      <c r="I30" s="3185">
        <f>I28-I29</f>
        <v>662.04999999998381</v>
      </c>
    </row>
    <row r="34" spans="4:7" ht="14.25">
      <c r="D34" s="3190">
        <v>2016.1</v>
      </c>
      <c r="E34" s="3191">
        <v>5344</v>
      </c>
      <c r="F34" s="3191">
        <v>1.31</v>
      </c>
    </row>
    <row r="35" spans="4:7" ht="14.25">
      <c r="D35" s="3188">
        <v>2016.2</v>
      </c>
      <c r="E35" s="3189">
        <v>5538</v>
      </c>
      <c r="F35" s="3189">
        <v>3.63</v>
      </c>
    </row>
    <row r="36" spans="4:7" ht="14.25">
      <c r="D36" s="3190">
        <v>2016.3</v>
      </c>
      <c r="E36" s="3191">
        <v>5760</v>
      </c>
      <c r="F36" s="3191">
        <v>4.01</v>
      </c>
    </row>
    <row r="37" spans="4:7" ht="14.25">
      <c r="D37" s="3188">
        <v>2016.4</v>
      </c>
      <c r="E37" s="3189">
        <v>5890</v>
      </c>
      <c r="F37" s="3189">
        <v>2.2599999999999998</v>
      </c>
    </row>
    <row r="38" spans="4:7" ht="14.25">
      <c r="D38" s="3192">
        <v>2017.1</v>
      </c>
      <c r="E38" s="3193">
        <v>5952</v>
      </c>
      <c r="F38" s="3193">
        <v>1.05</v>
      </c>
    </row>
    <row r="39" spans="4:7" ht="14.25">
      <c r="D39" s="3188">
        <v>2017.2</v>
      </c>
      <c r="E39" s="3189">
        <v>6005</v>
      </c>
      <c r="F39" s="3189">
        <v>0.89</v>
      </c>
      <c r="G39"/>
    </row>
    <row r="40" spans="4:7" ht="14.25">
      <c r="D40" s="3190">
        <v>2017.3</v>
      </c>
      <c r="E40" s="3191">
        <v>6053</v>
      </c>
      <c r="F40" s="3191">
        <v>0.8</v>
      </c>
    </row>
    <row r="41" spans="4:7" ht="14.25">
      <c r="D41" s="3188">
        <v>2017.4</v>
      </c>
      <c r="E41" s="3189">
        <v>6318</v>
      </c>
      <c r="F41" s="3189">
        <v>4.38</v>
      </c>
    </row>
    <row r="42" spans="4:7" ht="14.25">
      <c r="D42" s="3190">
        <v>2018.1</v>
      </c>
      <c r="E42" s="3191">
        <v>6521</v>
      </c>
      <c r="F42" s="3191">
        <v>3.21</v>
      </c>
    </row>
    <row r="43" spans="4:7" ht="14.25">
      <c r="D43" s="3188">
        <v>2018.2</v>
      </c>
      <c r="E43" s="3189">
        <v>6664</v>
      </c>
      <c r="F43" s="3189">
        <v>2.19</v>
      </c>
    </row>
    <row r="46" spans="4:7">
      <c r="E46" s="3185">
        <v>60675</v>
      </c>
      <c r="F46" s="3185">
        <f>75000/E46*10000</f>
        <v>12360.939431396786</v>
      </c>
    </row>
  </sheetData>
  <phoneticPr fontId="233" type="noConversion"/>
  <pageMargins left="0.75" right="0.75" top="1" bottom="1" header="0.5" footer="0.5"/>
  <pageSetup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45613</v>
      </c>
      <c r="C2" s="2106"/>
      <c r="D2" s="2106"/>
      <c r="E2" s="2106"/>
      <c r="F2" s="2106"/>
      <c r="G2" s="2106"/>
      <c r="H2" s="2106"/>
      <c r="I2" s="2106"/>
      <c r="J2" s="2106"/>
      <c r="K2" s="2106"/>
    </row>
    <row r="3" spans="1:31" s="2043" customFormat="1" ht="18" customHeight="1">
      <c r="A3" s="2108" t="s">
        <v>1685</v>
      </c>
      <c r="B3" s="2109">
        <f ca="1">ROUND(B2*10000/IF(B1="",'数据-汇总表'!E3,INDIRECT("'数据-取费表'!K"&amp;$K$1)),0)</f>
        <v>3022</v>
      </c>
      <c r="C3" s="2106"/>
      <c r="D3" s="2106"/>
      <c r="E3" s="2106"/>
      <c r="F3" s="2106"/>
      <c r="G3" s="2106"/>
      <c r="H3" s="2106"/>
      <c r="I3" s="2106"/>
      <c r="J3" s="2106"/>
      <c r="K3" s="2106"/>
    </row>
    <row r="4" spans="1:31" s="2043" customFormat="1" ht="18" customHeight="1">
      <c r="A4" s="426" t="s">
        <v>468</v>
      </c>
      <c r="B4" s="427">
        <f ca="1">ROUND(B2*10000/IF(B1="",'数据-汇总表'!D3,INDIRECT("'数据-取费表'!R"&amp;$K$1)),0)</f>
        <v>9641</v>
      </c>
      <c r="C4" s="428"/>
      <c r="D4" s="422"/>
      <c r="E4" s="422"/>
      <c r="F4" s="422"/>
      <c r="G4" s="422"/>
      <c r="H4" s="422"/>
      <c r="I4" s="422"/>
      <c r="J4" s="422"/>
      <c r="K4" s="422"/>
    </row>
    <row r="5" spans="1:31" s="2043" customFormat="1" ht="18" customHeight="1" thickBot="1">
      <c r="A5" s="429"/>
      <c r="B5" s="430">
        <f ca="1">ROUND(B2/(IF(B1="",'数据-汇总表'!D3,INDIRECT("'数据-取费表'!R"&amp;$K$1))/666.67),0)</f>
        <v>643</v>
      </c>
      <c r="C5" s="431" t="s">
        <v>469</v>
      </c>
      <c r="D5" s="422"/>
      <c r="E5" s="422"/>
      <c r="F5" s="422"/>
      <c r="G5" s="422"/>
      <c r="H5" s="422"/>
      <c r="I5" s="422"/>
      <c r="J5" s="422"/>
      <c r="K5" s="422"/>
    </row>
    <row r="6" spans="1:31" s="2113" customFormat="1" ht="16.5" customHeight="1">
      <c r="A6" s="2830" t="s">
        <v>1843</v>
      </c>
      <c r="B6" s="2831"/>
      <c r="C6" s="2832">
        <f>SUM(C10:K10)</f>
        <v>109093</v>
      </c>
      <c r="D6" s="2831"/>
      <c r="E6" s="2831"/>
      <c r="F6" s="2831"/>
      <c r="G6" s="2831"/>
      <c r="H6" s="2831"/>
      <c r="I6" s="2831"/>
      <c r="J6" s="2831"/>
      <c r="K6" s="2833"/>
    </row>
    <row r="7" spans="1:31" s="2115" customFormat="1" ht="15">
      <c r="A7" s="2834" t="s">
        <v>470</v>
      </c>
      <c r="B7" s="2835" t="s">
        <v>471</v>
      </c>
      <c r="C7" s="436" t="s">
        <v>923</v>
      </c>
      <c r="D7" s="436" t="s">
        <v>2997</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'不动产比较法-住宅'!C49</f>
        <v>9837</v>
      </c>
      <c r="D8" s="2836">
        <f>'不动产比较法-商业'!B3</f>
        <v>13235</v>
      </c>
      <c r="E8" s="2836">
        <f>'不动产比较法-车位'!B3</f>
        <v>2146</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100535.19</v>
      </c>
      <c r="D9" s="441">
        <f>SUMIF('数据-汇总表'!$C19:$C33,'剩余法-待开发'!D7,'数据-汇总表'!$E19:$E33)</f>
        <v>531</v>
      </c>
      <c r="E9" s="441">
        <f>SUMIF('数据-汇总表'!$C19:$C33,'剩余法-待开发'!E7,'数据-汇总表'!$E19:$E33)</f>
        <v>44231.600000000006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29">
        <f>'不动产比较法-住宅'!B2</f>
        <v>98896</v>
      </c>
      <c r="D10" s="3029">
        <f>'不动产比较法-商业'!B2</f>
        <v>703</v>
      </c>
      <c r="E10" s="3029">
        <f>'不动产比较法-车位'!B2</f>
        <v>9494</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32575</v>
      </c>
      <c r="D13" s="2846"/>
      <c r="E13" s="2847"/>
      <c r="F13" s="2848"/>
      <c r="G13" s="2814"/>
      <c r="H13" s="2815"/>
      <c r="I13" s="2815"/>
      <c r="J13" s="2815"/>
      <c r="K13" s="2816"/>
    </row>
    <row r="14" spans="1:31" s="2118" customFormat="1" ht="13.5" customHeight="1">
      <c r="A14" s="2844" t="s">
        <v>1850</v>
      </c>
      <c r="B14" s="2845" t="s">
        <v>480</v>
      </c>
      <c r="C14" s="53">
        <f ca="1">ROUND(C13*F14,0)</f>
        <v>977</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664</v>
      </c>
      <c r="D15" s="2846"/>
      <c r="E15" s="2847"/>
      <c r="F15" s="2849">
        <f>'数据-取费表'!B34</f>
        <v>0.03</v>
      </c>
      <c r="G15" s="2814" t="s">
        <v>483</v>
      </c>
      <c r="H15" s="2815"/>
      <c r="I15" s="2815"/>
      <c r="J15" s="2815"/>
      <c r="K15" s="2816"/>
    </row>
    <row r="16" spans="1:31" s="2119" customFormat="1" ht="13.5" customHeight="1">
      <c r="A16" s="2844" t="s">
        <v>1852</v>
      </c>
      <c r="B16" s="2845" t="s">
        <v>484</v>
      </c>
      <c r="C16" s="53">
        <f ca="1">ROUND(D16*E16/10000,0)</f>
        <v>2264</v>
      </c>
      <c r="D16" s="2846">
        <f ca="1">IF(B1="",'数据-汇总表'!E3,INDIRECT("'数据-取费表'!K"&amp;$K$1)+INDIRECT("'数据-取费表'!S"&amp;$K$1))</f>
        <v>150957.27000000002</v>
      </c>
      <c r="E16" s="53">
        <f>'数据-取费表'!B35</f>
        <v>150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489</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36969</v>
      </c>
      <c r="D18" s="2855"/>
      <c r="E18" s="468"/>
      <c r="F18" s="468"/>
      <c r="G18" s="2818" t="s">
        <v>2432</v>
      </c>
      <c r="H18" s="2819"/>
      <c r="I18" s="2819"/>
      <c r="J18" s="2819"/>
      <c r="K18" s="2820"/>
    </row>
    <row r="19" spans="1:14" s="2118" customFormat="1" ht="13.5" customHeight="1">
      <c r="A19" s="2852" t="s">
        <v>1855</v>
      </c>
      <c r="B19" s="2853" t="s">
        <v>488</v>
      </c>
      <c r="C19" s="2810">
        <f ca="1">ROUND(D19*E19/10000,0)</f>
        <v>1510</v>
      </c>
      <c r="D19" s="2856">
        <f ca="1">D16</f>
        <v>150957.27000000002</v>
      </c>
      <c r="E19" s="2810">
        <f>'数据-取费表'!B32</f>
        <v>100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1137</v>
      </c>
      <c r="D20" s="2856"/>
      <c r="E20" s="2810"/>
      <c r="F20" s="2857"/>
      <c r="G20" s="3089" t="s">
        <v>3112</v>
      </c>
      <c r="H20" s="2812"/>
      <c r="I20" s="2813" t="s">
        <v>2652</v>
      </c>
      <c r="J20" s="2819"/>
      <c r="K20" s="2820"/>
    </row>
    <row r="21" spans="1:14" s="2118" customFormat="1" ht="13.5" customHeight="1">
      <c r="A21" s="2844" t="s">
        <v>1857</v>
      </c>
      <c r="B21" s="2845" t="s">
        <v>491</v>
      </c>
      <c r="C21" s="53">
        <f ca="1">ROUND(D21*E21/10000,0)</f>
        <v>885</v>
      </c>
      <c r="D21" s="2846">
        <f ca="1">IF(B1="",'数据-汇总表'!E5,IF(INDIRECT("'数据-取费表'!c"&amp;$K$1)="住宅",INDIRECT("'数据-取费表'!k"&amp;$K$1),0))</f>
        <v>100535.19</v>
      </c>
      <c r="E21" s="53">
        <f>'数据-取费表'!B27</f>
        <v>88</v>
      </c>
      <c r="F21" s="2849"/>
      <c r="G21" s="26"/>
      <c r="H21" s="51"/>
      <c r="I21" s="51"/>
      <c r="J21" s="51"/>
      <c r="K21" s="2821"/>
    </row>
    <row r="22" spans="1:14" s="2118" customFormat="1" ht="13.5" customHeight="1">
      <c r="A22" s="2844" t="s">
        <v>1858</v>
      </c>
      <c r="B22" s="2845" t="s">
        <v>492</v>
      </c>
      <c r="C22" s="53">
        <f ca="1">ROUND(D22*E22/10000,0)</f>
        <v>252</v>
      </c>
      <c r="D22" s="2846">
        <f ca="1">IF(B1="",'数据-汇总表'!E6,IF(INDIRECT("'数据-取费表'!c"&amp;$K$1)="住宅",INDIRECT("'数据-取费表'!s"&amp;$K$1),INDIRECT("'数据-取费表'!k"&amp;$K$1)+INDIRECT("'数据-取费表'!s"&amp;$K$1)))</f>
        <v>50422.080000000016</v>
      </c>
      <c r="E22" s="53">
        <f>'数据-取费表'!B28</f>
        <v>50</v>
      </c>
      <c r="F22" s="2849"/>
      <c r="G22" s="26"/>
      <c r="H22" s="51"/>
      <c r="I22" s="51"/>
      <c r="J22" s="51"/>
      <c r="K22" s="2821"/>
    </row>
    <row r="23" spans="1:14" s="2118" customFormat="1" ht="13.5" customHeight="1">
      <c r="A23" s="2852" t="s">
        <v>1859</v>
      </c>
      <c r="B23" s="3035" t="s">
        <v>2835</v>
      </c>
      <c r="C23" s="2854">
        <f ca="1">ROUND((C18+C19+C20)*F23,0)</f>
        <v>792</v>
      </c>
      <c r="D23" s="468"/>
      <c r="E23" s="468"/>
      <c r="F23" s="2858">
        <f>'数据-取费表'!B37</f>
        <v>0.02</v>
      </c>
      <c r="G23" s="2814" t="s">
        <v>2433</v>
      </c>
      <c r="H23" s="2815"/>
      <c r="I23" s="2815"/>
      <c r="J23" s="2815"/>
      <c r="K23" s="2816"/>
      <c r="L23" s="2120"/>
      <c r="M23" s="2120"/>
      <c r="N23" s="2120"/>
    </row>
    <row r="24" spans="1:14" s="2118" customFormat="1" ht="13.5" customHeight="1">
      <c r="A24" s="2852" t="s">
        <v>1860</v>
      </c>
      <c r="B24" s="3035" t="s">
        <v>2838</v>
      </c>
      <c r="C24" s="2854">
        <f>ROUND(C6*F24,0)</f>
        <v>2182</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5" t="s">
        <v>2836</v>
      </c>
      <c r="C25" s="467">
        <f>ROUND(F25/(1+'数据-取费表'!C42),4)</f>
        <v>2.9000000000000001E-2</v>
      </c>
      <c r="D25" s="462" t="s">
        <v>2830</v>
      </c>
      <c r="E25" s="469"/>
      <c r="F25" s="2858">
        <f>'数据-取费表'!B48+'数据-取费表'!B49</f>
        <v>3.0499999999999999E-2</v>
      </c>
      <c r="G25" s="2822" t="s">
        <v>2291</v>
      </c>
      <c r="H25" s="2815"/>
      <c r="I25" s="2815"/>
      <c r="J25" s="2815"/>
      <c r="K25" s="2816"/>
    </row>
    <row r="26" spans="1:14" s="2120" customFormat="1" ht="13.5" customHeight="1">
      <c r="A26" s="2852" t="s">
        <v>1862</v>
      </c>
      <c r="B26" s="3036" t="s">
        <v>2837</v>
      </c>
      <c r="C26" s="2859">
        <f ca="1">C28</f>
        <v>2023</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2839</v>
      </c>
      <c r="C28" s="2862">
        <f ca="1">ROUND(IF('数据-取费表'!B22&lt;=1,(C18+C19+C20+C23+C24)*F26*'数据-取费表'!B24/2,(C18+C19+C20+C23+C24)*(POWER((1+F26),'数据-取费表'!B24/2)-1)),0)</f>
        <v>2023</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5818</v>
      </c>
      <c r="D29" s="468"/>
      <c r="E29" s="468"/>
      <c r="F29" s="3037">
        <f>'数据-取费表'!B41</f>
        <v>5.6000000000000001E-2</v>
      </c>
      <c r="G29" s="2823" t="s">
        <v>498</v>
      </c>
      <c r="H29" s="2815"/>
      <c r="I29" s="2815"/>
      <c r="J29" s="2815"/>
      <c r="K29" s="2816"/>
    </row>
    <row r="30" spans="1:14" s="2123" customFormat="1" ht="13.5" customHeight="1">
      <c r="A30" s="1636" t="s">
        <v>1864</v>
      </c>
      <c r="B30" s="2864" t="s">
        <v>500</v>
      </c>
      <c r="C30" s="2859">
        <f ca="1">C31</f>
        <v>50431</v>
      </c>
      <c r="D30" s="477">
        <f ca="1">C32</f>
        <v>0.12909999999999999</v>
      </c>
      <c r="E30" s="469" t="s">
        <v>495</v>
      </c>
      <c r="F30" s="471"/>
      <c r="G30" s="2822" t="s">
        <v>2975</v>
      </c>
      <c r="H30" s="2815"/>
      <c r="I30" s="2815"/>
      <c r="J30" s="2815"/>
      <c r="K30" s="2816"/>
    </row>
    <row r="31" spans="1:14" s="2122" customFormat="1" ht="13.5" customHeight="1">
      <c r="A31" s="803" t="s">
        <v>1857</v>
      </c>
      <c r="B31" s="2860"/>
      <c r="C31" s="450">
        <f ca="1">C18+C19+C20+C23+C24+C26+C29</f>
        <v>50431</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4" t="s">
        <v>2834</v>
      </c>
      <c r="B33" s="3032" t="s">
        <v>2832</v>
      </c>
      <c r="C33" s="478">
        <f ca="1">C35</f>
        <v>3407</v>
      </c>
      <c r="D33" s="467">
        <f ca="1">C34</f>
        <v>8.2299999999999998E-2</v>
      </c>
      <c r="E33" s="469" t="s">
        <v>495</v>
      </c>
      <c r="F33" s="479">
        <f ca="1">IF(B1="",'数据-取费表'!Q16,INDIRECT("'数据-取费表'!q"&amp;$K$1))</f>
        <v>0.08</v>
      </c>
      <c r="G33" s="2818"/>
      <c r="H33" s="2819"/>
      <c r="I33" s="2819"/>
      <c r="J33" s="2819"/>
      <c r="K33" s="2820"/>
    </row>
    <row r="34" spans="1:11" s="2125" customFormat="1" ht="13.5" customHeight="1">
      <c r="A34" s="375" t="s">
        <v>1857</v>
      </c>
      <c r="B34" s="2865" t="s">
        <v>501</v>
      </c>
      <c r="C34" s="472">
        <f ca="1">ROUND((1+C25)*F33,4)</f>
        <v>8.2299999999999998E-2</v>
      </c>
      <c r="D34" s="472"/>
      <c r="E34" s="473"/>
      <c r="F34" s="480"/>
      <c r="G34" s="261" t="s">
        <v>2292</v>
      </c>
      <c r="H34" s="2817"/>
      <c r="I34" s="2817"/>
      <c r="J34" s="2817"/>
      <c r="K34" s="279"/>
    </row>
    <row r="35" spans="1:11" s="2125" customFormat="1" ht="13.5" customHeight="1" thickBot="1">
      <c r="A35" s="1637" t="s">
        <v>1858</v>
      </c>
      <c r="B35" s="3033" t="s">
        <v>2840</v>
      </c>
      <c r="C35" s="1629">
        <f ca="1">ROUND((C18+C19+C20+C23+C24)*F33,0)</f>
        <v>3407</v>
      </c>
      <c r="D35" s="1630"/>
      <c r="E35" s="2866"/>
      <c r="F35" s="1631"/>
      <c r="G35" s="2824"/>
      <c r="H35" s="2825"/>
      <c r="I35" s="2825"/>
      <c r="J35" s="2825"/>
      <c r="K35" s="2826"/>
    </row>
    <row r="36" spans="1:11" s="2087" customFormat="1" ht="13.5" customHeight="1" thickBot="1">
      <c r="A36" s="284" t="s">
        <v>1845</v>
      </c>
      <c r="B36" s="2828"/>
      <c r="C36" s="2867">
        <f ca="1">ROUND((C6-C30-C33)/(1+D30+D33),0)</f>
        <v>45613</v>
      </c>
      <c r="D36" s="2828"/>
      <c r="E36" s="2828"/>
      <c r="F36" s="2828"/>
      <c r="G36" s="2827" t="s">
        <v>2841</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M46" sqref="M4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923</v>
      </c>
      <c r="E1" s="2628"/>
      <c r="F1" s="2809" t="s">
        <v>3012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98896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9837</v>
      </c>
      <c r="C3" s="852" t="s">
        <v>722</v>
      </c>
      <c r="D3" s="851">
        <f>SUMIF('数据-汇总表'!$C19:$C33,D1,'数据-汇总表'!$E19:$E33)</f>
        <v>100535.19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6" t="s">
        <v>522</v>
      </c>
      <c r="D4" s="3387"/>
      <c r="E4" s="3420" t="s">
        <v>523</v>
      </c>
      <c r="F4" s="3421"/>
      <c r="G4" s="3386" t="s">
        <v>524</v>
      </c>
      <c r="H4" s="3387"/>
      <c r="I4" s="3386" t="s">
        <v>525</v>
      </c>
      <c r="J4" s="3387"/>
      <c r="K4" s="853" t="s">
        <v>526</v>
      </c>
      <c r="L4" s="2135"/>
      <c r="M4" s="2136"/>
      <c r="N4" s="2136"/>
      <c r="O4" s="2136"/>
      <c r="P4" s="3388" t="s">
        <v>527</v>
      </c>
      <c r="Q4" s="3389"/>
      <c r="R4" s="3394" t="s">
        <v>523</v>
      </c>
      <c r="S4" s="3395"/>
      <c r="T4" s="3394" t="s">
        <v>524</v>
      </c>
      <c r="U4" s="3395"/>
      <c r="V4" s="3381" t="s">
        <v>525</v>
      </c>
      <c r="W4" s="3381"/>
      <c r="X4" s="1568"/>
      <c r="Y4" s="3394" t="s">
        <v>527</v>
      </c>
      <c r="Z4" s="3395"/>
      <c r="AA4" s="3383" t="s">
        <v>523</v>
      </c>
      <c r="AB4" s="3383" t="s">
        <v>524</v>
      </c>
      <c r="AC4" s="3383" t="s">
        <v>525</v>
      </c>
    </row>
    <row r="5" spans="1:29" ht="15">
      <c r="A5" s="515"/>
      <c r="B5" s="516"/>
      <c r="C5" s="3402" t="s">
        <v>2930</v>
      </c>
      <c r="D5" s="3403"/>
      <c r="E5" s="3496" t="s">
        <v>3105</v>
      </c>
      <c r="F5" s="3423"/>
      <c r="G5" s="3495" t="s">
        <v>3106</v>
      </c>
      <c r="H5" s="3403"/>
      <c r="I5" s="3495" t="s">
        <v>3107</v>
      </c>
      <c r="J5" s="3403"/>
      <c r="K5" s="854"/>
      <c r="L5" s="2135"/>
      <c r="M5" s="2136"/>
      <c r="N5" s="2136"/>
      <c r="O5" s="2136"/>
      <c r="P5" s="3390"/>
      <c r="Q5" s="3391"/>
      <c r="R5" s="3396"/>
      <c r="S5" s="3397"/>
      <c r="T5" s="3396"/>
      <c r="U5" s="3397"/>
      <c r="V5" s="3381"/>
      <c r="W5" s="3381"/>
      <c r="X5" s="1568"/>
      <c r="Y5" s="3396"/>
      <c r="Z5" s="3397"/>
      <c r="AA5" s="3384"/>
      <c r="AB5" s="3384"/>
      <c r="AC5" s="3384"/>
    </row>
    <row r="6" spans="1:29" ht="15.75" thickBot="1">
      <c r="A6" s="517"/>
      <c r="B6" s="518"/>
      <c r="C6" s="3400" t="s">
        <v>2934</v>
      </c>
      <c r="D6" s="3401"/>
      <c r="E6" s="3418" t="s">
        <v>2934</v>
      </c>
      <c r="F6" s="3419"/>
      <c r="G6" s="3400" t="s">
        <v>2934</v>
      </c>
      <c r="H6" s="3401"/>
      <c r="I6" s="3400" t="s">
        <v>2934</v>
      </c>
      <c r="J6" s="3401"/>
      <c r="K6" s="854" t="s">
        <v>528</v>
      </c>
      <c r="L6" s="2135"/>
      <c r="M6" s="2136"/>
      <c r="N6" s="2136"/>
      <c r="O6" s="2136"/>
      <c r="P6" s="3392"/>
      <c r="Q6" s="3393"/>
      <c r="R6" s="3396"/>
      <c r="S6" s="3397"/>
      <c r="T6" s="3398"/>
      <c r="U6" s="3399"/>
      <c r="V6" s="3381"/>
      <c r="W6" s="3381"/>
      <c r="X6" s="1568"/>
      <c r="Y6" s="3398"/>
      <c r="Z6" s="3399"/>
      <c r="AA6" s="3385"/>
      <c r="AB6" s="3385"/>
      <c r="AC6" s="3385"/>
    </row>
    <row r="7" spans="1:29" s="1220" customFormat="1" ht="15.75" thickBot="1">
      <c r="A7" s="2913"/>
      <c r="B7" s="2920" t="s">
        <v>529</v>
      </c>
      <c r="C7" s="519">
        <f>'数据-取费表'!B2</f>
        <v>43305</v>
      </c>
      <c r="D7" s="520">
        <v>100</v>
      </c>
      <c r="E7" s="521">
        <v>43282</v>
      </c>
      <c r="F7" s="522">
        <f>SUMIF(58:58,YEAR(E7)&amp;"-"&amp;MONTH(E7),59:59)</f>
        <v>100</v>
      </c>
      <c r="G7" s="523">
        <v>43282</v>
      </c>
      <c r="H7" s="520">
        <f>SUMIF(58:58,YEAR(G7)&amp;"-"&amp;MONTH(G7),59:59)</f>
        <v>100</v>
      </c>
      <c r="I7" s="523">
        <v>43282</v>
      </c>
      <c r="J7" s="520">
        <f>SUMIF(58:58,YEAR(I7)&amp;"-"&amp;MONTH(I7),59:59)</f>
        <v>100</v>
      </c>
      <c r="K7" s="855"/>
      <c r="L7" s="2137"/>
      <c r="M7" s="2138"/>
      <c r="N7" s="2138"/>
      <c r="O7" s="2138"/>
      <c r="P7" s="3411" t="s">
        <v>530</v>
      </c>
      <c r="Q7" s="3413"/>
      <c r="R7" s="1569" t="s">
        <v>13</v>
      </c>
      <c r="S7" s="1570">
        <f t="shared" ref="S7:S15" si="0">F7</f>
        <v>100</v>
      </c>
      <c r="T7" s="1569" t="s">
        <v>13</v>
      </c>
      <c r="U7" s="1570">
        <f t="shared" ref="U7:U15" si="1">H7</f>
        <v>100</v>
      </c>
      <c r="V7" s="1569" t="s">
        <v>13</v>
      </c>
      <c r="W7" s="1570">
        <f t="shared" ref="W7:W15" si="2">J7</f>
        <v>100</v>
      </c>
      <c r="X7" s="1571"/>
      <c r="Y7" s="3411" t="s">
        <v>530</v>
      </c>
      <c r="Z7" s="3412"/>
      <c r="AA7" s="1572">
        <f>D7/F7</f>
        <v>1</v>
      </c>
      <c r="AB7" s="1572">
        <f>D7/H7</f>
        <v>1</v>
      </c>
      <c r="AC7" s="1572">
        <f>D7/J7</f>
        <v>1</v>
      </c>
    </row>
    <row r="8" spans="1:29" s="1220" customFormat="1" ht="15.75" thickBot="1">
      <c r="A8" s="2914"/>
      <c r="B8" s="2921" t="s">
        <v>531</v>
      </c>
      <c r="C8" s="525" t="s">
        <v>576</v>
      </c>
      <c r="D8" s="520">
        <v>100</v>
      </c>
      <c r="E8" s="3179" t="s">
        <v>3013</v>
      </c>
      <c r="F8" s="522">
        <f>SUMIF(61:61,E8,62:62)-SUMIF(61:61,C8,62:62)+100</f>
        <v>100</v>
      </c>
      <c r="G8" s="3180" t="s">
        <v>3013</v>
      </c>
      <c r="H8" s="520">
        <f>SUMIF(61:61,G8,62:62)-SUMIF(61:61,C8,62:62)+100</f>
        <v>100</v>
      </c>
      <c r="I8" s="3179" t="s">
        <v>3013</v>
      </c>
      <c r="J8" s="520">
        <f>SUMIF(61:61,I8,62:62)-SUMIF(61:61,C8,62:62)+100</f>
        <v>100</v>
      </c>
      <c r="K8" s="855"/>
      <c r="L8" s="2137"/>
      <c r="M8" s="2138"/>
      <c r="N8" s="2138"/>
      <c r="O8" s="2138"/>
      <c r="P8" s="3411" t="s">
        <v>533</v>
      </c>
      <c r="Q8" s="3412"/>
      <c r="R8" s="1569" t="s">
        <v>13</v>
      </c>
      <c r="S8" s="1570">
        <f t="shared" si="0"/>
        <v>100</v>
      </c>
      <c r="T8" s="1569" t="s">
        <v>13</v>
      </c>
      <c r="U8" s="1570">
        <f t="shared" si="1"/>
        <v>100</v>
      </c>
      <c r="V8" s="1569" t="s">
        <v>13</v>
      </c>
      <c r="W8" s="1570">
        <f t="shared" si="2"/>
        <v>100</v>
      </c>
      <c r="X8" s="1571"/>
      <c r="Y8" s="3411" t="s">
        <v>533</v>
      </c>
      <c r="Z8" s="3412"/>
      <c r="AA8" s="1572">
        <f t="shared" ref="AA8:AA46" si="3">D8/F8</f>
        <v>1</v>
      </c>
      <c r="AB8" s="1572">
        <f t="shared" ref="AB8:AB46" si="4">D8/H8</f>
        <v>1</v>
      </c>
      <c r="AC8" s="1572">
        <f t="shared" ref="AC8:AC46" si="5">D8/J8</f>
        <v>1</v>
      </c>
    </row>
    <row r="9" spans="1:29" s="1220" customFormat="1" ht="15">
      <c r="A9" s="2915"/>
      <c r="B9" s="2922" t="s">
        <v>2757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80"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916"/>
      <c r="B10" s="2921" t="s">
        <v>2758</v>
      </c>
      <c r="C10" s="861" t="s">
        <v>3142</v>
      </c>
      <c r="D10" s="255">
        <v>100</v>
      </c>
      <c r="E10" s="862" t="s">
        <v>3142</v>
      </c>
      <c r="F10" s="863">
        <f>SUMIF(65:65,E10,66:66)-SUMIF(65:65,C10,66:66)+100</f>
        <v>100</v>
      </c>
      <c r="G10" s="861" t="s">
        <v>3142</v>
      </c>
      <c r="H10" s="255">
        <f>SUMIF(65:65,G10,66:66)-SUMIF(65:65,C10,66:66)+100</f>
        <v>100</v>
      </c>
      <c r="I10" s="861" t="s">
        <v>3142</v>
      </c>
      <c r="J10" s="255">
        <f>SUMIF(65:65,I10,66:66)-SUMIF(65:65,C10,66:66)+100</f>
        <v>100</v>
      </c>
      <c r="K10" s="86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7"/>
      <c r="B11" s="2921" t="s">
        <v>2759</v>
      </c>
      <c r="C11" s="533"/>
      <c r="D11" s="255">
        <v>100</v>
      </c>
      <c r="E11" s="534"/>
      <c r="F11" s="863">
        <f>LOOKUP(E11,68:68,69:69)-LOOKUP(C11,68:68,69:69)+100</f>
        <v>100</v>
      </c>
      <c r="G11" s="533"/>
      <c r="H11" s="255">
        <f>LOOKUP(G11,68:68,69:69)-LOOKUP(C11,68:68,69:69)+100</f>
        <v>100</v>
      </c>
      <c r="I11" s="533"/>
      <c r="J11" s="255">
        <f>LOOKUP(I11,68:68,69:69)-LOOKUP(C11,68:68,69:69)+100</f>
        <v>100</v>
      </c>
      <c r="K11" s="864"/>
      <c r="L11" s="2142"/>
      <c r="M11" s="2136"/>
      <c r="N11" s="2136"/>
      <c r="O11" s="2143"/>
      <c r="P11" s="3380"/>
      <c r="Q11" s="1151" t="str">
        <f t="shared" si="6"/>
        <v>容积率</v>
      </c>
      <c r="R11" s="1569" t="s">
        <v>11</v>
      </c>
      <c r="S11" s="1570">
        <f t="shared" si="0"/>
        <v>100</v>
      </c>
      <c r="T11" s="1569" t="s">
        <v>11</v>
      </c>
      <c r="U11" s="1570">
        <f t="shared" si="1"/>
        <v>100</v>
      </c>
      <c r="V11" s="1569" t="s">
        <v>11</v>
      </c>
      <c r="W11" s="1570">
        <f t="shared" si="2"/>
        <v>100</v>
      </c>
      <c r="X11" s="1571"/>
      <c r="Y11" s="3326"/>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0"/>
      <c r="Q12" s="1151">
        <f t="shared" si="6"/>
        <v>111</v>
      </c>
      <c r="R12" s="1569" t="s">
        <v>11</v>
      </c>
      <c r="S12" s="1570">
        <f t="shared" si="0"/>
        <v>100</v>
      </c>
      <c r="T12" s="1569" t="s">
        <v>11</v>
      </c>
      <c r="U12" s="1570">
        <f t="shared" si="1"/>
        <v>100</v>
      </c>
      <c r="V12" s="1569" t="s">
        <v>11</v>
      </c>
      <c r="W12" s="1570">
        <f t="shared" si="2"/>
        <v>100</v>
      </c>
      <c r="X12" s="1571"/>
      <c r="Y12" s="3326"/>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0"/>
      <c r="Q13" s="1151">
        <f t="shared" si="6"/>
        <v>111</v>
      </c>
      <c r="R13" s="1569" t="s">
        <v>11</v>
      </c>
      <c r="S13" s="1570">
        <f t="shared" si="0"/>
        <v>100</v>
      </c>
      <c r="T13" s="1569" t="s">
        <v>11</v>
      </c>
      <c r="U13" s="1570">
        <f t="shared" si="1"/>
        <v>100</v>
      </c>
      <c r="V13" s="1569" t="s">
        <v>11</v>
      </c>
      <c r="W13" s="1570">
        <f t="shared" si="2"/>
        <v>100</v>
      </c>
      <c r="X13" s="1571"/>
      <c r="Y13" s="3326"/>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0"/>
      <c r="Q14" s="1151">
        <f t="shared" si="6"/>
        <v>111</v>
      </c>
      <c r="R14" s="1569" t="s">
        <v>11</v>
      </c>
      <c r="S14" s="1570">
        <f t="shared" si="0"/>
        <v>100</v>
      </c>
      <c r="T14" s="1569" t="s">
        <v>11</v>
      </c>
      <c r="U14" s="1570">
        <f t="shared" si="1"/>
        <v>100</v>
      </c>
      <c r="V14" s="1569" t="s">
        <v>11</v>
      </c>
      <c r="W14" s="1570">
        <f t="shared" si="2"/>
        <v>100</v>
      </c>
      <c r="X14" s="1571"/>
      <c r="Y14" s="3326"/>
      <c r="Z14" s="1150">
        <f t="shared" si="7"/>
        <v>111</v>
      </c>
      <c r="AA14" s="1572">
        <f t="shared" si="3"/>
        <v>1</v>
      </c>
      <c r="AB14" s="1572">
        <f t="shared" si="4"/>
        <v>1</v>
      </c>
      <c r="AC14" s="1572">
        <f t="shared" si="5"/>
        <v>1</v>
      </c>
    </row>
    <row r="15" spans="1:29" ht="99.75">
      <c r="A15" s="2911"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14" t="s">
        <v>540</v>
      </c>
      <c r="Q15" s="1573" t="str">
        <f t="shared" si="6"/>
        <v>居住社区成熟度</v>
      </c>
      <c r="R15" s="1574" t="s">
        <v>11</v>
      </c>
      <c r="S15" s="1575">
        <f t="shared" si="0"/>
        <v>100</v>
      </c>
      <c r="T15" s="1574" t="s">
        <v>11</v>
      </c>
      <c r="U15" s="1575">
        <f t="shared" si="1"/>
        <v>100</v>
      </c>
      <c r="V15" s="1574" t="s">
        <v>11</v>
      </c>
      <c r="W15" s="1575">
        <f t="shared" si="2"/>
        <v>100</v>
      </c>
      <c r="X15" s="1568"/>
      <c r="Y15" s="341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15"/>
      <c r="Q16" s="1573"/>
      <c r="R16" s="1574"/>
      <c r="S16" s="1575"/>
      <c r="T16" s="1574"/>
      <c r="U16" s="1575"/>
      <c r="V16" s="1574"/>
      <c r="W16" s="1575"/>
      <c r="X16" s="1568"/>
      <c r="Y16" s="341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15"/>
      <c r="Q17" s="1573" t="str">
        <f>B17</f>
        <v>交通便捷度</v>
      </c>
      <c r="R17" s="1574" t="s">
        <v>11</v>
      </c>
      <c r="S17" s="1575">
        <f>F17</f>
        <v>100</v>
      </c>
      <c r="T17" s="1574" t="s">
        <v>11</v>
      </c>
      <c r="U17" s="1575">
        <f>H17</f>
        <v>100</v>
      </c>
      <c r="V17" s="1574" t="s">
        <v>11</v>
      </c>
      <c r="W17" s="1575">
        <f>J17</f>
        <v>100</v>
      </c>
      <c r="X17" s="1568"/>
      <c r="Y17" s="341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15"/>
      <c r="Q18" s="1573"/>
      <c r="R18" s="1574"/>
      <c r="S18" s="1575"/>
      <c r="T18" s="1574"/>
      <c r="U18" s="1575"/>
      <c r="V18" s="1574"/>
      <c r="W18" s="1575"/>
      <c r="X18" s="1568"/>
      <c r="Y18" s="3415"/>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15"/>
      <c r="Q19" s="1573" t="str">
        <f>B19</f>
        <v>公共配套设施</v>
      </c>
      <c r="R19" s="1574" t="s">
        <v>11</v>
      </c>
      <c r="S19" s="1575">
        <f>F19</f>
        <v>100</v>
      </c>
      <c r="T19" s="1574" t="s">
        <v>11</v>
      </c>
      <c r="U19" s="1575">
        <f>H19</f>
        <v>100</v>
      </c>
      <c r="V19" s="1574" t="s">
        <v>11</v>
      </c>
      <c r="W19" s="1575">
        <f>J19</f>
        <v>100</v>
      </c>
      <c r="X19" s="1568"/>
      <c r="Y19" s="341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15"/>
      <c r="Q20" s="1573"/>
      <c r="R20" s="1574"/>
      <c r="S20" s="1575"/>
      <c r="T20" s="1574"/>
      <c r="U20" s="1575"/>
      <c r="V20" s="1574"/>
      <c r="W20" s="1575"/>
      <c r="X20" s="1568"/>
      <c r="Y20" s="3415"/>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15"/>
      <c r="Q21" s="2581" t="str">
        <f>B21</f>
        <v>基础设施水平</v>
      </c>
      <c r="R21" s="1574" t="s">
        <v>11</v>
      </c>
      <c r="S21" s="1575">
        <f>F21</f>
        <v>100</v>
      </c>
      <c r="T21" s="1574" t="s">
        <v>11</v>
      </c>
      <c r="U21" s="1575">
        <f>H21</f>
        <v>100</v>
      </c>
      <c r="V21" s="1574" t="s">
        <v>11</v>
      </c>
      <c r="W21" s="1575">
        <f>J21</f>
        <v>100</v>
      </c>
      <c r="X21" s="2583"/>
      <c r="Y21" s="341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15"/>
      <c r="Q22" s="2581"/>
      <c r="R22" s="1574"/>
      <c r="S22" s="1575"/>
      <c r="T22" s="1574"/>
      <c r="U22" s="1575"/>
      <c r="V22" s="1574"/>
      <c r="W22" s="1575"/>
      <c r="X22" s="2583"/>
      <c r="Y22" s="3415"/>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15"/>
      <c r="Q23" s="1573" t="str">
        <f>B23</f>
        <v>自然及人文环境</v>
      </c>
      <c r="R23" s="1574" t="s">
        <v>11</v>
      </c>
      <c r="S23" s="1575">
        <f>F23</f>
        <v>100</v>
      </c>
      <c r="T23" s="1574" t="s">
        <v>11</v>
      </c>
      <c r="U23" s="1575">
        <f>H23</f>
        <v>100</v>
      </c>
      <c r="V23" s="1574" t="s">
        <v>11</v>
      </c>
      <c r="W23" s="1575">
        <f>J23</f>
        <v>100</v>
      </c>
      <c r="X23" s="1568"/>
      <c r="Y23" s="341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15"/>
      <c r="Q24" s="1573"/>
      <c r="R24" s="1574"/>
      <c r="S24" s="1575"/>
      <c r="T24" s="1574"/>
      <c r="U24" s="1575"/>
      <c r="V24" s="1574"/>
      <c r="W24" s="1575"/>
      <c r="X24" s="1568"/>
      <c r="Y24" s="3415"/>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15"/>
      <c r="Q25" s="1573" t="str">
        <f t="shared" ref="Q25:Q46" si="11">B25</f>
        <v>楼层-1</v>
      </c>
      <c r="R25" s="1574" t="s">
        <v>11</v>
      </c>
      <c r="S25" s="1575">
        <f>F25</f>
        <v>100</v>
      </c>
      <c r="T25" s="1574" t="s">
        <v>11</v>
      </c>
      <c r="U25" s="1575">
        <f>H25</f>
        <v>100</v>
      </c>
      <c r="V25" s="1574" t="s">
        <v>11</v>
      </c>
      <c r="W25" s="1575">
        <f>J25</f>
        <v>100</v>
      </c>
      <c r="X25" s="1568"/>
      <c r="Y25" s="341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15"/>
      <c r="Q26" s="1573" t="str">
        <f t="shared" si="11"/>
        <v>朝向</v>
      </c>
      <c r="R26" s="1574" t="s">
        <v>11</v>
      </c>
      <c r="S26" s="1575">
        <f>F26</f>
        <v>100</v>
      </c>
      <c r="T26" s="1574" t="s">
        <v>11</v>
      </c>
      <c r="U26" s="1575">
        <f>H26</f>
        <v>100</v>
      </c>
      <c r="V26" s="1574" t="s">
        <v>11</v>
      </c>
      <c r="W26" s="1575">
        <f>J26</f>
        <v>100</v>
      </c>
      <c r="X26" s="1568"/>
      <c r="Y26" s="341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15"/>
      <c r="Q27" s="1151" t="str">
        <f t="shared" si="11"/>
        <v>道路级别</v>
      </c>
      <c r="R27" s="1569" t="s">
        <v>11</v>
      </c>
      <c r="S27" s="1570">
        <f>F27</f>
        <v>100</v>
      </c>
      <c r="T27" s="1569" t="s">
        <v>11</v>
      </c>
      <c r="U27" s="1570">
        <f>H27</f>
        <v>100</v>
      </c>
      <c r="V27" s="1569" t="s">
        <v>11</v>
      </c>
      <c r="W27" s="1570">
        <f>J27</f>
        <v>100</v>
      </c>
      <c r="X27" s="1571"/>
      <c r="Y27" s="341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1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5"/>
      <c r="Q29" s="1573">
        <f t="shared" si="11"/>
        <v>111</v>
      </c>
      <c r="R29" s="1574" t="s">
        <v>11</v>
      </c>
      <c r="S29" s="1575">
        <f t="shared" si="12"/>
        <v>100</v>
      </c>
      <c r="T29" s="1574" t="s">
        <v>11</v>
      </c>
      <c r="U29" s="1575">
        <f t="shared" si="13"/>
        <v>100</v>
      </c>
      <c r="V29" s="1574" t="s">
        <v>11</v>
      </c>
      <c r="W29" s="1575">
        <f t="shared" si="14"/>
        <v>100</v>
      </c>
      <c r="X29" s="1568"/>
      <c r="Y29" s="341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5"/>
      <c r="Q30" s="1573">
        <f t="shared" si="11"/>
        <v>111</v>
      </c>
      <c r="R30" s="1574" t="s">
        <v>11</v>
      </c>
      <c r="S30" s="1575">
        <f t="shared" si="12"/>
        <v>100</v>
      </c>
      <c r="T30" s="1574" t="s">
        <v>11</v>
      </c>
      <c r="U30" s="1575">
        <f t="shared" si="13"/>
        <v>100</v>
      </c>
      <c r="V30" s="1574" t="s">
        <v>11</v>
      </c>
      <c r="W30" s="1575">
        <f t="shared" si="14"/>
        <v>100</v>
      </c>
      <c r="X30" s="1568"/>
      <c r="Y30" s="341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5"/>
      <c r="Q31" s="1573">
        <f t="shared" si="11"/>
        <v>111</v>
      </c>
      <c r="R31" s="1574" t="s">
        <v>11</v>
      </c>
      <c r="S31" s="1575">
        <f t="shared" si="12"/>
        <v>100</v>
      </c>
      <c r="T31" s="1574" t="s">
        <v>11</v>
      </c>
      <c r="U31" s="1575">
        <f t="shared" si="13"/>
        <v>100</v>
      </c>
      <c r="V31" s="1574" t="s">
        <v>11</v>
      </c>
      <c r="W31" s="1575">
        <f t="shared" si="14"/>
        <v>100</v>
      </c>
      <c r="X31" s="1568"/>
      <c r="Y31" s="3415"/>
      <c r="Z31" s="1576">
        <f t="shared" si="15"/>
        <v>111</v>
      </c>
      <c r="AA31" s="1577">
        <f t="shared" si="3"/>
        <v>1</v>
      </c>
      <c r="AB31" s="1577">
        <f t="shared" si="4"/>
        <v>1</v>
      </c>
      <c r="AC31" s="1577">
        <f t="shared" si="5"/>
        <v>1</v>
      </c>
    </row>
    <row r="32" spans="1:29" ht="15">
      <c r="A32" s="2909"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16" t="s">
        <v>550</v>
      </c>
      <c r="Q32" s="1573" t="str">
        <f t="shared" si="11"/>
        <v>建筑类型</v>
      </c>
      <c r="R32" s="1574" t="s">
        <v>11</v>
      </c>
      <c r="S32" s="1575">
        <f t="shared" si="12"/>
        <v>100</v>
      </c>
      <c r="T32" s="1574" t="s">
        <v>11</v>
      </c>
      <c r="U32" s="1575">
        <f t="shared" si="13"/>
        <v>100</v>
      </c>
      <c r="V32" s="1574" t="s">
        <v>11</v>
      </c>
      <c r="W32" s="1575">
        <f t="shared" si="14"/>
        <v>100</v>
      </c>
      <c r="X32" s="1568"/>
      <c r="Y32" s="3417" t="s">
        <v>550</v>
      </c>
      <c r="Z32" s="1576" t="str">
        <f t="shared" si="15"/>
        <v>建筑类型</v>
      </c>
      <c r="AA32" s="1577">
        <f t="shared" si="3"/>
        <v>1</v>
      </c>
      <c r="AB32" s="1577">
        <f t="shared" si="4"/>
        <v>1</v>
      </c>
      <c r="AC32" s="1577">
        <f t="shared" si="5"/>
        <v>1</v>
      </c>
    </row>
    <row r="33" spans="1:29" s="1339" customFormat="1" ht="15">
      <c r="A33" s="603"/>
      <c r="B33" s="527" t="s">
        <v>726</v>
      </c>
      <c r="C33" s="880">
        <f>'数据-基础表'!I13</f>
        <v>12198.03</v>
      </c>
      <c r="D33" s="255">
        <v>100</v>
      </c>
      <c r="E33" s="534">
        <v>2729500</v>
      </c>
      <c r="F33" s="863">
        <f>LOOKUP(E33,103:103,104:104)-LOOKUP(C33,103:103,104:104)+100</f>
        <v>103</v>
      </c>
      <c r="G33" s="533">
        <v>450000</v>
      </c>
      <c r="H33" s="255">
        <f>LOOKUP(G33,103:103,104:104)-LOOKUP(C33,103:103,104:104)+100</f>
        <v>102</v>
      </c>
      <c r="I33" s="534">
        <v>180000</v>
      </c>
      <c r="J33" s="255">
        <f>LOOKUP(I33,103:103,104:104)-LOOKUP(C33,103:103,104:104)+100</f>
        <v>100</v>
      </c>
      <c r="K33" s="865"/>
      <c r="L33" s="2142"/>
      <c r="M33" s="2173"/>
      <c r="N33" s="2173"/>
      <c r="O33" s="2145"/>
      <c r="P33" s="3417"/>
      <c r="Q33" s="1606" t="str">
        <f t="shared" si="11"/>
        <v>项目建筑规模</v>
      </c>
      <c r="R33" s="1578" t="s">
        <v>11</v>
      </c>
      <c r="S33" s="1579">
        <f t="shared" si="12"/>
        <v>103</v>
      </c>
      <c r="T33" s="1578" t="s">
        <v>11</v>
      </c>
      <c r="U33" s="1579">
        <f t="shared" si="13"/>
        <v>102</v>
      </c>
      <c r="V33" s="1578" t="s">
        <v>11</v>
      </c>
      <c r="W33" s="1579">
        <f t="shared" si="14"/>
        <v>100</v>
      </c>
      <c r="X33" s="1580"/>
      <c r="Y33" s="3417"/>
      <c r="Z33" s="1581" t="str">
        <f t="shared" si="15"/>
        <v>项目建筑规模</v>
      </c>
      <c r="AA33" s="1577">
        <f t="shared" si="3"/>
        <v>0.970873786407767</v>
      </c>
      <c r="AB33" s="1577">
        <f t="shared" si="4"/>
        <v>0.98039215686274506</v>
      </c>
      <c r="AC33" s="1577">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17"/>
      <c r="Q34" s="1573" t="str">
        <f t="shared" si="11"/>
        <v>建筑结构</v>
      </c>
      <c r="R34" s="1574" t="s">
        <v>11</v>
      </c>
      <c r="S34" s="1575">
        <f t="shared" si="12"/>
        <v>100</v>
      </c>
      <c r="T34" s="1574" t="s">
        <v>11</v>
      </c>
      <c r="U34" s="1575">
        <f t="shared" si="13"/>
        <v>100</v>
      </c>
      <c r="V34" s="1574" t="s">
        <v>11</v>
      </c>
      <c r="W34" s="1575">
        <f t="shared" si="14"/>
        <v>100</v>
      </c>
      <c r="X34" s="1568"/>
      <c r="Y34" s="341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17"/>
      <c r="Q35" s="1573" t="str">
        <f t="shared" si="11"/>
        <v>建筑品质</v>
      </c>
      <c r="R35" s="1574" t="s">
        <v>11</v>
      </c>
      <c r="S35" s="1575">
        <f t="shared" si="12"/>
        <v>100</v>
      </c>
      <c r="T35" s="1574" t="s">
        <v>11</v>
      </c>
      <c r="U35" s="1575">
        <f t="shared" si="13"/>
        <v>100</v>
      </c>
      <c r="V35" s="1574" t="s">
        <v>11</v>
      </c>
      <c r="W35" s="1575">
        <f t="shared" si="14"/>
        <v>100</v>
      </c>
      <c r="X35" s="1568"/>
      <c r="Y35" s="341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17"/>
      <c r="Q36" s="1573" t="str">
        <f t="shared" si="11"/>
        <v>公共部分装修</v>
      </c>
      <c r="R36" s="1574" t="s">
        <v>11</v>
      </c>
      <c r="S36" s="1575">
        <f t="shared" si="12"/>
        <v>100</v>
      </c>
      <c r="T36" s="1574" t="s">
        <v>11</v>
      </c>
      <c r="U36" s="1575">
        <f t="shared" si="13"/>
        <v>100</v>
      </c>
      <c r="V36" s="1574" t="s">
        <v>11</v>
      </c>
      <c r="W36" s="1575">
        <f t="shared" si="14"/>
        <v>100</v>
      </c>
      <c r="X36" s="1568"/>
      <c r="Y36" s="3417"/>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417"/>
      <c r="Q37" s="1151" t="str">
        <f t="shared" si="11"/>
        <v>成新度</v>
      </c>
      <c r="R37" s="1569" t="s">
        <v>11</v>
      </c>
      <c r="S37" s="1570">
        <f t="shared" si="12"/>
        <v>100</v>
      </c>
      <c r="T37" s="1569" t="s">
        <v>11</v>
      </c>
      <c r="U37" s="1570">
        <f t="shared" si="13"/>
        <v>100</v>
      </c>
      <c r="V37" s="1569" t="s">
        <v>11</v>
      </c>
      <c r="W37" s="1570">
        <f t="shared" si="14"/>
        <v>100</v>
      </c>
      <c r="X37" s="1571"/>
      <c r="Y37" s="3417"/>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17" t="s">
        <v>550</v>
      </c>
      <c r="Q38" s="1573" t="str">
        <f t="shared" si="11"/>
        <v>物业管理</v>
      </c>
      <c r="R38" s="1574" t="s">
        <v>11</v>
      </c>
      <c r="S38" s="1575">
        <f t="shared" si="12"/>
        <v>100</v>
      </c>
      <c r="T38" s="1574" t="s">
        <v>11</v>
      </c>
      <c r="U38" s="1575">
        <f t="shared" si="13"/>
        <v>100</v>
      </c>
      <c r="V38" s="1574" t="s">
        <v>11</v>
      </c>
      <c r="W38" s="1575">
        <f t="shared" si="14"/>
        <v>100</v>
      </c>
      <c r="X38" s="1568"/>
      <c r="Y38" s="3417"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17"/>
      <c r="Q39" s="1573" t="str">
        <f t="shared" si="11"/>
        <v>市政基础设施</v>
      </c>
      <c r="R39" s="1574" t="s">
        <v>11</v>
      </c>
      <c r="S39" s="1575">
        <f t="shared" si="12"/>
        <v>100</v>
      </c>
      <c r="T39" s="1574" t="s">
        <v>11</v>
      </c>
      <c r="U39" s="1575">
        <f t="shared" si="13"/>
        <v>100</v>
      </c>
      <c r="V39" s="1574" t="s">
        <v>11</v>
      </c>
      <c r="W39" s="1575">
        <f t="shared" si="14"/>
        <v>100</v>
      </c>
      <c r="X39" s="1568"/>
      <c r="Y39" s="341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17"/>
      <c r="Q40" s="1573" t="str">
        <f t="shared" si="11"/>
        <v>房型</v>
      </c>
      <c r="R40" s="1574" t="s">
        <v>11</v>
      </c>
      <c r="S40" s="1575">
        <f t="shared" si="12"/>
        <v>100</v>
      </c>
      <c r="T40" s="1574" t="s">
        <v>11</v>
      </c>
      <c r="U40" s="1575">
        <f t="shared" si="13"/>
        <v>100</v>
      </c>
      <c r="V40" s="1574" t="s">
        <v>11</v>
      </c>
      <c r="W40" s="1575">
        <f t="shared" si="14"/>
        <v>100</v>
      </c>
      <c r="X40" s="1568"/>
      <c r="Y40" s="341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17"/>
      <c r="Q41" s="1606" t="str">
        <f t="shared" si="11"/>
        <v>单套/主力户型建筑面积</v>
      </c>
      <c r="R41" s="1578" t="s">
        <v>11</v>
      </c>
      <c r="S41" s="1579">
        <f t="shared" si="12"/>
        <v>100</v>
      </c>
      <c r="T41" s="1578" t="s">
        <v>11</v>
      </c>
      <c r="U41" s="1579">
        <f t="shared" si="13"/>
        <v>100</v>
      </c>
      <c r="V41" s="1578" t="s">
        <v>11</v>
      </c>
      <c r="W41" s="1579">
        <f t="shared" si="14"/>
        <v>100</v>
      </c>
      <c r="X41" s="1580"/>
      <c r="Y41" s="3417"/>
      <c r="Z41" s="1581" t="str">
        <f t="shared" si="15"/>
        <v>单套/主力户型建筑面积</v>
      </c>
      <c r="AA41" s="1577">
        <f t="shared" si="3"/>
        <v>1</v>
      </c>
      <c r="AB41" s="1577">
        <f t="shared" si="4"/>
        <v>1</v>
      </c>
      <c r="AC41" s="1577">
        <f t="shared" si="5"/>
        <v>1</v>
      </c>
    </row>
    <row r="42" spans="1:29" ht="15">
      <c r="A42" s="594"/>
      <c r="B42" s="527" t="s">
        <v>734</v>
      </c>
      <c r="C42" s="3181" t="s">
        <v>3014</v>
      </c>
      <c r="D42" s="540">
        <v>100</v>
      </c>
      <c r="E42" s="3182" t="s">
        <v>3015</v>
      </c>
      <c r="F42" s="575">
        <f>SUMIF(122:122,E42,123:123)-SUMIF(122:122,C42,123:123)+100</f>
        <v>85</v>
      </c>
      <c r="G42" s="3181" t="s">
        <v>3015</v>
      </c>
      <c r="H42" s="540">
        <f>SUMIF(122:122,G42,123:123)-SUMIF(122:122,C42,123:123)+100</f>
        <v>85</v>
      </c>
      <c r="I42" s="3182" t="s">
        <v>3015</v>
      </c>
      <c r="J42" s="540">
        <f>SUMIF(122:122,I42,123:123)-SUMIF(122:122,C42,123:123)+100</f>
        <v>85</v>
      </c>
      <c r="K42" s="864">
        <v>5</v>
      </c>
      <c r="L42" s="2144"/>
      <c r="M42" s="2136"/>
      <c r="N42" s="2136"/>
      <c r="O42" s="2143"/>
      <c r="P42" s="3417"/>
      <c r="Q42" s="1573" t="str">
        <f t="shared" si="11"/>
        <v>内部装修</v>
      </c>
      <c r="R42" s="1574" t="s">
        <v>11</v>
      </c>
      <c r="S42" s="1575">
        <f t="shared" si="12"/>
        <v>85</v>
      </c>
      <c r="T42" s="1574" t="s">
        <v>11</v>
      </c>
      <c r="U42" s="1575">
        <f t="shared" si="13"/>
        <v>85</v>
      </c>
      <c r="V42" s="1574" t="s">
        <v>11</v>
      </c>
      <c r="W42" s="1575">
        <f t="shared" si="14"/>
        <v>85</v>
      </c>
      <c r="X42" s="1568"/>
      <c r="Y42" s="3417"/>
      <c r="Z42" s="1576" t="str">
        <f t="shared" si="15"/>
        <v>内部装修</v>
      </c>
      <c r="AA42" s="1577">
        <f t="shared" si="3"/>
        <v>1.1764705882352942</v>
      </c>
      <c r="AB42" s="1577">
        <f t="shared" si="4"/>
        <v>1.1764705882352942</v>
      </c>
      <c r="AC42" s="1577">
        <f t="shared" si="5"/>
        <v>1.1764705882352942</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17"/>
      <c r="Q43" s="1573" t="str">
        <f t="shared" si="11"/>
        <v>内部装修维护情况</v>
      </c>
      <c r="R43" s="1574" t="s">
        <v>11</v>
      </c>
      <c r="S43" s="1575">
        <f t="shared" si="12"/>
        <v>100</v>
      </c>
      <c r="T43" s="1574" t="s">
        <v>11</v>
      </c>
      <c r="U43" s="1575">
        <f t="shared" si="13"/>
        <v>100</v>
      </c>
      <c r="V43" s="1574" t="s">
        <v>11</v>
      </c>
      <c r="W43" s="1575">
        <f t="shared" si="14"/>
        <v>100</v>
      </c>
      <c r="X43" s="1568"/>
      <c r="Y43" s="341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7"/>
      <c r="Q44" s="1151">
        <f t="shared" si="11"/>
        <v>111</v>
      </c>
      <c r="R44" s="1569" t="s">
        <v>11</v>
      </c>
      <c r="S44" s="1570">
        <f t="shared" si="12"/>
        <v>100</v>
      </c>
      <c r="T44" s="1569" t="s">
        <v>11</v>
      </c>
      <c r="U44" s="1570">
        <f t="shared" si="13"/>
        <v>100</v>
      </c>
      <c r="V44" s="1569" t="s">
        <v>11</v>
      </c>
      <c r="W44" s="1570">
        <f t="shared" si="14"/>
        <v>100</v>
      </c>
      <c r="X44" s="1571"/>
      <c r="Y44" s="341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7"/>
      <c r="Q45" s="1573">
        <f t="shared" si="11"/>
        <v>111</v>
      </c>
      <c r="R45" s="1574" t="s">
        <v>11</v>
      </c>
      <c r="S45" s="1575">
        <f t="shared" si="12"/>
        <v>100</v>
      </c>
      <c r="T45" s="1574" t="s">
        <v>11</v>
      </c>
      <c r="U45" s="1575">
        <f t="shared" si="13"/>
        <v>100</v>
      </c>
      <c r="V45" s="1574" t="s">
        <v>11</v>
      </c>
      <c r="W45" s="1575">
        <f t="shared" si="14"/>
        <v>100</v>
      </c>
      <c r="X45" s="1568"/>
      <c r="Y45" s="341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4"/>
      <c r="Q46" s="1573">
        <f t="shared" si="11"/>
        <v>111</v>
      </c>
      <c r="R46" s="1574" t="s">
        <v>10</v>
      </c>
      <c r="S46" s="1575">
        <f t="shared" si="12"/>
        <v>100</v>
      </c>
      <c r="T46" s="1574" t="s">
        <v>10</v>
      </c>
      <c r="U46" s="1575">
        <f t="shared" si="13"/>
        <v>100</v>
      </c>
      <c r="V46" s="1574" t="s">
        <v>10</v>
      </c>
      <c r="W46" s="1575">
        <f t="shared" si="14"/>
        <v>100</v>
      </c>
      <c r="X46" s="1568"/>
      <c r="Y46" s="3494"/>
      <c r="Z46" s="1576">
        <f t="shared" si="15"/>
        <v>111</v>
      </c>
      <c r="AA46" s="1577">
        <f t="shared" si="3"/>
        <v>1</v>
      </c>
      <c r="AB46" s="1577">
        <f t="shared" si="4"/>
        <v>1</v>
      </c>
      <c r="AC46" s="1577">
        <f t="shared" si="5"/>
        <v>1</v>
      </c>
    </row>
    <row r="47" spans="1:29" ht="15">
      <c r="A47" s="607" t="s">
        <v>736</v>
      </c>
      <c r="B47" s="887"/>
      <c r="C47" s="2629" t="s">
        <v>9</v>
      </c>
      <c r="D47" s="2630"/>
      <c r="E47" s="2631">
        <v>8500</v>
      </c>
      <c r="F47" s="2632"/>
      <c r="G47" s="2633">
        <v>8600</v>
      </c>
      <c r="H47" s="2634"/>
      <c r="I47" s="2631">
        <v>8400</v>
      </c>
      <c r="J47" s="2634"/>
      <c r="K47" s="1607"/>
      <c r="L47" s="2146"/>
      <c r="M47" s="2147"/>
      <c r="N47" s="2136"/>
      <c r="O47" s="2147"/>
      <c r="P47" s="3380" t="str">
        <f>A47</f>
        <v>成交单价（元/平方米）</v>
      </c>
      <c r="Q47" s="3380"/>
      <c r="R47" s="3493">
        <f>E47</f>
        <v>8500</v>
      </c>
      <c r="S47" s="3493"/>
      <c r="T47" s="3493">
        <f>G47</f>
        <v>8600</v>
      </c>
      <c r="U47" s="3493"/>
      <c r="V47" s="3493">
        <f>I47</f>
        <v>8400</v>
      </c>
      <c r="W47" s="3493"/>
      <c r="X47" s="1560"/>
      <c r="Y47" s="1582"/>
      <c r="Z47" s="1560"/>
      <c r="AA47" s="1560"/>
      <c r="AB47" s="1560"/>
      <c r="AC47" s="1560"/>
    </row>
    <row r="48" spans="1:29" ht="15.75" thickBot="1">
      <c r="A48" s="615" t="s">
        <v>2761</v>
      </c>
      <c r="B48" s="888"/>
      <c r="C48" s="2635">
        <f>R49</f>
        <v>9837</v>
      </c>
      <c r="D48" s="2636"/>
      <c r="E48" s="2637">
        <f>R48</f>
        <v>9709</v>
      </c>
      <c r="F48" s="2637"/>
      <c r="G48" s="2635">
        <f>T48</f>
        <v>9919</v>
      </c>
      <c r="H48" s="2636"/>
      <c r="I48" s="2637">
        <f>V48</f>
        <v>9882</v>
      </c>
      <c r="J48" s="2636"/>
      <c r="K48" s="1608"/>
      <c r="L48" s="2146"/>
      <c r="M48" s="2147"/>
      <c r="N48" s="2147"/>
      <c r="O48" s="2147"/>
      <c r="P48" s="3380" t="str">
        <f>A48</f>
        <v>比较价格（元/平方米）</v>
      </c>
      <c r="Q48" s="3380"/>
      <c r="R48" s="3493">
        <f>IF(F1="售价",ROUND(PRODUCT(R47,AA7:AA46),0),ROUND(PRODUCT(R47,AA7:AA46),1))</f>
        <v>9709</v>
      </c>
      <c r="S48" s="3493"/>
      <c r="T48" s="3493">
        <f>IF(F1="售价",ROUND(PRODUCT(T47,AB7:AB46),0),ROUND(PRODUCT(T47,AB7:AB46),1))</f>
        <v>9919</v>
      </c>
      <c r="U48" s="3493"/>
      <c r="V48" s="3493">
        <f>IF(F1="售价",ROUND(PRODUCT(V47,AC7:AC46),0),ROUND(PRODUCT(V47,AC7:AC46),1))</f>
        <v>9882</v>
      </c>
      <c r="W48" s="3493"/>
      <c r="X48" s="1560"/>
      <c r="Y48" s="1560"/>
      <c r="Z48" s="1560"/>
      <c r="AA48" s="1560"/>
      <c r="AB48" s="1560"/>
      <c r="AC48" s="1560"/>
    </row>
    <row r="49" spans="1:29" ht="15.75" thickBot="1">
      <c r="A49" s="621" t="s">
        <v>2936</v>
      </c>
      <c r="B49" s="622"/>
      <c r="C49" s="2638">
        <f>R49</f>
        <v>9837</v>
      </c>
      <c r="D49" s="2638"/>
      <c r="E49" s="2638"/>
      <c r="F49" s="2638"/>
      <c r="G49" s="2638"/>
      <c r="H49" s="2638"/>
      <c r="I49" s="2638"/>
      <c r="J49" s="2638"/>
      <c r="K49" s="1609"/>
      <c r="L49" s="2146"/>
      <c r="M49" s="2147"/>
      <c r="N49" s="2147"/>
      <c r="O49" s="2147"/>
      <c r="P49" s="3377" t="str">
        <f>A49</f>
        <v>估价对象XX用房的比较价格（楼面单价，元/平方米）</v>
      </c>
      <c r="Q49" s="3378"/>
      <c r="R49" s="3492">
        <f>IF(F1="售价",ROUND(AVERAGE(R48:V48),0),ROUND(AVERAGE(R48:V48),1))</f>
        <v>9837</v>
      </c>
      <c r="S49" s="3492"/>
      <c r="T49" s="3492"/>
      <c r="U49" s="3492"/>
      <c r="V49" s="3492"/>
      <c r="W49" s="349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0.14223529411764702</v>
      </c>
      <c r="F52" s="627" t="str">
        <f>IF(OR(E52&gt;=0.3,E52&lt;=-0.3),"超过30%","")</f>
        <v/>
      </c>
      <c r="G52" s="626">
        <f>IF(G47&lt;G48,G48/G47-1,G47/G48-1)</f>
        <v>0.15337209302325583</v>
      </c>
      <c r="H52" s="627" t="str">
        <f>IF(OR(G52&gt;=0.3,G52&lt;=-0.3),"超过30%","")</f>
        <v/>
      </c>
      <c r="I52" s="626">
        <f>IF(I47&lt;I48,I48/I47-1,I47/I48-1)</f>
        <v>0.17642857142857138</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2.1629416005767954E-2</v>
      </c>
      <c r="F53" s="627" t="str">
        <f>IF(OR(E53&gt;=0.2,E53&lt;=-0.2),"超过20%","")</f>
        <v/>
      </c>
      <c r="G53" s="626">
        <f>IF(G48&lt;I48,I48/G48-1,G48/I48-1)</f>
        <v>3.7441813398098045E-3</v>
      </c>
      <c r="H53" s="627" t="str">
        <f>IF(OR(G53&gt;=0.2,G53&lt;=-0.2),"超过20%","")</f>
        <v/>
      </c>
      <c r="I53" s="626">
        <f>IF(I48&lt;E48,E48/I48-1,I48/E48-1)</f>
        <v>1.7818518899989755E-2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1.1764705882352899E-2</v>
      </c>
      <c r="F54" s="627" t="str">
        <f>IF(OR(E54&gt;=0.3,E54&lt;=-0.3),"超过30%","")</f>
        <v/>
      </c>
      <c r="G54" s="626">
        <f>IF(G47&lt;I47,I47/G47-1,G47/I47-1)</f>
        <v>2.3809523809523725E-2</v>
      </c>
      <c r="H54" s="627" t="str">
        <f>IF(OR(G54&gt;=0.3,G54&lt;=-0.3),"超过30%","")</f>
        <v/>
      </c>
      <c r="I54" s="626">
        <f>IF(I47&lt;E47,E47/I47-1,I47/E47-1)</f>
        <v>1.1904761904761862E-2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200000</v>
      </c>
      <c r="E103" s="730">
        <v>400000</v>
      </c>
      <c r="F103" s="730">
        <v>600000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3" t="s">
        <v>3014</v>
      </c>
      <c r="D122" s="3183" t="s">
        <v>3016</v>
      </c>
      <c r="E122" s="3183" t="s">
        <v>3017</v>
      </c>
      <c r="F122" s="3184" t="s">
        <v>3015</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5" zoomScale="80" zoomScaleNormal="80" workbookViewId="0">
      <selection activeCell="M50" sqref="M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t="s">
        <v>2997</v>
      </c>
      <c r="E1" s="506"/>
      <c r="F1" s="2809" t="s">
        <v>3012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703</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13235</v>
      </c>
      <c r="C3" s="852" t="s">
        <v>722</v>
      </c>
      <c r="D3" s="851">
        <f>SUMIF('数据-汇总表'!$C19:$C33,D1,'数据-汇总表'!$E19:$E33)</f>
        <v>531</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6" t="s">
        <v>522</v>
      </c>
      <c r="D4" s="3387"/>
      <c r="E4" s="3420" t="s">
        <v>523</v>
      </c>
      <c r="F4" s="3421"/>
      <c r="G4" s="3386" t="s">
        <v>524</v>
      </c>
      <c r="H4" s="3387"/>
      <c r="I4" s="3386" t="s">
        <v>525</v>
      </c>
      <c r="J4" s="3387"/>
      <c r="K4" s="514" t="s">
        <v>526</v>
      </c>
      <c r="L4" s="2135"/>
      <c r="M4" s="2136"/>
      <c r="N4" s="2136"/>
      <c r="O4" s="2136"/>
      <c r="P4" s="3388" t="s">
        <v>527</v>
      </c>
      <c r="Q4" s="3389"/>
      <c r="R4" s="3394" t="s">
        <v>523</v>
      </c>
      <c r="S4" s="3395"/>
      <c r="T4" s="3394" t="s">
        <v>524</v>
      </c>
      <c r="U4" s="3395"/>
      <c r="V4" s="3381" t="s">
        <v>525</v>
      </c>
      <c r="W4" s="3381"/>
      <c r="X4" s="1568"/>
      <c r="Y4" s="3394" t="s">
        <v>527</v>
      </c>
      <c r="Z4" s="3395"/>
      <c r="AA4" s="3383" t="s">
        <v>523</v>
      </c>
      <c r="AB4" s="3381" t="s">
        <v>524</v>
      </c>
      <c r="AC4" s="3383" t="s">
        <v>525</v>
      </c>
    </row>
    <row r="5" spans="1:29" ht="15">
      <c r="A5" s="515"/>
      <c r="B5" s="516"/>
      <c r="C5" s="3402" t="s">
        <v>2930</v>
      </c>
      <c r="D5" s="3403"/>
      <c r="E5" s="3422" t="str">
        <f>'不动产比较法-住宅'!E5:F5</f>
        <v>雅乐居花园</v>
      </c>
      <c r="F5" s="3423"/>
      <c r="G5" s="3402" t="str">
        <f>'不动产比较法-住宅'!G5:H5</f>
        <v>美丽城</v>
      </c>
      <c r="H5" s="3403"/>
      <c r="I5" s="3402" t="str">
        <f>'不动产比较法-住宅'!I5:J5</f>
        <v>名门世家</v>
      </c>
      <c r="J5" s="3403"/>
      <c r="K5" s="514"/>
      <c r="L5" s="2135"/>
      <c r="M5" s="2136"/>
      <c r="N5" s="2136"/>
      <c r="O5" s="2136"/>
      <c r="P5" s="3390"/>
      <c r="Q5" s="3391"/>
      <c r="R5" s="3396"/>
      <c r="S5" s="3397"/>
      <c r="T5" s="3396"/>
      <c r="U5" s="3397"/>
      <c r="V5" s="3381"/>
      <c r="W5" s="3381"/>
      <c r="X5" s="1568"/>
      <c r="Y5" s="3396"/>
      <c r="Z5" s="3397"/>
      <c r="AA5" s="3384"/>
      <c r="AB5" s="3381"/>
      <c r="AC5" s="3384"/>
    </row>
    <row r="6" spans="1:29" ht="15.75" thickBot="1">
      <c r="A6" s="517"/>
      <c r="B6" s="518"/>
      <c r="C6" s="3400" t="s">
        <v>2934</v>
      </c>
      <c r="D6" s="3401"/>
      <c r="E6" s="3418" t="s">
        <v>2934</v>
      </c>
      <c r="F6" s="3419"/>
      <c r="G6" s="3400" t="s">
        <v>2934</v>
      </c>
      <c r="H6" s="3401"/>
      <c r="I6" s="3400" t="s">
        <v>2934</v>
      </c>
      <c r="J6" s="3401"/>
      <c r="K6" s="514" t="s">
        <v>528</v>
      </c>
      <c r="L6" s="2135"/>
      <c r="M6" s="2136"/>
      <c r="N6" s="2136"/>
      <c r="O6" s="2136"/>
      <c r="P6" s="3392"/>
      <c r="Q6" s="3393"/>
      <c r="R6" s="3396"/>
      <c r="S6" s="3397"/>
      <c r="T6" s="3398"/>
      <c r="U6" s="3399"/>
      <c r="V6" s="3381"/>
      <c r="W6" s="3381"/>
      <c r="X6" s="1568"/>
      <c r="Y6" s="3398"/>
      <c r="Z6" s="3399"/>
      <c r="AA6" s="3385"/>
      <c r="AB6" s="3381"/>
      <c r="AC6" s="3385"/>
    </row>
    <row r="7" spans="1:29" s="1220" customFormat="1" ht="15.75" thickBot="1">
      <c r="A7" s="2913"/>
      <c r="B7" s="2920" t="s">
        <v>529</v>
      </c>
      <c r="C7" s="519">
        <f>'数据-取费表'!B2</f>
        <v>43305</v>
      </c>
      <c r="D7" s="520">
        <v>100</v>
      </c>
      <c r="E7" s="521">
        <v>43282</v>
      </c>
      <c r="F7" s="522">
        <f>SUMIF(58:58,YEAR(E7)&amp;"-"&amp;MONTH(E7),59:59)</f>
        <v>100</v>
      </c>
      <c r="G7" s="521">
        <v>43282</v>
      </c>
      <c r="H7" s="520">
        <f>SUMIF(58:58,YEAR(G7)&amp;"-"&amp;MONTH(G7),59:59)</f>
        <v>100</v>
      </c>
      <c r="I7" s="521">
        <v>43282</v>
      </c>
      <c r="J7" s="520">
        <f>SUMIF(58:58,YEAR(I7)&amp;"-"&amp;MONTH(I7),59:59)</f>
        <v>100</v>
      </c>
      <c r="K7" s="524"/>
      <c r="L7" s="2137"/>
      <c r="M7" s="2138"/>
      <c r="N7" s="2138"/>
      <c r="O7" s="2138"/>
      <c r="P7" s="3411" t="s">
        <v>530</v>
      </c>
      <c r="Q7" s="3413"/>
      <c r="R7" s="1569" t="s">
        <v>8</v>
      </c>
      <c r="S7" s="1570">
        <f t="shared" ref="S7:S15" si="0">F7</f>
        <v>100</v>
      </c>
      <c r="T7" s="1569" t="s">
        <v>8</v>
      </c>
      <c r="U7" s="1570">
        <f t="shared" ref="U7:U15" si="1">H7</f>
        <v>100</v>
      </c>
      <c r="V7" s="1569" t="s">
        <v>8</v>
      </c>
      <c r="W7" s="1570">
        <f t="shared" ref="W7:W15" si="2">J7</f>
        <v>100</v>
      </c>
      <c r="X7" s="1571"/>
      <c r="Y7" s="3411" t="s">
        <v>530</v>
      </c>
      <c r="Z7" s="3412"/>
      <c r="AA7" s="1572">
        <f>D7/F7</f>
        <v>1</v>
      </c>
      <c r="AB7" s="1572">
        <f>D7/H7</f>
        <v>1</v>
      </c>
      <c r="AC7" s="1572">
        <f>D7/J7</f>
        <v>1</v>
      </c>
    </row>
    <row r="8" spans="1:29" s="1220" customFormat="1" ht="15.75" thickBot="1">
      <c r="A8" s="2914"/>
      <c r="B8" s="2921" t="s">
        <v>531</v>
      </c>
      <c r="C8" s="525" t="s">
        <v>576</v>
      </c>
      <c r="D8" s="520">
        <v>100</v>
      </c>
      <c r="E8" s="3180" t="s">
        <v>3093</v>
      </c>
      <c r="F8" s="522">
        <f>SUMIF(61:61,E8,62:62)-SUMIF(61:61,C8,62:62)+100</f>
        <v>100</v>
      </c>
      <c r="G8" s="3180" t="s">
        <v>3093</v>
      </c>
      <c r="H8" s="520">
        <f>SUMIF(61:61,G8,62:62)-SUMIF(61:61,C8,62:62)+100</f>
        <v>100</v>
      </c>
      <c r="I8" s="3180" t="s">
        <v>3093</v>
      </c>
      <c r="J8" s="520">
        <f>SUMIF(61:61,I8,62:62)-SUMIF(61:61,C8,62:62)+100</f>
        <v>100</v>
      </c>
      <c r="K8" s="524"/>
      <c r="L8" s="2137"/>
      <c r="M8" s="2138"/>
      <c r="N8" s="2138"/>
      <c r="O8" s="2138"/>
      <c r="P8" s="3411" t="s">
        <v>533</v>
      </c>
      <c r="Q8" s="3412"/>
      <c r="R8" s="1569" t="s">
        <v>8</v>
      </c>
      <c r="S8" s="1570">
        <f t="shared" si="0"/>
        <v>100</v>
      </c>
      <c r="T8" s="1569" t="s">
        <v>8</v>
      </c>
      <c r="U8" s="1570">
        <f t="shared" si="1"/>
        <v>100</v>
      </c>
      <c r="V8" s="1569" t="s">
        <v>8</v>
      </c>
      <c r="W8" s="1570">
        <f t="shared" si="2"/>
        <v>100</v>
      </c>
      <c r="X8" s="1571"/>
      <c r="Y8" s="3411" t="s">
        <v>533</v>
      </c>
      <c r="Z8" s="3412"/>
      <c r="AA8" s="1572">
        <f t="shared" ref="AA8:AA46" si="3">D8/F8</f>
        <v>1</v>
      </c>
      <c r="AB8" s="1572">
        <f t="shared" ref="AB8:AB46" si="4">D8/H8</f>
        <v>1</v>
      </c>
      <c r="AC8" s="1572">
        <f t="shared" ref="AC8:AC46" si="5">D8/J8</f>
        <v>1</v>
      </c>
    </row>
    <row r="9" spans="1:29" s="1220" customFormat="1" ht="15">
      <c r="A9" s="2915"/>
      <c r="B9" s="2922"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0"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f>LOOKUP(E11,68:68,69:69)-LOOKUP(C11,68:68,69:69)+100</f>
        <v>100</v>
      </c>
      <c r="G11" s="534"/>
      <c r="H11" s="255">
        <f>LOOKUP(G11,68:68,69:69)-LOOKUP(C11,68:68,69:69)+100</f>
        <v>100</v>
      </c>
      <c r="I11" s="533"/>
      <c r="J11" s="255">
        <f>LOOKUP(I11,68:68,69:69)-LOOKUP(C11,68:68,69:69)+100</f>
        <v>100</v>
      </c>
      <c r="K11" s="584"/>
      <c r="L11" s="2142"/>
      <c r="M11" s="2136"/>
      <c r="N11" s="2136"/>
      <c r="O11" s="2143"/>
      <c r="P11" s="3380"/>
      <c r="Q11" s="1151" t="str">
        <f t="shared" si="6"/>
        <v>容积率</v>
      </c>
      <c r="R11" s="1569" t="s">
        <v>8</v>
      </c>
      <c r="S11" s="1570">
        <f t="shared" si="0"/>
        <v>100</v>
      </c>
      <c r="T11" s="1569" t="s">
        <v>8</v>
      </c>
      <c r="U11" s="1570">
        <f t="shared" si="1"/>
        <v>100</v>
      </c>
      <c r="V11" s="1569" t="s">
        <v>8</v>
      </c>
      <c r="W11" s="1570">
        <f t="shared" si="2"/>
        <v>100</v>
      </c>
      <c r="X11" s="1571"/>
      <c r="Y11" s="3326"/>
      <c r="Z11" s="1150" t="str">
        <f t="shared" si="7"/>
        <v>容积率</v>
      </c>
      <c r="AA11" s="1572">
        <f t="shared" si="3"/>
        <v>1</v>
      </c>
      <c r="AB11" s="1572">
        <f t="shared" si="4"/>
        <v>1</v>
      </c>
      <c r="AC11" s="1572">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71.25">
      <c r="A15" s="2911"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4" t="s">
        <v>540</v>
      </c>
      <c r="Q15" s="1573" t="str">
        <f t="shared" si="6"/>
        <v>商业繁华度</v>
      </c>
      <c r="R15" s="1574" t="s">
        <v>8</v>
      </c>
      <c r="S15" s="1575">
        <f t="shared" si="0"/>
        <v>100</v>
      </c>
      <c r="T15" s="1574" t="s">
        <v>8</v>
      </c>
      <c r="U15" s="1575">
        <f t="shared" si="1"/>
        <v>100</v>
      </c>
      <c r="V15" s="1574" t="s">
        <v>8</v>
      </c>
      <c r="W15" s="1575">
        <f t="shared" si="2"/>
        <v>100</v>
      </c>
      <c r="X15" s="1568"/>
      <c r="Y15" s="341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5"/>
      <c r="Q16" s="1573"/>
      <c r="R16" s="1574"/>
      <c r="S16" s="1575"/>
      <c r="T16" s="1574"/>
      <c r="U16" s="1575"/>
      <c r="V16" s="1574"/>
      <c r="W16" s="1575"/>
      <c r="X16" s="1568"/>
      <c r="Y16" s="341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5"/>
      <c r="Q18" s="1573"/>
      <c r="R18" s="1574"/>
      <c r="S18" s="1575"/>
      <c r="T18" s="1574"/>
      <c r="U18" s="1575"/>
      <c r="V18" s="1574"/>
      <c r="W18" s="1575"/>
      <c r="X18" s="1568"/>
      <c r="Y18" s="3415"/>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15"/>
      <c r="Q20" s="1573"/>
      <c r="R20" s="1574"/>
      <c r="S20" s="1575"/>
      <c r="T20" s="1574"/>
      <c r="U20" s="1575"/>
      <c r="V20" s="1574"/>
      <c r="W20" s="1575"/>
      <c r="X20" s="1568"/>
      <c r="Y20" s="3415"/>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15"/>
      <c r="Q21" s="2581" t="str">
        <f>B21</f>
        <v>基础设施水平</v>
      </c>
      <c r="R21" s="1574" t="s">
        <v>8</v>
      </c>
      <c r="S21" s="1575">
        <f>F21</f>
        <v>100</v>
      </c>
      <c r="T21" s="1574" t="s">
        <v>8</v>
      </c>
      <c r="U21" s="1575">
        <f>H21</f>
        <v>100</v>
      </c>
      <c r="V21" s="1574" t="s">
        <v>8</v>
      </c>
      <c r="W21" s="1575">
        <f>J21</f>
        <v>100</v>
      </c>
      <c r="X21" s="2583"/>
      <c r="Y21" s="341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15"/>
      <c r="Q22" s="2581"/>
      <c r="R22" s="1574"/>
      <c r="S22" s="1575"/>
      <c r="T22" s="1574"/>
      <c r="U22" s="1575"/>
      <c r="V22" s="1574"/>
      <c r="W22" s="1575"/>
      <c r="X22" s="2583"/>
      <c r="Y22" s="3415"/>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15"/>
      <c r="Q23" s="1573" t="str">
        <f>B23</f>
        <v>自然及人文环境</v>
      </c>
      <c r="R23" s="1574" t="s">
        <v>8</v>
      </c>
      <c r="S23" s="1575">
        <f>F23</f>
        <v>100</v>
      </c>
      <c r="T23" s="1574" t="s">
        <v>8</v>
      </c>
      <c r="U23" s="1575">
        <f>H23</f>
        <v>100</v>
      </c>
      <c r="V23" s="1574" t="s">
        <v>8</v>
      </c>
      <c r="W23" s="1575">
        <f>J23</f>
        <v>100</v>
      </c>
      <c r="X23" s="1568"/>
      <c r="Y23" s="341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15"/>
      <c r="Q24" s="1573"/>
      <c r="R24" s="1574"/>
      <c r="S24" s="1575"/>
      <c r="T24" s="1574"/>
      <c r="U24" s="1575"/>
      <c r="V24" s="1574"/>
      <c r="W24" s="1575"/>
      <c r="X24" s="1568"/>
      <c r="Y24" s="341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15"/>
      <c r="Q25" s="1573" t="str">
        <f t="shared" ref="Q25:Q46" si="11">B25</f>
        <v>临街状况</v>
      </c>
      <c r="R25" s="1574" t="s">
        <v>8</v>
      </c>
      <c r="S25" s="1575">
        <f>F25</f>
        <v>100</v>
      </c>
      <c r="T25" s="1574" t="s">
        <v>8</v>
      </c>
      <c r="U25" s="1575">
        <f>H25</f>
        <v>100</v>
      </c>
      <c r="V25" s="1574" t="s">
        <v>8</v>
      </c>
      <c r="W25" s="1575">
        <f>J25</f>
        <v>100</v>
      </c>
      <c r="X25" s="1568"/>
      <c r="Y25" s="341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15"/>
      <c r="Q26" s="1573" t="str">
        <f t="shared" si="11"/>
        <v>平面位置/可视性</v>
      </c>
      <c r="R26" s="1574" t="s">
        <v>8</v>
      </c>
      <c r="S26" s="1575">
        <f>F26</f>
        <v>100</v>
      </c>
      <c r="T26" s="1574" t="s">
        <v>8</v>
      </c>
      <c r="U26" s="1575">
        <f>H26</f>
        <v>100</v>
      </c>
      <c r="V26" s="1574" t="s">
        <v>8</v>
      </c>
      <c r="W26" s="1575">
        <f>J26</f>
        <v>100</v>
      </c>
      <c r="X26" s="1568"/>
      <c r="Y26" s="341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15"/>
      <c r="Q27" s="1151" t="str">
        <f t="shared" si="11"/>
        <v>人流量</v>
      </c>
      <c r="R27" s="1569" t="s">
        <v>8</v>
      </c>
      <c r="S27" s="1570">
        <f>F27</f>
        <v>100</v>
      </c>
      <c r="T27" s="1569" t="s">
        <v>8</v>
      </c>
      <c r="U27" s="1570">
        <f>H27</f>
        <v>100</v>
      </c>
      <c r="V27" s="1569" t="s">
        <v>8</v>
      </c>
      <c r="W27" s="1570">
        <f>J27</f>
        <v>100</v>
      </c>
      <c r="X27" s="1571"/>
      <c r="Y27" s="341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1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15"/>
      <c r="Q29" s="1573">
        <f t="shared" si="11"/>
        <v>111</v>
      </c>
      <c r="R29" s="1574" t="s">
        <v>8</v>
      </c>
      <c r="S29" s="1575">
        <f t="shared" si="12"/>
        <v>100</v>
      </c>
      <c r="T29" s="1574" t="s">
        <v>8</v>
      </c>
      <c r="U29" s="1575">
        <f t="shared" si="13"/>
        <v>100</v>
      </c>
      <c r="V29" s="1574" t="s">
        <v>8</v>
      </c>
      <c r="W29" s="1575">
        <f t="shared" si="14"/>
        <v>100</v>
      </c>
      <c r="X29" s="1568"/>
      <c r="Y29" s="341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15"/>
      <c r="Q30" s="1573">
        <f t="shared" si="11"/>
        <v>111</v>
      </c>
      <c r="R30" s="1574" t="s">
        <v>8</v>
      </c>
      <c r="S30" s="1575">
        <f t="shared" si="12"/>
        <v>100</v>
      </c>
      <c r="T30" s="1574" t="s">
        <v>8</v>
      </c>
      <c r="U30" s="1575">
        <f t="shared" si="13"/>
        <v>100</v>
      </c>
      <c r="V30" s="1574" t="s">
        <v>8</v>
      </c>
      <c r="W30" s="1575">
        <f t="shared" si="14"/>
        <v>100</v>
      </c>
      <c r="X30" s="1568"/>
      <c r="Y30" s="341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15"/>
      <c r="Q31" s="1573">
        <f t="shared" si="11"/>
        <v>111</v>
      </c>
      <c r="R31" s="1574" t="s">
        <v>8</v>
      </c>
      <c r="S31" s="1575">
        <f t="shared" si="12"/>
        <v>100</v>
      </c>
      <c r="T31" s="1574" t="s">
        <v>8</v>
      </c>
      <c r="U31" s="1575">
        <f t="shared" si="13"/>
        <v>100</v>
      </c>
      <c r="V31" s="1574" t="s">
        <v>8</v>
      </c>
      <c r="W31" s="1575">
        <f t="shared" si="14"/>
        <v>100</v>
      </c>
      <c r="X31" s="1568"/>
      <c r="Y31" s="3415"/>
      <c r="Z31" s="1576">
        <f t="shared" si="15"/>
        <v>111</v>
      </c>
      <c r="AA31" s="1577">
        <f t="shared" si="3"/>
        <v>1</v>
      </c>
      <c r="AB31" s="1577">
        <f t="shared" si="4"/>
        <v>1</v>
      </c>
      <c r="AC31" s="1577">
        <f t="shared" si="5"/>
        <v>1</v>
      </c>
    </row>
    <row r="32" spans="1:29" ht="15">
      <c r="A32" s="2909"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16" t="s">
        <v>550</v>
      </c>
      <c r="Q32" s="1573" t="str">
        <f t="shared" si="11"/>
        <v>商业类型</v>
      </c>
      <c r="R32" s="1574" t="s">
        <v>8</v>
      </c>
      <c r="S32" s="1575">
        <f t="shared" si="12"/>
        <v>100</v>
      </c>
      <c r="T32" s="1574" t="s">
        <v>8</v>
      </c>
      <c r="U32" s="1575">
        <f t="shared" si="13"/>
        <v>100</v>
      </c>
      <c r="V32" s="1574" t="s">
        <v>8</v>
      </c>
      <c r="W32" s="1575">
        <f t="shared" si="14"/>
        <v>100</v>
      </c>
      <c r="X32" s="1568"/>
      <c r="Y32" s="3417" t="s">
        <v>550</v>
      </c>
      <c r="Z32" s="1576" t="str">
        <f t="shared" si="15"/>
        <v>商业类型</v>
      </c>
      <c r="AA32" s="1577">
        <f t="shared" si="3"/>
        <v>1</v>
      </c>
      <c r="AB32" s="1577">
        <f t="shared" si="4"/>
        <v>1</v>
      </c>
      <c r="AC32" s="1577">
        <f t="shared" si="5"/>
        <v>1</v>
      </c>
    </row>
    <row r="33" spans="1:29" s="1339" customFormat="1" ht="15">
      <c r="A33" s="603"/>
      <c r="B33" s="527" t="s">
        <v>726</v>
      </c>
      <c r="C33" s="880">
        <v>500</v>
      </c>
      <c r="D33" s="255">
        <v>100</v>
      </c>
      <c r="E33" s="880">
        <v>90</v>
      </c>
      <c r="F33" s="863">
        <f>LOOKUP(E33,103:103,104:104)-LOOKUP(C33,103:103,104:104)+100</f>
        <v>102</v>
      </c>
      <c r="G33" s="880">
        <v>90</v>
      </c>
      <c r="H33" s="255">
        <f>LOOKUP(G33,103:103,104:104)-LOOKUP(C33,103:103,104:104)+100</f>
        <v>102</v>
      </c>
      <c r="I33" s="880">
        <v>90</v>
      </c>
      <c r="J33" s="255">
        <f>LOOKUP(I33,103:103,104:104)-LOOKUP(C33,103:103,104:104)+100</f>
        <v>102</v>
      </c>
      <c r="K33" s="581"/>
      <c r="L33" s="2142"/>
      <c r="M33" s="2173"/>
      <c r="N33" s="2173"/>
      <c r="O33" s="2145"/>
      <c r="P33" s="3417"/>
      <c r="Q33" s="1606" t="str">
        <f t="shared" si="11"/>
        <v>项目建筑规模</v>
      </c>
      <c r="R33" s="1578" t="s">
        <v>8</v>
      </c>
      <c r="S33" s="1579">
        <f t="shared" si="12"/>
        <v>102</v>
      </c>
      <c r="T33" s="1578" t="s">
        <v>8</v>
      </c>
      <c r="U33" s="1579">
        <f t="shared" si="13"/>
        <v>102</v>
      </c>
      <c r="V33" s="1578" t="s">
        <v>8</v>
      </c>
      <c r="W33" s="1579">
        <f t="shared" si="14"/>
        <v>102</v>
      </c>
      <c r="X33" s="1580"/>
      <c r="Y33" s="3417"/>
      <c r="Z33" s="1581" t="str">
        <f t="shared" si="15"/>
        <v>项目建筑规模</v>
      </c>
      <c r="AA33" s="1577">
        <f t="shared" si="3"/>
        <v>0.98039215686274506</v>
      </c>
      <c r="AB33" s="1577">
        <f t="shared" si="4"/>
        <v>0.98039215686274506</v>
      </c>
      <c r="AC33" s="1577">
        <f t="shared" si="5"/>
        <v>0.98039215686274506</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17"/>
      <c r="Q34" s="1573" t="str">
        <f t="shared" si="11"/>
        <v>建筑结构</v>
      </c>
      <c r="R34" s="1574" t="s">
        <v>8</v>
      </c>
      <c r="S34" s="1575">
        <f t="shared" si="12"/>
        <v>100</v>
      </c>
      <c r="T34" s="1574" t="s">
        <v>8</v>
      </c>
      <c r="U34" s="1575">
        <f t="shared" si="13"/>
        <v>100</v>
      </c>
      <c r="V34" s="1574" t="s">
        <v>8</v>
      </c>
      <c r="W34" s="1575">
        <f t="shared" si="14"/>
        <v>100</v>
      </c>
      <c r="X34" s="1568"/>
      <c r="Y34" s="341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17"/>
      <c r="Q35" s="1573" t="str">
        <f t="shared" si="11"/>
        <v>公共部分装修</v>
      </c>
      <c r="R35" s="1574" t="s">
        <v>8</v>
      </c>
      <c r="S35" s="1575">
        <f t="shared" si="12"/>
        <v>100</v>
      </c>
      <c r="T35" s="1574" t="s">
        <v>8</v>
      </c>
      <c r="U35" s="1575">
        <f t="shared" si="13"/>
        <v>100</v>
      </c>
      <c r="V35" s="1574" t="s">
        <v>8</v>
      </c>
      <c r="W35" s="1575">
        <f t="shared" si="14"/>
        <v>100</v>
      </c>
      <c r="X35" s="1568"/>
      <c r="Y35" s="3417"/>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4"/>
      <c r="M36" s="2136"/>
      <c r="N36" s="2136"/>
      <c r="O36" s="2143"/>
      <c r="P36" s="3417"/>
      <c r="Q36" s="1573" t="str">
        <f t="shared" si="11"/>
        <v>成新度</v>
      </c>
      <c r="R36" s="1574" t="s">
        <v>8</v>
      </c>
      <c r="S36" s="1575">
        <f t="shared" si="12"/>
        <v>100</v>
      </c>
      <c r="T36" s="1574" t="s">
        <v>8</v>
      </c>
      <c r="U36" s="1575">
        <f t="shared" si="13"/>
        <v>100</v>
      </c>
      <c r="V36" s="1574" t="s">
        <v>8</v>
      </c>
      <c r="W36" s="1575">
        <f t="shared" si="14"/>
        <v>100</v>
      </c>
      <c r="X36" s="1568"/>
      <c r="Y36" s="3417"/>
      <c r="Z36" s="1576" t="str">
        <f t="shared" si="15"/>
        <v>成新度</v>
      </c>
      <c r="AA36" s="1577">
        <f t="shared" si="3"/>
        <v>1</v>
      </c>
      <c r="AB36" s="1577">
        <f t="shared" si="4"/>
        <v>1</v>
      </c>
      <c r="AC36" s="1577">
        <f t="shared" si="5"/>
        <v>1</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17"/>
      <c r="Q37" s="1151" t="str">
        <f t="shared" si="11"/>
        <v>市政基础设施</v>
      </c>
      <c r="R37" s="1569" t="s">
        <v>8</v>
      </c>
      <c r="S37" s="1570">
        <f t="shared" si="12"/>
        <v>100</v>
      </c>
      <c r="T37" s="1569" t="s">
        <v>8</v>
      </c>
      <c r="U37" s="1570">
        <f t="shared" si="13"/>
        <v>100</v>
      </c>
      <c r="V37" s="1569" t="s">
        <v>8</v>
      </c>
      <c r="W37" s="1570">
        <f t="shared" si="14"/>
        <v>100</v>
      </c>
      <c r="X37" s="1571"/>
      <c r="Y37" s="341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17" t="s">
        <v>766</v>
      </c>
      <c r="Q38" s="1573" t="str">
        <f t="shared" si="11"/>
        <v>业态</v>
      </c>
      <c r="R38" s="1574" t="s">
        <v>8</v>
      </c>
      <c r="S38" s="1575">
        <f t="shared" si="12"/>
        <v>100</v>
      </c>
      <c r="T38" s="1574" t="s">
        <v>8</v>
      </c>
      <c r="U38" s="1575">
        <f t="shared" si="13"/>
        <v>100</v>
      </c>
      <c r="V38" s="1574" t="s">
        <v>8</v>
      </c>
      <c r="W38" s="1575">
        <f t="shared" si="14"/>
        <v>100</v>
      </c>
      <c r="X38" s="1568"/>
      <c r="Y38" s="341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7"/>
      <c r="Q39" s="1573" t="str">
        <f t="shared" si="11"/>
        <v>层高</v>
      </c>
      <c r="R39" s="1574" t="s">
        <v>8</v>
      </c>
      <c r="S39" s="1575">
        <f t="shared" si="12"/>
        <v>100</v>
      </c>
      <c r="T39" s="1574" t="s">
        <v>8</v>
      </c>
      <c r="U39" s="1575">
        <f t="shared" si="13"/>
        <v>100</v>
      </c>
      <c r="V39" s="1574" t="s">
        <v>8</v>
      </c>
      <c r="W39" s="1575">
        <f t="shared" si="14"/>
        <v>100</v>
      </c>
      <c r="X39" s="1568"/>
      <c r="Y39" s="341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17"/>
      <c r="Q40" s="1573" t="str">
        <f t="shared" si="11"/>
        <v>单套建筑面积</v>
      </c>
      <c r="R40" s="1574" t="s">
        <v>8</v>
      </c>
      <c r="S40" s="1575">
        <f t="shared" si="12"/>
        <v>100</v>
      </c>
      <c r="T40" s="1574" t="s">
        <v>8</v>
      </c>
      <c r="U40" s="1575">
        <f t="shared" si="13"/>
        <v>100</v>
      </c>
      <c r="V40" s="1574" t="s">
        <v>8</v>
      </c>
      <c r="W40" s="1575">
        <f t="shared" si="14"/>
        <v>100</v>
      </c>
      <c r="X40" s="1568"/>
      <c r="Y40" s="341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17"/>
      <c r="Q41" s="1606" t="str">
        <f t="shared" si="11"/>
        <v>进深比</v>
      </c>
      <c r="R41" s="1578" t="s">
        <v>8</v>
      </c>
      <c r="S41" s="1579">
        <f t="shared" si="12"/>
        <v>100</v>
      </c>
      <c r="T41" s="1578" t="s">
        <v>8</v>
      </c>
      <c r="U41" s="1579">
        <f t="shared" si="13"/>
        <v>100</v>
      </c>
      <c r="V41" s="1578" t="s">
        <v>8</v>
      </c>
      <c r="W41" s="1579">
        <f t="shared" si="14"/>
        <v>100</v>
      </c>
      <c r="X41" s="1580"/>
      <c r="Y41" s="341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17"/>
      <c r="Q42" s="1573" t="str">
        <f t="shared" si="11"/>
        <v>内部装修</v>
      </c>
      <c r="R42" s="1574" t="s">
        <v>8</v>
      </c>
      <c r="S42" s="1575">
        <f t="shared" si="12"/>
        <v>100</v>
      </c>
      <c r="T42" s="1574" t="s">
        <v>8</v>
      </c>
      <c r="U42" s="1575">
        <f t="shared" si="13"/>
        <v>100</v>
      </c>
      <c r="V42" s="1574" t="s">
        <v>8</v>
      </c>
      <c r="W42" s="1575">
        <f t="shared" si="14"/>
        <v>100</v>
      </c>
      <c r="X42" s="1568"/>
      <c r="Y42" s="341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17"/>
      <c r="Q43" s="1573" t="str">
        <f t="shared" si="11"/>
        <v>内部装修维护情况</v>
      </c>
      <c r="R43" s="1574" t="s">
        <v>8</v>
      </c>
      <c r="S43" s="1575">
        <f t="shared" si="12"/>
        <v>100</v>
      </c>
      <c r="T43" s="1574" t="s">
        <v>8</v>
      </c>
      <c r="U43" s="1575">
        <f t="shared" si="13"/>
        <v>100</v>
      </c>
      <c r="V43" s="1574" t="s">
        <v>8</v>
      </c>
      <c r="W43" s="1575">
        <f t="shared" si="14"/>
        <v>100</v>
      </c>
      <c r="X43" s="1568"/>
      <c r="Y43" s="341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17"/>
      <c r="Q44" s="1151">
        <f t="shared" si="11"/>
        <v>111</v>
      </c>
      <c r="R44" s="1569" t="s">
        <v>8</v>
      </c>
      <c r="S44" s="1570">
        <f t="shared" si="12"/>
        <v>100</v>
      </c>
      <c r="T44" s="1569" t="s">
        <v>8</v>
      </c>
      <c r="U44" s="1570">
        <f t="shared" si="13"/>
        <v>100</v>
      </c>
      <c r="V44" s="1569" t="s">
        <v>8</v>
      </c>
      <c r="W44" s="1570">
        <f t="shared" si="14"/>
        <v>100</v>
      </c>
      <c r="X44" s="1571"/>
      <c r="Y44" s="341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17"/>
      <c r="Q45" s="1573">
        <f t="shared" si="11"/>
        <v>111</v>
      </c>
      <c r="R45" s="1574" t="s">
        <v>8</v>
      </c>
      <c r="S45" s="1575">
        <f t="shared" si="12"/>
        <v>100</v>
      </c>
      <c r="T45" s="1574" t="s">
        <v>8</v>
      </c>
      <c r="U45" s="1575">
        <f t="shared" si="13"/>
        <v>100</v>
      </c>
      <c r="V45" s="1574" t="s">
        <v>8</v>
      </c>
      <c r="W45" s="1575">
        <f t="shared" si="14"/>
        <v>100</v>
      </c>
      <c r="X45" s="1568"/>
      <c r="Y45" s="341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4"/>
      <c r="Q46" s="1573">
        <f t="shared" si="11"/>
        <v>111</v>
      </c>
      <c r="R46" s="1574" t="s">
        <v>8</v>
      </c>
      <c r="S46" s="1575">
        <f t="shared" si="12"/>
        <v>100</v>
      </c>
      <c r="T46" s="1574" t="s">
        <v>8</v>
      </c>
      <c r="U46" s="1575">
        <f t="shared" si="13"/>
        <v>100</v>
      </c>
      <c r="V46" s="1574" t="s">
        <v>8</v>
      </c>
      <c r="W46" s="1575">
        <f t="shared" si="14"/>
        <v>100</v>
      </c>
      <c r="X46" s="1568"/>
      <c r="Y46" s="3494"/>
      <c r="Z46" s="1576">
        <f t="shared" si="15"/>
        <v>111</v>
      </c>
      <c r="AA46" s="1577">
        <f t="shared" si="3"/>
        <v>1</v>
      </c>
      <c r="AB46" s="1577">
        <f t="shared" si="4"/>
        <v>1</v>
      </c>
      <c r="AC46" s="1577">
        <f t="shared" si="5"/>
        <v>1</v>
      </c>
    </row>
    <row r="47" spans="1:29" ht="15">
      <c r="A47" s="607" t="s">
        <v>736</v>
      </c>
      <c r="B47" s="887"/>
      <c r="C47" s="2629" t="s">
        <v>1</v>
      </c>
      <c r="D47" s="2630"/>
      <c r="E47" s="2631">
        <v>13000</v>
      </c>
      <c r="F47" s="2632"/>
      <c r="G47" s="2633">
        <v>13500</v>
      </c>
      <c r="H47" s="2634"/>
      <c r="I47" s="2631">
        <v>14000</v>
      </c>
      <c r="J47" s="2634"/>
      <c r="K47" s="1612"/>
      <c r="L47" s="2146"/>
      <c r="M47" s="2147"/>
      <c r="N47" s="2136"/>
      <c r="O47" s="2147"/>
      <c r="P47" s="3380" t="str">
        <f>A47</f>
        <v>成交单价（元/平方米）</v>
      </c>
      <c r="Q47" s="3380"/>
      <c r="R47" s="3493">
        <f>E47</f>
        <v>13000</v>
      </c>
      <c r="S47" s="3493"/>
      <c r="T47" s="3493">
        <f>G47</f>
        <v>13500</v>
      </c>
      <c r="U47" s="3493"/>
      <c r="V47" s="3493">
        <f>I47</f>
        <v>14000</v>
      </c>
      <c r="W47" s="3493"/>
      <c r="X47" s="1560"/>
      <c r="Y47" s="1582"/>
      <c r="Z47" s="1560"/>
      <c r="AA47" s="1560"/>
      <c r="AB47" s="1560"/>
      <c r="AC47" s="1560"/>
    </row>
    <row r="48" spans="1:29" ht="15.75" thickBot="1">
      <c r="A48" s="615" t="s">
        <v>2761</v>
      </c>
      <c r="B48" s="888"/>
      <c r="C48" s="2635">
        <f>R49</f>
        <v>13235</v>
      </c>
      <c r="D48" s="2636"/>
      <c r="E48" s="2637">
        <f>R48</f>
        <v>12745</v>
      </c>
      <c r="F48" s="2637"/>
      <c r="G48" s="2635">
        <f>T48</f>
        <v>13235</v>
      </c>
      <c r="H48" s="2636"/>
      <c r="I48" s="2637">
        <f>V48</f>
        <v>13725</v>
      </c>
      <c r="J48" s="2636"/>
      <c r="K48" s="1613"/>
      <c r="L48" s="2146"/>
      <c r="M48" s="2147"/>
      <c r="N48" s="2136"/>
      <c r="O48" s="2147"/>
      <c r="P48" s="3380" t="str">
        <f>A48</f>
        <v>比较价格（元/平方米）</v>
      </c>
      <c r="Q48" s="3380"/>
      <c r="R48" s="3493">
        <f>IF(F1="售价",ROUND(PRODUCT(R47,AA7:AA46),0),ROUND(PRODUCT(R47,AA7:AA46),1))</f>
        <v>12745</v>
      </c>
      <c r="S48" s="3493"/>
      <c r="T48" s="3493">
        <f>IF(F1="售价",ROUND(PRODUCT(T47,AB7:AB46),0),ROUND(PRODUCT(T47,AB7:AB46),1))</f>
        <v>13235</v>
      </c>
      <c r="U48" s="3493"/>
      <c r="V48" s="3493">
        <f>IF(F1="售价",ROUND(PRODUCT(V47,AC7:AC46),0),ROUND(PRODUCT(V47,AC7:AC46),1))</f>
        <v>13725</v>
      </c>
      <c r="W48" s="3493"/>
      <c r="X48" s="1560"/>
      <c r="Y48" s="1560"/>
      <c r="Z48" s="1560"/>
      <c r="AA48" s="1560"/>
      <c r="AB48" s="1560"/>
      <c r="AC48" s="1560"/>
    </row>
    <row r="49" spans="1:29" ht="15.75" thickBot="1">
      <c r="A49" s="621" t="s">
        <v>2936</v>
      </c>
      <c r="B49" s="622"/>
      <c r="C49" s="2638">
        <f>R49</f>
        <v>13235</v>
      </c>
      <c r="D49" s="2638"/>
      <c r="E49" s="2638"/>
      <c r="F49" s="2638"/>
      <c r="G49" s="2638"/>
      <c r="H49" s="2638"/>
      <c r="I49" s="2638"/>
      <c r="J49" s="2638"/>
      <c r="K49" s="1614"/>
      <c r="L49" s="2146"/>
      <c r="M49" s="2147"/>
      <c r="N49" s="2136"/>
      <c r="O49" s="2147"/>
      <c r="P49" s="3377" t="str">
        <f>A49</f>
        <v>估价对象XX用房的比较价格（楼面单价，元/平方米）</v>
      </c>
      <c r="Q49" s="3378"/>
      <c r="R49" s="3492">
        <f>IF(F1="售价",ROUND(AVERAGE(R48:V48),0),ROUND(AVERAGE(R48:V48),1))</f>
        <v>13235</v>
      </c>
      <c r="S49" s="3492"/>
      <c r="T49" s="3492"/>
      <c r="U49" s="3492"/>
      <c r="V49" s="3492"/>
      <c r="W49" s="349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2.0007846214201708E-2</v>
      </c>
      <c r="F52" s="627" t="str">
        <f>IF(OR(E52&gt;=0.3,E52&lt;=-0.3),"超过30%","")</f>
        <v/>
      </c>
      <c r="G52" s="626">
        <f>IF(G47&lt;G48,G48/G47-1,G47/G48-1)</f>
        <v>2.0022667170381592E-2</v>
      </c>
      <c r="H52" s="627" t="str">
        <f>IF(OR(G52&gt;=0.3,G52&lt;=-0.3),"超过30%","")</f>
        <v/>
      </c>
      <c r="I52" s="626">
        <f>IF(I47&lt;I48,I48/I47-1,I47/I48-1)</f>
        <v>2.0036429872495543E-2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3.8446449588073861E-2</v>
      </c>
      <c r="F53" s="627" t="str">
        <f>IF(OR(E53&gt;=0.2,E53&lt;=-0.2),"超过20%","")</f>
        <v/>
      </c>
      <c r="G53" s="626">
        <f>IF(G48&lt;I48,I48/G48-1,G48/I48-1)</f>
        <v>3.7023044956554507E-2</v>
      </c>
      <c r="H53" s="627" t="str">
        <f>IF(OR(G53&gt;=0.2,G53&lt;=-0.2),"超过20%","")</f>
        <v/>
      </c>
      <c r="I53" s="626">
        <f>IF(I48&lt;E48,E48/I48-1,I48/E48-1)</f>
        <v>7.68928991761475E-2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3.8461538461538547E-2</v>
      </c>
      <c r="F54" s="627" t="str">
        <f>IF(OR(E54&gt;=0.3,E54&lt;=-0.3),"超过30%","")</f>
        <v/>
      </c>
      <c r="G54" s="626">
        <f>IF(G47&lt;I47,I47/G47-1,G47/I47-1)</f>
        <v>3.7037037037036979E-2</v>
      </c>
      <c r="H54" s="627" t="str">
        <f>IF(OR(G54&gt;=0.3,G54&lt;=-0.3),"超过30%","")</f>
        <v/>
      </c>
      <c r="I54" s="626">
        <f>IF(I47&lt;E47,E47/I47-1,I47/E47-1)</f>
        <v>7.6923076923076872E-2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0(含)-200</v>
      </c>
      <c r="D102" s="708" t="str">
        <f t="shared" ref="D102:L102" si="22">D103&amp;"(含)"&amp;"-"&amp;E103</f>
        <v>200(含)-400</v>
      </c>
      <c r="E102" s="708" t="str">
        <f t="shared" si="22"/>
        <v>400(含)-600</v>
      </c>
      <c r="F102" s="708" t="str">
        <f t="shared" si="22"/>
        <v>600(含)-</v>
      </c>
      <c r="G102" s="708" t="str">
        <f t="shared" si="22"/>
        <v>(含)-</v>
      </c>
      <c r="H102" s="708" t="str">
        <f t="shared" si="22"/>
        <v>(含)-600</v>
      </c>
      <c r="I102" s="708" t="str">
        <f t="shared" si="22"/>
        <v>600(含)-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v>
      </c>
      <c r="E103" s="730">
        <v>400</v>
      </c>
      <c r="F103" s="730">
        <v>600</v>
      </c>
      <c r="G103" s="730"/>
      <c r="H103" s="730"/>
      <c r="I103" s="730">
        <v>600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v>97</v>
      </c>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6" t="s">
        <v>522</v>
      </c>
      <c r="D4" s="3387"/>
      <c r="E4" s="3420" t="s">
        <v>523</v>
      </c>
      <c r="F4" s="3421"/>
      <c r="G4" s="3386" t="s">
        <v>524</v>
      </c>
      <c r="H4" s="3387"/>
      <c r="I4" s="3386" t="s">
        <v>525</v>
      </c>
      <c r="J4" s="3387"/>
      <c r="K4" s="514" t="s">
        <v>526</v>
      </c>
      <c r="L4" s="2135"/>
      <c r="M4" s="2136"/>
      <c r="N4" s="2136"/>
      <c r="O4" s="2136"/>
      <c r="P4" s="3498" t="s">
        <v>527</v>
      </c>
      <c r="Q4" s="3389"/>
      <c r="R4" s="3394" t="s">
        <v>523</v>
      </c>
      <c r="S4" s="3395"/>
      <c r="T4" s="3394" t="s">
        <v>524</v>
      </c>
      <c r="U4" s="3395"/>
      <c r="V4" s="3381" t="s">
        <v>525</v>
      </c>
      <c r="W4" s="3381"/>
      <c r="X4" s="1568"/>
      <c r="Y4" s="3394" t="s">
        <v>527</v>
      </c>
      <c r="Z4" s="3395"/>
      <c r="AA4" s="3383" t="s">
        <v>523</v>
      </c>
      <c r="AB4" s="3383" t="s">
        <v>524</v>
      </c>
      <c r="AC4" s="3383" t="s">
        <v>525</v>
      </c>
    </row>
    <row r="5" spans="1:29" ht="15">
      <c r="A5" s="515"/>
      <c r="B5" s="516"/>
      <c r="C5" s="3402" t="s">
        <v>2930</v>
      </c>
      <c r="D5" s="3403"/>
      <c r="E5" s="3422" t="s">
        <v>2931</v>
      </c>
      <c r="F5" s="3423"/>
      <c r="G5" s="3402" t="s">
        <v>2932</v>
      </c>
      <c r="H5" s="3403"/>
      <c r="I5" s="3402" t="s">
        <v>2933</v>
      </c>
      <c r="J5" s="3403"/>
      <c r="K5" s="514"/>
      <c r="L5" s="2135"/>
      <c r="M5" s="2136"/>
      <c r="N5" s="2136"/>
      <c r="O5" s="2136"/>
      <c r="P5" s="3499"/>
      <c r="Q5" s="3391"/>
      <c r="R5" s="3396"/>
      <c r="S5" s="3397"/>
      <c r="T5" s="3396"/>
      <c r="U5" s="3397"/>
      <c r="V5" s="3381"/>
      <c r="W5" s="3381"/>
      <c r="X5" s="1568"/>
      <c r="Y5" s="3396"/>
      <c r="Z5" s="3397"/>
      <c r="AA5" s="3384"/>
      <c r="AB5" s="3384"/>
      <c r="AC5" s="3384"/>
    </row>
    <row r="6" spans="1:29" ht="15.75" thickBot="1">
      <c r="A6" s="517"/>
      <c r="B6" s="518"/>
      <c r="C6" s="3400" t="s">
        <v>2934</v>
      </c>
      <c r="D6" s="3401"/>
      <c r="E6" s="3418" t="s">
        <v>2934</v>
      </c>
      <c r="F6" s="3419"/>
      <c r="G6" s="3400" t="s">
        <v>2934</v>
      </c>
      <c r="H6" s="3401"/>
      <c r="I6" s="3400" t="s">
        <v>2934</v>
      </c>
      <c r="J6" s="3401"/>
      <c r="K6" s="514" t="s">
        <v>528</v>
      </c>
      <c r="L6" s="2135"/>
      <c r="M6" s="2136"/>
      <c r="N6" s="2136"/>
      <c r="O6" s="2136"/>
      <c r="P6" s="3500"/>
      <c r="Q6" s="3393"/>
      <c r="R6" s="3396"/>
      <c r="S6" s="3397"/>
      <c r="T6" s="3398"/>
      <c r="U6" s="3399"/>
      <c r="V6" s="3381"/>
      <c r="W6" s="3381"/>
      <c r="X6" s="1568"/>
      <c r="Y6" s="3398"/>
      <c r="Z6" s="3399"/>
      <c r="AA6" s="3385"/>
      <c r="AB6" s="3385"/>
      <c r="AC6" s="3385"/>
    </row>
    <row r="7" spans="1:29" s="1220" customFormat="1" ht="15.75" thickBot="1">
      <c r="A7" s="2913"/>
      <c r="B7" s="2920" t="s">
        <v>529</v>
      </c>
      <c r="C7" s="519">
        <f>'数据-取费表'!B2</f>
        <v>43305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3" t="s">
        <v>530</v>
      </c>
      <c r="Q7" s="3413"/>
      <c r="R7" s="1569" t="s">
        <v>8</v>
      </c>
      <c r="S7" s="1570">
        <f t="shared" ref="S7:S15" si="0">F7</f>
        <v>0</v>
      </c>
      <c r="T7" s="1569" t="s">
        <v>8</v>
      </c>
      <c r="U7" s="1570">
        <f t="shared" ref="U7:U15" si="1">H7</f>
        <v>0</v>
      </c>
      <c r="V7" s="1569" t="s">
        <v>8</v>
      </c>
      <c r="W7" s="1570">
        <f t="shared" ref="W7:W15" si="2">J7</f>
        <v>0</v>
      </c>
      <c r="X7" s="1571"/>
      <c r="Y7" s="3411" t="s">
        <v>530</v>
      </c>
      <c r="Z7" s="3412"/>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3" t="s">
        <v>533</v>
      </c>
      <c r="Q8" s="3412"/>
      <c r="R8" s="1569" t="s">
        <v>8</v>
      </c>
      <c r="S8" s="1570">
        <f t="shared" si="0"/>
        <v>0</v>
      </c>
      <c r="T8" s="1569" t="s">
        <v>8</v>
      </c>
      <c r="U8" s="1570">
        <f t="shared" si="1"/>
        <v>0</v>
      </c>
      <c r="V8" s="1569" t="s">
        <v>8</v>
      </c>
      <c r="W8" s="1570">
        <f t="shared" si="2"/>
        <v>0</v>
      </c>
      <c r="X8" s="1571"/>
      <c r="Y8" s="3411" t="s">
        <v>533</v>
      </c>
      <c r="Z8" s="3412"/>
      <c r="AA8" s="1572" t="e">
        <f t="shared" ref="AA8:AA47" si="3">D8/F8</f>
        <v>#DIV/0!</v>
      </c>
      <c r="AB8" s="1572" t="e">
        <f t="shared" ref="AB8:AB47" si="4">D8/H8</f>
        <v>#DIV/0!</v>
      </c>
      <c r="AC8" s="1572" t="e">
        <f t="shared" ref="AC8:AC47" si="5">D8/J8</f>
        <v>#DIV/0!</v>
      </c>
    </row>
    <row r="9" spans="1:29" s="1220" customFormat="1" ht="15">
      <c r="A9" s="2915"/>
      <c r="B9" s="2922"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0"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0"/>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71.25">
      <c r="A15" s="2911"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14" t="s">
        <v>540</v>
      </c>
      <c r="Q15" s="1573" t="str">
        <f t="shared" si="6"/>
        <v>办公集聚程度</v>
      </c>
      <c r="R15" s="1574" t="s">
        <v>8</v>
      </c>
      <c r="S15" s="1575">
        <f t="shared" si="0"/>
        <v>100</v>
      </c>
      <c r="T15" s="1574" t="s">
        <v>8</v>
      </c>
      <c r="U15" s="1575">
        <f t="shared" si="1"/>
        <v>100</v>
      </c>
      <c r="V15" s="1574" t="s">
        <v>8</v>
      </c>
      <c r="W15" s="1575">
        <f t="shared" si="2"/>
        <v>100</v>
      </c>
      <c r="X15" s="1568"/>
      <c r="Y15" s="341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15"/>
      <c r="Q16" s="1573"/>
      <c r="R16" s="1574"/>
      <c r="S16" s="1575"/>
      <c r="T16" s="1574"/>
      <c r="U16" s="1575"/>
      <c r="V16" s="1574"/>
      <c r="W16" s="1575"/>
      <c r="X16" s="1568"/>
      <c r="Y16" s="341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15"/>
      <c r="Q18" s="1573"/>
      <c r="R18" s="1574"/>
      <c r="S18" s="1575"/>
      <c r="T18" s="1574"/>
      <c r="U18" s="1575"/>
      <c r="V18" s="1574"/>
      <c r="W18" s="1575"/>
      <c r="X18" s="1568"/>
      <c r="Y18" s="3415"/>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15"/>
      <c r="Q20" s="1573"/>
      <c r="R20" s="1574"/>
      <c r="S20" s="1575"/>
      <c r="T20" s="1574"/>
      <c r="U20" s="1575"/>
      <c r="V20" s="1574"/>
      <c r="W20" s="1575"/>
      <c r="X20" s="1568"/>
      <c r="Y20" s="3415"/>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15"/>
      <c r="Q21" s="2581" t="str">
        <f>B21</f>
        <v>基础设施水平</v>
      </c>
      <c r="R21" s="1574" t="s">
        <v>8</v>
      </c>
      <c r="S21" s="1575">
        <f>F21</f>
        <v>100</v>
      </c>
      <c r="T21" s="1574" t="s">
        <v>8</v>
      </c>
      <c r="U21" s="1575">
        <f>H21</f>
        <v>100</v>
      </c>
      <c r="V21" s="1574" t="s">
        <v>8</v>
      </c>
      <c r="W21" s="1575">
        <f>J21</f>
        <v>100</v>
      </c>
      <c r="X21" s="2583"/>
      <c r="Y21" s="3415"/>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15"/>
      <c r="Q22" s="2581"/>
      <c r="R22" s="1574"/>
      <c r="S22" s="1575"/>
      <c r="T22" s="1574"/>
      <c r="U22" s="1575"/>
      <c r="V22" s="1574"/>
      <c r="W22" s="1575"/>
      <c r="X22" s="2583"/>
      <c r="Y22" s="3415"/>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15"/>
      <c r="Q23" s="1573" t="str">
        <f>B23</f>
        <v>环境质量</v>
      </c>
      <c r="R23" s="1574" t="s">
        <v>8</v>
      </c>
      <c r="S23" s="1575">
        <f>F23</f>
        <v>100</v>
      </c>
      <c r="T23" s="1574" t="s">
        <v>8</v>
      </c>
      <c r="U23" s="1575">
        <f>H23</f>
        <v>100</v>
      </c>
      <c r="V23" s="1574" t="s">
        <v>8</v>
      </c>
      <c r="W23" s="1575">
        <f>J23</f>
        <v>100</v>
      </c>
      <c r="X23" s="1568"/>
      <c r="Y23" s="341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15"/>
      <c r="Q24" s="1573"/>
      <c r="R24" s="1574"/>
      <c r="S24" s="1575"/>
      <c r="T24" s="1574"/>
      <c r="U24" s="1575"/>
      <c r="V24" s="1574"/>
      <c r="W24" s="1575"/>
      <c r="X24" s="1568"/>
      <c r="Y24" s="341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15"/>
      <c r="Q25" s="1573" t="str">
        <f>B25</f>
        <v>毗邻道路的类型与等级</v>
      </c>
      <c r="R25" s="1574" t="s">
        <v>8</v>
      </c>
      <c r="S25" s="1575">
        <f>F25</f>
        <v>100</v>
      </c>
      <c r="T25" s="1574" t="s">
        <v>8</v>
      </c>
      <c r="U25" s="1575">
        <f>H25</f>
        <v>100</v>
      </c>
      <c r="V25" s="1574" t="s">
        <v>8</v>
      </c>
      <c r="W25" s="1575">
        <f>J25</f>
        <v>100</v>
      </c>
      <c r="X25" s="1568"/>
      <c r="Y25" s="341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15"/>
      <c r="Q26" s="1573"/>
      <c r="R26" s="1574"/>
      <c r="S26" s="1575"/>
      <c r="T26" s="1574"/>
      <c r="U26" s="1575"/>
      <c r="V26" s="1574"/>
      <c r="W26" s="1575"/>
      <c r="X26" s="1568"/>
      <c r="Y26" s="341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15"/>
      <c r="Q27" s="1573" t="str">
        <f t="shared" ref="Q27:Q47" si="11">B27</f>
        <v>楼层</v>
      </c>
      <c r="R27" s="1574" t="s">
        <v>8</v>
      </c>
      <c r="S27" s="1575">
        <f>F27</f>
        <v>100</v>
      </c>
      <c r="T27" s="1574" t="s">
        <v>8</v>
      </c>
      <c r="U27" s="1575">
        <f>H27</f>
        <v>100</v>
      </c>
      <c r="V27" s="1574" t="s">
        <v>8</v>
      </c>
      <c r="W27" s="1575">
        <f>J27</f>
        <v>100</v>
      </c>
      <c r="X27" s="1568"/>
      <c r="Y27" s="341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15"/>
      <c r="Q28" s="1151" t="str">
        <f t="shared" si="11"/>
        <v>朝向</v>
      </c>
      <c r="R28" s="1569" t="s">
        <v>8</v>
      </c>
      <c r="S28" s="1570">
        <f>F28</f>
        <v>100</v>
      </c>
      <c r="T28" s="1569" t="s">
        <v>8</v>
      </c>
      <c r="U28" s="1570">
        <f>H28</f>
        <v>100</v>
      </c>
      <c r="V28" s="1569" t="s">
        <v>8</v>
      </c>
      <c r="W28" s="1570">
        <f>J28</f>
        <v>100</v>
      </c>
      <c r="X28" s="1571"/>
      <c r="Y28" s="341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15"/>
      <c r="Q29" s="1573">
        <f t="shared" si="11"/>
        <v>111</v>
      </c>
      <c r="R29" s="1574" t="s">
        <v>8</v>
      </c>
      <c r="S29" s="1575">
        <f t="shared" ref="S29:S47" si="12">F29</f>
        <v>100</v>
      </c>
      <c r="T29" s="1574" t="s">
        <v>8</v>
      </c>
      <c r="U29" s="1575">
        <f t="shared" ref="U29:U47" si="13">H29</f>
        <v>100</v>
      </c>
      <c r="V29" s="1574" t="s">
        <v>8</v>
      </c>
      <c r="W29" s="1575">
        <f t="shared" ref="W29:W47" si="14">J29</f>
        <v>100</v>
      </c>
      <c r="X29" s="1568"/>
      <c r="Y29" s="341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15"/>
      <c r="Q30" s="1573">
        <f t="shared" si="11"/>
        <v>111</v>
      </c>
      <c r="R30" s="1574" t="s">
        <v>8</v>
      </c>
      <c r="S30" s="1575">
        <f t="shared" si="12"/>
        <v>100</v>
      </c>
      <c r="T30" s="1574" t="s">
        <v>8</v>
      </c>
      <c r="U30" s="1575">
        <f t="shared" si="13"/>
        <v>100</v>
      </c>
      <c r="V30" s="1574" t="s">
        <v>8</v>
      </c>
      <c r="W30" s="1575">
        <f t="shared" si="14"/>
        <v>100</v>
      </c>
      <c r="X30" s="1568"/>
      <c r="Y30" s="341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15"/>
      <c r="Q31" s="1573">
        <f t="shared" si="11"/>
        <v>111</v>
      </c>
      <c r="R31" s="1574" t="s">
        <v>8</v>
      </c>
      <c r="S31" s="1575">
        <f t="shared" si="12"/>
        <v>100</v>
      </c>
      <c r="T31" s="1574" t="s">
        <v>8</v>
      </c>
      <c r="U31" s="1575">
        <f t="shared" si="13"/>
        <v>100</v>
      </c>
      <c r="V31" s="1574" t="s">
        <v>8</v>
      </c>
      <c r="W31" s="1575">
        <f t="shared" si="14"/>
        <v>100</v>
      </c>
      <c r="X31" s="1568"/>
      <c r="Y31" s="341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15"/>
      <c r="Q32" s="1573">
        <f t="shared" si="11"/>
        <v>111</v>
      </c>
      <c r="R32" s="1574" t="s">
        <v>8</v>
      </c>
      <c r="S32" s="1575">
        <f t="shared" si="12"/>
        <v>100</v>
      </c>
      <c r="T32" s="1574" t="s">
        <v>8</v>
      </c>
      <c r="U32" s="1575">
        <f t="shared" si="13"/>
        <v>100</v>
      </c>
      <c r="V32" s="1574" t="s">
        <v>8</v>
      </c>
      <c r="W32" s="1575">
        <f t="shared" si="14"/>
        <v>100</v>
      </c>
      <c r="X32" s="1568"/>
      <c r="Y32" s="3415"/>
      <c r="Z32" s="1576">
        <f t="shared" si="15"/>
        <v>111</v>
      </c>
      <c r="AA32" s="1577">
        <f t="shared" si="3"/>
        <v>1</v>
      </c>
      <c r="AB32" s="1577">
        <f t="shared" si="4"/>
        <v>1</v>
      </c>
      <c r="AC32" s="1577">
        <f t="shared" si="5"/>
        <v>1</v>
      </c>
    </row>
    <row r="33" spans="1:29" ht="15">
      <c r="A33" s="2909"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16" t="s">
        <v>550</v>
      </c>
      <c r="Q33" s="1573" t="str">
        <f t="shared" si="11"/>
        <v>建筑类型</v>
      </c>
      <c r="R33" s="1574" t="s">
        <v>8</v>
      </c>
      <c r="S33" s="1575">
        <f t="shared" si="12"/>
        <v>100</v>
      </c>
      <c r="T33" s="1574" t="s">
        <v>8</v>
      </c>
      <c r="U33" s="1575">
        <f t="shared" si="13"/>
        <v>100</v>
      </c>
      <c r="V33" s="1574" t="s">
        <v>8</v>
      </c>
      <c r="W33" s="1575">
        <f t="shared" si="14"/>
        <v>100</v>
      </c>
      <c r="X33" s="1568"/>
      <c r="Y33" s="341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17"/>
      <c r="Q34" s="1606" t="str">
        <f t="shared" si="11"/>
        <v>项目建筑规模</v>
      </c>
      <c r="R34" s="1578" t="s">
        <v>8</v>
      </c>
      <c r="S34" s="1579" t="e">
        <f t="shared" si="12"/>
        <v>#N/A</v>
      </c>
      <c r="T34" s="1578" t="s">
        <v>8</v>
      </c>
      <c r="U34" s="1579" t="e">
        <f t="shared" si="13"/>
        <v>#N/A</v>
      </c>
      <c r="V34" s="1578" t="s">
        <v>8</v>
      </c>
      <c r="W34" s="1579" t="e">
        <f t="shared" si="14"/>
        <v>#N/A</v>
      </c>
      <c r="X34" s="1580"/>
      <c r="Y34" s="341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17"/>
      <c r="Q35" s="1573" t="str">
        <f t="shared" si="11"/>
        <v>建筑结构</v>
      </c>
      <c r="R35" s="1574" t="s">
        <v>8</v>
      </c>
      <c r="S35" s="1575">
        <f t="shared" si="12"/>
        <v>100</v>
      </c>
      <c r="T35" s="1574" t="s">
        <v>8</v>
      </c>
      <c r="U35" s="1575">
        <f t="shared" si="13"/>
        <v>100</v>
      </c>
      <c r="V35" s="1574" t="s">
        <v>8</v>
      </c>
      <c r="W35" s="1575">
        <f t="shared" si="14"/>
        <v>100</v>
      </c>
      <c r="X35" s="1568"/>
      <c r="Y35" s="341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17"/>
      <c r="Q36" s="1573" t="str">
        <f t="shared" si="11"/>
        <v>公共部分装修</v>
      </c>
      <c r="R36" s="1574" t="s">
        <v>8</v>
      </c>
      <c r="S36" s="1575">
        <f t="shared" si="12"/>
        <v>100</v>
      </c>
      <c r="T36" s="1574" t="s">
        <v>8</v>
      </c>
      <c r="U36" s="1575">
        <f t="shared" si="13"/>
        <v>100</v>
      </c>
      <c r="V36" s="1574" t="s">
        <v>8</v>
      </c>
      <c r="W36" s="1575">
        <f t="shared" si="14"/>
        <v>100</v>
      </c>
      <c r="X36" s="1568"/>
      <c r="Y36" s="341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17"/>
      <c r="Q37" s="1573" t="str">
        <f t="shared" si="11"/>
        <v>成新度</v>
      </c>
      <c r="R37" s="1574" t="s">
        <v>8</v>
      </c>
      <c r="S37" s="1575" t="e">
        <f t="shared" si="12"/>
        <v>#N/A</v>
      </c>
      <c r="T37" s="1574" t="s">
        <v>8</v>
      </c>
      <c r="U37" s="1575" t="e">
        <f t="shared" si="13"/>
        <v>#N/A</v>
      </c>
      <c r="V37" s="1574" t="s">
        <v>8</v>
      </c>
      <c r="W37" s="1575" t="e">
        <f t="shared" si="14"/>
        <v>#N/A</v>
      </c>
      <c r="X37" s="1568"/>
      <c r="Y37" s="341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17"/>
      <c r="Q38" s="1151" t="str">
        <f t="shared" si="11"/>
        <v>写字楼等级</v>
      </c>
      <c r="R38" s="1569" t="s">
        <v>8</v>
      </c>
      <c r="S38" s="1570">
        <f t="shared" si="12"/>
        <v>100</v>
      </c>
      <c r="T38" s="1569" t="s">
        <v>8</v>
      </c>
      <c r="U38" s="1570">
        <f t="shared" si="13"/>
        <v>100</v>
      </c>
      <c r="V38" s="1569" t="s">
        <v>8</v>
      </c>
      <c r="W38" s="1570">
        <f t="shared" si="14"/>
        <v>100</v>
      </c>
      <c r="X38" s="1571"/>
      <c r="Y38" s="341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17" t="s">
        <v>550</v>
      </c>
      <c r="Q39" s="1573" t="str">
        <f t="shared" si="11"/>
        <v>物业管理</v>
      </c>
      <c r="R39" s="1574" t="s">
        <v>8</v>
      </c>
      <c r="S39" s="1575">
        <f t="shared" si="12"/>
        <v>100</v>
      </c>
      <c r="T39" s="1574" t="s">
        <v>8</v>
      </c>
      <c r="U39" s="1575">
        <f t="shared" si="13"/>
        <v>100</v>
      </c>
      <c r="V39" s="1574" t="s">
        <v>8</v>
      </c>
      <c r="W39" s="1575">
        <f t="shared" si="14"/>
        <v>100</v>
      </c>
      <c r="X39" s="1568"/>
      <c r="Y39" s="3417"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17"/>
      <c r="Q40" s="1573" t="str">
        <f t="shared" si="11"/>
        <v>市政基础设施</v>
      </c>
      <c r="R40" s="1574" t="s">
        <v>8</v>
      </c>
      <c r="S40" s="1575">
        <f t="shared" si="12"/>
        <v>100</v>
      </c>
      <c r="T40" s="1574" t="s">
        <v>8</v>
      </c>
      <c r="U40" s="1575">
        <f t="shared" si="13"/>
        <v>100</v>
      </c>
      <c r="V40" s="1574" t="s">
        <v>8</v>
      </c>
      <c r="W40" s="1575">
        <f t="shared" si="14"/>
        <v>100</v>
      </c>
      <c r="X40" s="1568"/>
      <c r="Y40" s="341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17"/>
      <c r="Q41" s="1573" t="str">
        <f t="shared" si="11"/>
        <v>层高</v>
      </c>
      <c r="R41" s="1574" t="s">
        <v>8</v>
      </c>
      <c r="S41" s="1575">
        <f t="shared" si="12"/>
        <v>100</v>
      </c>
      <c r="T41" s="1574" t="s">
        <v>8</v>
      </c>
      <c r="U41" s="1575">
        <f t="shared" si="13"/>
        <v>100</v>
      </c>
      <c r="V41" s="1574" t="s">
        <v>8</v>
      </c>
      <c r="W41" s="1575">
        <f t="shared" si="14"/>
        <v>100</v>
      </c>
      <c r="X41" s="1568"/>
      <c r="Y41" s="341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17"/>
      <c r="Q42" s="1606" t="str">
        <f t="shared" si="11"/>
        <v>单套建筑面积</v>
      </c>
      <c r="R42" s="1578" t="s">
        <v>8</v>
      </c>
      <c r="S42" s="1579">
        <f t="shared" si="12"/>
        <v>100</v>
      </c>
      <c r="T42" s="1578" t="s">
        <v>8</v>
      </c>
      <c r="U42" s="1579">
        <f t="shared" si="13"/>
        <v>100</v>
      </c>
      <c r="V42" s="1578" t="s">
        <v>8</v>
      </c>
      <c r="W42" s="1579">
        <f t="shared" si="14"/>
        <v>100</v>
      </c>
      <c r="X42" s="1580"/>
      <c r="Y42" s="341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17"/>
      <c r="Q43" s="1573" t="str">
        <f t="shared" si="11"/>
        <v>内部装修</v>
      </c>
      <c r="R43" s="1574" t="s">
        <v>8</v>
      </c>
      <c r="S43" s="1575">
        <f t="shared" si="12"/>
        <v>100</v>
      </c>
      <c r="T43" s="1574" t="s">
        <v>8</v>
      </c>
      <c r="U43" s="1575">
        <f t="shared" si="13"/>
        <v>100</v>
      </c>
      <c r="V43" s="1574" t="s">
        <v>8</v>
      </c>
      <c r="W43" s="1575">
        <f t="shared" si="14"/>
        <v>100</v>
      </c>
      <c r="X43" s="1568"/>
      <c r="Y43" s="341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17"/>
      <c r="Q44" s="1573" t="str">
        <f t="shared" si="11"/>
        <v>内部装修维护情况</v>
      </c>
      <c r="R44" s="1574" t="s">
        <v>8</v>
      </c>
      <c r="S44" s="1575">
        <f t="shared" si="12"/>
        <v>100</v>
      </c>
      <c r="T44" s="1574" t="s">
        <v>8</v>
      </c>
      <c r="U44" s="1575">
        <f t="shared" si="13"/>
        <v>100</v>
      </c>
      <c r="V44" s="1574" t="s">
        <v>8</v>
      </c>
      <c r="W44" s="1575">
        <f t="shared" si="14"/>
        <v>100</v>
      </c>
      <c r="X44" s="1568"/>
      <c r="Y44" s="341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17"/>
      <c r="Q45" s="1151">
        <f t="shared" si="11"/>
        <v>111</v>
      </c>
      <c r="R45" s="1569" t="s">
        <v>8</v>
      </c>
      <c r="S45" s="1570">
        <f t="shared" si="12"/>
        <v>100</v>
      </c>
      <c r="T45" s="1569" t="s">
        <v>8</v>
      </c>
      <c r="U45" s="1570">
        <f t="shared" si="13"/>
        <v>100</v>
      </c>
      <c r="V45" s="1569" t="s">
        <v>8</v>
      </c>
      <c r="W45" s="1570">
        <f t="shared" si="14"/>
        <v>100</v>
      </c>
      <c r="X45" s="1571"/>
      <c r="Y45" s="341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17"/>
      <c r="Q46" s="1573">
        <f t="shared" si="11"/>
        <v>111</v>
      </c>
      <c r="R46" s="1574" t="s">
        <v>8</v>
      </c>
      <c r="S46" s="1575">
        <f t="shared" si="12"/>
        <v>100</v>
      </c>
      <c r="T46" s="1574" t="s">
        <v>8</v>
      </c>
      <c r="U46" s="1575">
        <f t="shared" si="13"/>
        <v>100</v>
      </c>
      <c r="V46" s="1574" t="s">
        <v>8</v>
      </c>
      <c r="W46" s="1575">
        <f t="shared" si="14"/>
        <v>100</v>
      </c>
      <c r="X46" s="1568"/>
      <c r="Y46" s="341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4"/>
      <c r="Q47" s="1573">
        <f t="shared" si="11"/>
        <v>111</v>
      </c>
      <c r="R47" s="1574" t="s">
        <v>8</v>
      </c>
      <c r="S47" s="1575">
        <f t="shared" si="12"/>
        <v>100</v>
      </c>
      <c r="T47" s="1574" t="s">
        <v>8</v>
      </c>
      <c r="U47" s="1575">
        <f t="shared" si="13"/>
        <v>100</v>
      </c>
      <c r="V47" s="1574" t="s">
        <v>8</v>
      </c>
      <c r="W47" s="1575">
        <f t="shared" si="14"/>
        <v>100</v>
      </c>
      <c r="X47" s="1568"/>
      <c r="Y47" s="3494"/>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78" t="str">
        <f>A48</f>
        <v>成交单价（元/平方米）</v>
      </c>
      <c r="Q48" s="3380"/>
      <c r="R48" s="3493">
        <f>E48</f>
        <v>0</v>
      </c>
      <c r="S48" s="3493"/>
      <c r="T48" s="3493">
        <f>G48</f>
        <v>0</v>
      </c>
      <c r="U48" s="3493"/>
      <c r="V48" s="3493">
        <f>I48</f>
        <v>0</v>
      </c>
      <c r="W48" s="3493"/>
      <c r="X48" s="1560"/>
      <c r="Y48" s="1582"/>
      <c r="Z48" s="1560"/>
      <c r="AA48" s="1560"/>
      <c r="AB48" s="1560"/>
      <c r="AC48" s="1560"/>
    </row>
    <row r="49" spans="1:29" ht="15.75" thickBot="1">
      <c r="A49" s="615" t="s">
        <v>2761</v>
      </c>
      <c r="B49" s="888"/>
      <c r="C49" s="2635" t="e">
        <f>R50</f>
        <v>#DIV/0!</v>
      </c>
      <c r="D49" s="2636"/>
      <c r="E49" s="2637" t="e">
        <f>R49</f>
        <v>#DIV/0!</v>
      </c>
      <c r="F49" s="2637"/>
      <c r="G49" s="2635" t="e">
        <f>T49</f>
        <v>#DIV/0!</v>
      </c>
      <c r="H49" s="2636"/>
      <c r="I49" s="2637" t="e">
        <f>V49</f>
        <v>#DIV/0!</v>
      </c>
      <c r="J49" s="2636"/>
      <c r="K49" s="1613"/>
      <c r="L49" s="2146"/>
      <c r="M49" s="2136"/>
      <c r="N49" s="2136"/>
      <c r="O49" s="2136"/>
      <c r="P49" s="3378" t="str">
        <f>A49</f>
        <v>比较价格（元/平方米）</v>
      </c>
      <c r="Q49" s="3380"/>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497" t="str">
        <f>A50</f>
        <v>估价对象XX用房的比较价格（楼面单价，元/平方米）</v>
      </c>
      <c r="Q50" s="3378"/>
      <c r="R50" s="3492" t="e">
        <f>IF(F1="售价",ROUND(AVERAGE(R49:V49),0),ROUND(AVERAGE(R49:V49),1))</f>
        <v>#DIV/0!</v>
      </c>
      <c r="S50" s="3492"/>
      <c r="T50" s="3492"/>
      <c r="U50" s="3492"/>
      <c r="V50" s="3492"/>
      <c r="W50" s="349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2018-7</v>
      </c>
      <c r="D59" s="2806">
        <f>EDATE(C59,-1)</f>
        <v>43252</v>
      </c>
      <c r="E59" s="2806">
        <f t="shared" ref="E59:O59" si="16">EDATE(D59,-1)</f>
        <v>43221</v>
      </c>
      <c r="F59" s="2806">
        <f t="shared" si="16"/>
        <v>43191</v>
      </c>
      <c r="G59" s="2806">
        <f t="shared" si="16"/>
        <v>43160</v>
      </c>
      <c r="H59" s="2806">
        <f t="shared" si="16"/>
        <v>43132</v>
      </c>
      <c r="I59" s="2806">
        <f t="shared" si="16"/>
        <v>43101</v>
      </c>
      <c r="J59" s="2806">
        <f t="shared" si="16"/>
        <v>43070</v>
      </c>
      <c r="K59" s="2806">
        <f t="shared" si="16"/>
        <v>43040</v>
      </c>
      <c r="L59" s="2806">
        <f t="shared" si="16"/>
        <v>43009</v>
      </c>
      <c r="M59" s="2806">
        <f t="shared" si="16"/>
        <v>42979</v>
      </c>
      <c r="N59" s="2806">
        <f t="shared" si="16"/>
        <v>42948</v>
      </c>
      <c r="O59" s="2806">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6" t="s">
        <v>522</v>
      </c>
      <c r="D4" s="3387"/>
      <c r="E4" s="3420" t="s">
        <v>523</v>
      </c>
      <c r="F4" s="3421"/>
      <c r="G4" s="3386" t="s">
        <v>524</v>
      </c>
      <c r="H4" s="3387"/>
      <c r="I4" s="3386" t="s">
        <v>525</v>
      </c>
      <c r="J4" s="3387"/>
      <c r="K4" s="514" t="s">
        <v>526</v>
      </c>
      <c r="L4" s="2135"/>
      <c r="M4" s="2136"/>
      <c r="N4" s="2136"/>
      <c r="O4" s="2136"/>
      <c r="P4" s="3388" t="s">
        <v>527</v>
      </c>
      <c r="Q4" s="3389"/>
      <c r="R4" s="3394" t="s">
        <v>523</v>
      </c>
      <c r="S4" s="3395"/>
      <c r="T4" s="3394" t="s">
        <v>524</v>
      </c>
      <c r="U4" s="3395"/>
      <c r="V4" s="3381" t="s">
        <v>525</v>
      </c>
      <c r="W4" s="3381"/>
      <c r="X4" s="1568"/>
      <c r="Y4" s="3394" t="s">
        <v>527</v>
      </c>
      <c r="Z4" s="3395"/>
      <c r="AA4" s="3383" t="s">
        <v>523</v>
      </c>
      <c r="AB4" s="3384" t="s">
        <v>524</v>
      </c>
      <c r="AC4" s="3383" t="s">
        <v>525</v>
      </c>
    </row>
    <row r="5" spans="1:29" ht="15">
      <c r="A5" s="515"/>
      <c r="B5" s="516"/>
      <c r="C5" s="3402" t="s">
        <v>2930</v>
      </c>
      <c r="D5" s="3403"/>
      <c r="E5" s="3422" t="s">
        <v>2931</v>
      </c>
      <c r="F5" s="3423"/>
      <c r="G5" s="3402" t="s">
        <v>2932</v>
      </c>
      <c r="H5" s="3403"/>
      <c r="I5" s="3402" t="s">
        <v>2933</v>
      </c>
      <c r="J5" s="3403"/>
      <c r="K5" s="514"/>
      <c r="L5" s="2135"/>
      <c r="M5" s="2136"/>
      <c r="N5" s="2136"/>
      <c r="O5" s="2136"/>
      <c r="P5" s="3390"/>
      <c r="Q5" s="3391"/>
      <c r="R5" s="3396"/>
      <c r="S5" s="3397"/>
      <c r="T5" s="3396"/>
      <c r="U5" s="3397"/>
      <c r="V5" s="3381"/>
      <c r="W5" s="3381"/>
      <c r="X5" s="1568"/>
      <c r="Y5" s="3396"/>
      <c r="Z5" s="3397"/>
      <c r="AA5" s="3384"/>
      <c r="AB5" s="3384"/>
      <c r="AC5" s="3384"/>
    </row>
    <row r="6" spans="1:29" ht="15.75" thickBot="1">
      <c r="A6" s="517"/>
      <c r="B6" s="518"/>
      <c r="C6" s="3400" t="s">
        <v>2934</v>
      </c>
      <c r="D6" s="3401"/>
      <c r="E6" s="3418" t="s">
        <v>2934</v>
      </c>
      <c r="F6" s="3419"/>
      <c r="G6" s="3400" t="s">
        <v>2934</v>
      </c>
      <c r="H6" s="3401"/>
      <c r="I6" s="3400" t="s">
        <v>2934</v>
      </c>
      <c r="J6" s="3401"/>
      <c r="K6" s="514" t="s">
        <v>528</v>
      </c>
      <c r="L6" s="2135"/>
      <c r="M6" s="2136"/>
      <c r="N6" s="2136"/>
      <c r="O6" s="2136"/>
      <c r="P6" s="3392"/>
      <c r="Q6" s="3393"/>
      <c r="R6" s="3396"/>
      <c r="S6" s="3397"/>
      <c r="T6" s="3398"/>
      <c r="U6" s="3399"/>
      <c r="V6" s="3381"/>
      <c r="W6" s="3381"/>
      <c r="X6" s="1568"/>
      <c r="Y6" s="3398"/>
      <c r="Z6" s="3399"/>
      <c r="AA6" s="3385"/>
      <c r="AB6" s="3385"/>
      <c r="AC6" s="3385"/>
    </row>
    <row r="7" spans="1:29" s="1220" customFormat="1" ht="15.75" thickBot="1">
      <c r="A7" s="2913"/>
      <c r="B7" s="2920" t="s">
        <v>529</v>
      </c>
      <c r="C7" s="519">
        <f>'数据-取费表'!B2</f>
        <v>43305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1" t="s">
        <v>530</v>
      </c>
      <c r="Q7" s="3413"/>
      <c r="R7" s="1569" t="s">
        <v>8</v>
      </c>
      <c r="S7" s="1570">
        <f t="shared" ref="S7:S15" si="0">F7</f>
        <v>0</v>
      </c>
      <c r="T7" s="1569" t="s">
        <v>8</v>
      </c>
      <c r="U7" s="1570">
        <f t="shared" ref="U7:U15" si="1">H7</f>
        <v>0</v>
      </c>
      <c r="V7" s="1569" t="s">
        <v>8</v>
      </c>
      <c r="W7" s="1570">
        <f t="shared" ref="W7:W15" si="2">J7</f>
        <v>0</v>
      </c>
      <c r="X7" s="1571"/>
      <c r="Y7" s="3411" t="s">
        <v>530</v>
      </c>
      <c r="Z7" s="3412"/>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1" t="s">
        <v>533</v>
      </c>
      <c r="Q8" s="3412"/>
      <c r="R8" s="1569" t="s">
        <v>8</v>
      </c>
      <c r="S8" s="1570">
        <f t="shared" si="0"/>
        <v>0</v>
      </c>
      <c r="T8" s="1569" t="s">
        <v>8</v>
      </c>
      <c r="U8" s="1570">
        <f t="shared" si="1"/>
        <v>0</v>
      </c>
      <c r="V8" s="1569" t="s">
        <v>8</v>
      </c>
      <c r="W8" s="1570">
        <f t="shared" si="2"/>
        <v>0</v>
      </c>
      <c r="X8" s="1571"/>
      <c r="Y8" s="3411" t="s">
        <v>533</v>
      </c>
      <c r="Z8" s="3412"/>
      <c r="AA8" s="1572" t="e">
        <f t="shared" ref="AA8:AA40" si="3">D8/F8</f>
        <v>#DIV/0!</v>
      </c>
      <c r="AB8" s="1572" t="e">
        <f t="shared" ref="AB8:AB40" si="4">D8/H8</f>
        <v>#DIV/0!</v>
      </c>
      <c r="AC8" s="1572" t="e">
        <f t="shared" ref="AC8:AC40" si="5">D8/J8</f>
        <v>#DIV/0!</v>
      </c>
    </row>
    <row r="9" spans="1:29" s="1220" customFormat="1" ht="15">
      <c r="A9" s="2915"/>
      <c r="B9" s="2922"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0"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0"/>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57">
      <c r="A15" s="2911"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4" t="s">
        <v>540</v>
      </c>
      <c r="Q15" s="1573" t="str">
        <f t="shared" si="6"/>
        <v>产业集聚程度</v>
      </c>
      <c r="R15" s="1574" t="s">
        <v>8</v>
      </c>
      <c r="S15" s="1575">
        <f t="shared" si="0"/>
        <v>100</v>
      </c>
      <c r="T15" s="1574" t="s">
        <v>8</v>
      </c>
      <c r="U15" s="1575">
        <f t="shared" si="1"/>
        <v>100</v>
      </c>
      <c r="V15" s="1574" t="s">
        <v>8</v>
      </c>
      <c r="W15" s="1575">
        <f t="shared" si="2"/>
        <v>100</v>
      </c>
      <c r="X15" s="1568"/>
      <c r="Y15" s="341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5"/>
      <c r="Q16" s="1573"/>
      <c r="R16" s="1574"/>
      <c r="S16" s="1575"/>
      <c r="T16" s="1574"/>
      <c r="U16" s="1575"/>
      <c r="V16" s="1574"/>
      <c r="W16" s="1575"/>
      <c r="X16" s="1568"/>
      <c r="Y16" s="341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5"/>
      <c r="Q18" s="1573"/>
      <c r="R18" s="1574"/>
      <c r="S18" s="1575"/>
      <c r="T18" s="1574"/>
      <c r="U18" s="1575"/>
      <c r="V18" s="1574"/>
      <c r="W18" s="1575"/>
      <c r="X18" s="1568"/>
      <c r="Y18" s="3415"/>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15"/>
      <c r="Q20" s="1573"/>
      <c r="R20" s="1574"/>
      <c r="S20" s="1575"/>
      <c r="T20" s="1574"/>
      <c r="U20" s="1575"/>
      <c r="V20" s="1574"/>
      <c r="W20" s="1575"/>
      <c r="X20" s="1568"/>
      <c r="Y20" s="3415"/>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15"/>
      <c r="Q21" s="2581" t="str">
        <f>B21</f>
        <v>基础设施水平</v>
      </c>
      <c r="R21" s="1574" t="s">
        <v>8</v>
      </c>
      <c r="S21" s="1575">
        <f>F21</f>
        <v>100</v>
      </c>
      <c r="T21" s="1574" t="s">
        <v>8</v>
      </c>
      <c r="U21" s="1575">
        <f>H21</f>
        <v>100</v>
      </c>
      <c r="V21" s="1574" t="s">
        <v>8</v>
      </c>
      <c r="W21" s="1575">
        <f>J21</f>
        <v>100</v>
      </c>
      <c r="X21" s="2583"/>
      <c r="Y21" s="3415"/>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15"/>
      <c r="Q22" s="2581"/>
      <c r="R22" s="1574"/>
      <c r="S22" s="1575"/>
      <c r="T22" s="1574"/>
      <c r="U22" s="1575"/>
      <c r="V22" s="1574"/>
      <c r="W22" s="1575"/>
      <c r="X22" s="2583"/>
      <c r="Y22" s="3415"/>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15"/>
      <c r="Q23" s="1573" t="str">
        <f>B23</f>
        <v>环境质量</v>
      </c>
      <c r="R23" s="1574" t="s">
        <v>8</v>
      </c>
      <c r="S23" s="1575">
        <f>F23</f>
        <v>100</v>
      </c>
      <c r="T23" s="1574" t="s">
        <v>8</v>
      </c>
      <c r="U23" s="1575">
        <f>H23</f>
        <v>100</v>
      </c>
      <c r="V23" s="1574" t="s">
        <v>8</v>
      </c>
      <c r="W23" s="1575">
        <f>J23</f>
        <v>100</v>
      </c>
      <c r="X23" s="1568"/>
      <c r="Y23" s="341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15"/>
      <c r="Q24" s="1573"/>
      <c r="R24" s="1574"/>
      <c r="S24" s="1575"/>
      <c r="T24" s="1574"/>
      <c r="U24" s="1575"/>
      <c r="V24" s="1574"/>
      <c r="W24" s="1575"/>
      <c r="X24" s="1568"/>
      <c r="Y24" s="341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15"/>
      <c r="Q25" s="1573">
        <f>B25</f>
        <v>111</v>
      </c>
      <c r="R25" s="1574" t="s">
        <v>8</v>
      </c>
      <c r="S25" s="1575">
        <f>F25</f>
        <v>100</v>
      </c>
      <c r="T25" s="1574" t="s">
        <v>8</v>
      </c>
      <c r="U25" s="1575">
        <f>H25</f>
        <v>100</v>
      </c>
      <c r="V25" s="1574" t="s">
        <v>8</v>
      </c>
      <c r="W25" s="1575">
        <f>J25</f>
        <v>100</v>
      </c>
      <c r="X25" s="1568"/>
      <c r="Y25" s="341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15"/>
      <c r="Q26" s="1573">
        <f t="shared" ref="Q26:Q40" si="11">B26</f>
        <v>111</v>
      </c>
      <c r="R26" s="1574" t="s">
        <v>8</v>
      </c>
      <c r="S26" s="1575">
        <f>F26</f>
        <v>100</v>
      </c>
      <c r="T26" s="1574" t="s">
        <v>8</v>
      </c>
      <c r="U26" s="1575">
        <f>H26</f>
        <v>100</v>
      </c>
      <c r="V26" s="1574" t="s">
        <v>8</v>
      </c>
      <c r="W26" s="1575">
        <f>J26</f>
        <v>100</v>
      </c>
      <c r="X26" s="1568"/>
      <c r="Y26" s="341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15"/>
      <c r="Q27" s="1151">
        <f t="shared" si="11"/>
        <v>111</v>
      </c>
      <c r="R27" s="1569" t="s">
        <v>8</v>
      </c>
      <c r="S27" s="1570">
        <f>F27</f>
        <v>100</v>
      </c>
      <c r="T27" s="1569" t="s">
        <v>8</v>
      </c>
      <c r="U27" s="1570">
        <f>H27</f>
        <v>100</v>
      </c>
      <c r="V27" s="1569" t="s">
        <v>8</v>
      </c>
      <c r="W27" s="1570">
        <f>J27</f>
        <v>100</v>
      </c>
      <c r="X27" s="1571"/>
      <c r="Y27" s="341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15"/>
      <c r="Q28" s="1573">
        <f t="shared" si="11"/>
        <v>111</v>
      </c>
      <c r="R28" s="1574" t="s">
        <v>8</v>
      </c>
      <c r="S28" s="1575">
        <f t="shared" ref="S28:S40" si="12">F28</f>
        <v>100</v>
      </c>
      <c r="T28" s="1574" t="s">
        <v>8</v>
      </c>
      <c r="U28" s="1575">
        <f t="shared" ref="U28:U40" si="13">H28</f>
        <v>100</v>
      </c>
      <c r="V28" s="1574" t="s">
        <v>8</v>
      </c>
      <c r="W28" s="1575">
        <f t="shared" ref="W28:W40" si="14">J28</f>
        <v>100</v>
      </c>
      <c r="X28" s="1568"/>
      <c r="Y28" s="3415"/>
      <c r="Z28" s="1576">
        <f t="shared" ref="Z28:Z40" si="15">Q28</f>
        <v>111</v>
      </c>
      <c r="AA28" s="1577">
        <f t="shared" si="3"/>
        <v>1</v>
      </c>
      <c r="AB28" s="1577">
        <f t="shared" si="4"/>
        <v>1</v>
      </c>
      <c r="AC28" s="1577">
        <f t="shared" si="5"/>
        <v>1</v>
      </c>
    </row>
    <row r="29" spans="1:29" ht="15">
      <c r="A29" s="2909"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16" t="s">
        <v>550</v>
      </c>
      <c r="Q29" s="1573" t="str">
        <f t="shared" si="11"/>
        <v>建筑类型</v>
      </c>
      <c r="R29" s="1574" t="s">
        <v>8</v>
      </c>
      <c r="S29" s="1575">
        <f t="shared" si="12"/>
        <v>100</v>
      </c>
      <c r="T29" s="1574" t="s">
        <v>8</v>
      </c>
      <c r="U29" s="1575">
        <f t="shared" si="13"/>
        <v>100</v>
      </c>
      <c r="V29" s="1574" t="s">
        <v>8</v>
      </c>
      <c r="W29" s="1575">
        <f t="shared" si="14"/>
        <v>100</v>
      </c>
      <c r="X29" s="1568"/>
      <c r="Y29" s="341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17"/>
      <c r="Q30" s="1606" t="str">
        <f t="shared" si="11"/>
        <v>项目建筑规模</v>
      </c>
      <c r="R30" s="1578" t="s">
        <v>8</v>
      </c>
      <c r="S30" s="1579" t="e">
        <f t="shared" si="12"/>
        <v>#N/A</v>
      </c>
      <c r="T30" s="1578" t="s">
        <v>8</v>
      </c>
      <c r="U30" s="1579" t="e">
        <f t="shared" si="13"/>
        <v>#N/A</v>
      </c>
      <c r="V30" s="1578" t="s">
        <v>8</v>
      </c>
      <c r="W30" s="1579" t="e">
        <f t="shared" si="14"/>
        <v>#N/A</v>
      </c>
      <c r="X30" s="1580"/>
      <c r="Y30" s="341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17"/>
      <c r="Q31" s="1573" t="str">
        <f t="shared" si="11"/>
        <v>建筑结构</v>
      </c>
      <c r="R31" s="1574" t="s">
        <v>8</v>
      </c>
      <c r="S31" s="1575">
        <f t="shared" si="12"/>
        <v>100</v>
      </c>
      <c r="T31" s="1574" t="s">
        <v>8</v>
      </c>
      <c r="U31" s="1575">
        <f t="shared" si="13"/>
        <v>100</v>
      </c>
      <c r="V31" s="1574" t="s">
        <v>8</v>
      </c>
      <c r="W31" s="1575">
        <f t="shared" si="14"/>
        <v>100</v>
      </c>
      <c r="X31" s="1568"/>
      <c r="Y31" s="341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17"/>
      <c r="Q32" s="1573" t="str">
        <f t="shared" si="11"/>
        <v>公共部分装修</v>
      </c>
      <c r="R32" s="1574" t="s">
        <v>8</v>
      </c>
      <c r="S32" s="1575">
        <f t="shared" si="12"/>
        <v>100</v>
      </c>
      <c r="T32" s="1574" t="s">
        <v>8</v>
      </c>
      <c r="U32" s="1575">
        <f t="shared" si="13"/>
        <v>100</v>
      </c>
      <c r="V32" s="1574" t="s">
        <v>8</v>
      </c>
      <c r="W32" s="1575">
        <f t="shared" si="14"/>
        <v>100</v>
      </c>
      <c r="X32" s="1568"/>
      <c r="Y32" s="341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17"/>
      <c r="Q33" s="1573" t="str">
        <f t="shared" si="11"/>
        <v>成新度</v>
      </c>
      <c r="R33" s="1574" t="s">
        <v>8</v>
      </c>
      <c r="S33" s="1575" t="e">
        <f t="shared" si="12"/>
        <v>#N/A</v>
      </c>
      <c r="T33" s="1574" t="s">
        <v>8</v>
      </c>
      <c r="U33" s="1575" t="e">
        <f t="shared" si="13"/>
        <v>#N/A</v>
      </c>
      <c r="V33" s="1574" t="s">
        <v>8</v>
      </c>
      <c r="W33" s="1575" t="e">
        <f t="shared" si="14"/>
        <v>#N/A</v>
      </c>
      <c r="X33" s="1568"/>
      <c r="Y33" s="341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17"/>
      <c r="Q34" s="1151" t="str">
        <f t="shared" si="11"/>
        <v>物业管理</v>
      </c>
      <c r="R34" s="1569" t="s">
        <v>8</v>
      </c>
      <c r="S34" s="1570">
        <f t="shared" si="12"/>
        <v>100</v>
      </c>
      <c r="T34" s="1569" t="s">
        <v>8</v>
      </c>
      <c r="U34" s="1570">
        <f t="shared" si="13"/>
        <v>100</v>
      </c>
      <c r="V34" s="1569" t="s">
        <v>8</v>
      </c>
      <c r="W34" s="1570">
        <f t="shared" si="14"/>
        <v>100</v>
      </c>
      <c r="X34" s="1571"/>
      <c r="Y34" s="3417"/>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17" t="s">
        <v>550</v>
      </c>
      <c r="Q35" s="1573" t="str">
        <f t="shared" si="11"/>
        <v>市政基础设施</v>
      </c>
      <c r="R35" s="1574" t="s">
        <v>8</v>
      </c>
      <c r="S35" s="1575">
        <f t="shared" si="12"/>
        <v>100</v>
      </c>
      <c r="T35" s="1574" t="s">
        <v>8</v>
      </c>
      <c r="U35" s="1575">
        <f t="shared" si="13"/>
        <v>100</v>
      </c>
      <c r="V35" s="1574" t="s">
        <v>8</v>
      </c>
      <c r="W35" s="1575">
        <f t="shared" si="14"/>
        <v>100</v>
      </c>
      <c r="X35" s="1568"/>
      <c r="Y35" s="341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17"/>
      <c r="Q36" s="1573" t="str">
        <f t="shared" si="11"/>
        <v>内部装修</v>
      </c>
      <c r="R36" s="1574" t="s">
        <v>8</v>
      </c>
      <c r="S36" s="1575">
        <f t="shared" si="12"/>
        <v>100</v>
      </c>
      <c r="T36" s="1574" t="s">
        <v>8</v>
      </c>
      <c r="U36" s="1575">
        <f t="shared" si="13"/>
        <v>100</v>
      </c>
      <c r="V36" s="1574" t="s">
        <v>8</v>
      </c>
      <c r="W36" s="1575">
        <f t="shared" si="14"/>
        <v>100</v>
      </c>
      <c r="X36" s="1568"/>
      <c r="Y36" s="341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17"/>
      <c r="Q37" s="1573" t="str">
        <f t="shared" si="11"/>
        <v>内部装修状况</v>
      </c>
      <c r="R37" s="1574" t="s">
        <v>8</v>
      </c>
      <c r="S37" s="1575">
        <f t="shared" si="12"/>
        <v>100</v>
      </c>
      <c r="T37" s="1574" t="s">
        <v>8</v>
      </c>
      <c r="U37" s="1575">
        <f t="shared" si="13"/>
        <v>100</v>
      </c>
      <c r="V37" s="1574" t="s">
        <v>8</v>
      </c>
      <c r="W37" s="1575">
        <f t="shared" si="14"/>
        <v>100</v>
      </c>
      <c r="X37" s="1568"/>
      <c r="Y37" s="341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17"/>
      <c r="Q38" s="1606">
        <f t="shared" si="11"/>
        <v>111</v>
      </c>
      <c r="R38" s="1578" t="s">
        <v>8</v>
      </c>
      <c r="S38" s="1579">
        <f t="shared" si="12"/>
        <v>100</v>
      </c>
      <c r="T38" s="1578" t="s">
        <v>8</v>
      </c>
      <c r="U38" s="1579">
        <f t="shared" si="13"/>
        <v>100</v>
      </c>
      <c r="V38" s="1578" t="s">
        <v>8</v>
      </c>
      <c r="W38" s="1579">
        <f t="shared" si="14"/>
        <v>100</v>
      </c>
      <c r="X38" s="1580"/>
      <c r="Y38" s="341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17"/>
      <c r="Q39" s="1573">
        <f t="shared" si="11"/>
        <v>111</v>
      </c>
      <c r="R39" s="1574" t="s">
        <v>8</v>
      </c>
      <c r="S39" s="1575">
        <f t="shared" si="12"/>
        <v>100</v>
      </c>
      <c r="T39" s="1574" t="s">
        <v>8</v>
      </c>
      <c r="U39" s="1575">
        <f t="shared" si="13"/>
        <v>100</v>
      </c>
      <c r="V39" s="1574" t="s">
        <v>8</v>
      </c>
      <c r="W39" s="1575">
        <f t="shared" si="14"/>
        <v>100</v>
      </c>
      <c r="X39" s="1568"/>
      <c r="Y39" s="341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4"/>
      <c r="Q40" s="1573">
        <f t="shared" si="11"/>
        <v>111</v>
      </c>
      <c r="R40" s="1574" t="s">
        <v>8</v>
      </c>
      <c r="S40" s="1575">
        <f t="shared" si="12"/>
        <v>100</v>
      </c>
      <c r="T40" s="1574" t="s">
        <v>8</v>
      </c>
      <c r="U40" s="1575">
        <f t="shared" si="13"/>
        <v>100</v>
      </c>
      <c r="V40" s="1574" t="s">
        <v>8</v>
      </c>
      <c r="W40" s="1575">
        <f t="shared" si="14"/>
        <v>100</v>
      </c>
      <c r="X40" s="1568"/>
      <c r="Y40" s="3494"/>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0" t="str">
        <f>A41</f>
        <v>成交单价（元/平方米）</v>
      </c>
      <c r="Q41" s="3380"/>
      <c r="R41" s="3493">
        <f>E41</f>
        <v>0</v>
      </c>
      <c r="S41" s="3493"/>
      <c r="T41" s="3493">
        <f>G41</f>
        <v>0</v>
      </c>
      <c r="U41" s="3493"/>
      <c r="V41" s="3493">
        <f>I41</f>
        <v>0</v>
      </c>
      <c r="W41" s="3493"/>
      <c r="X41" s="1560"/>
      <c r="Y41" s="1582"/>
      <c r="Z41" s="1560"/>
      <c r="AA41" s="1560"/>
      <c r="AB41" s="1560"/>
      <c r="AC41" s="1560"/>
    </row>
    <row r="42" spans="1:29" ht="15.75" thickBot="1">
      <c r="A42" s="615" t="s">
        <v>2761</v>
      </c>
      <c r="B42" s="888"/>
      <c r="C42" s="2635" t="e">
        <f>R43</f>
        <v>#DIV/0!</v>
      </c>
      <c r="D42" s="2636"/>
      <c r="E42" s="2637" t="e">
        <f>R42</f>
        <v>#DIV/0!</v>
      </c>
      <c r="F42" s="2637"/>
      <c r="G42" s="2635" t="e">
        <f>T42</f>
        <v>#DIV/0!</v>
      </c>
      <c r="H42" s="2636"/>
      <c r="I42" s="2637" t="e">
        <f>V42</f>
        <v>#DIV/0!</v>
      </c>
      <c r="J42" s="2636"/>
      <c r="K42" s="1613"/>
      <c r="L42" s="2146"/>
      <c r="M42" s="2147"/>
      <c r="N42" s="2136"/>
      <c r="O42" s="2147"/>
      <c r="P42" s="3380" t="str">
        <f>A42</f>
        <v>比较价格（元/平方米）</v>
      </c>
      <c r="Q42" s="3380"/>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377" t="str">
        <f>A43</f>
        <v>估价对象XX用房的比较价格（楼面单价，元/平方米）</v>
      </c>
      <c r="Q43" s="3378"/>
      <c r="R43" s="3492" t="e">
        <f>IF(F1="售价",ROUND(AVERAGE(R42:V42),0),ROUND(AVERAGE(R42:V42),1))</f>
        <v>#DIV/0!</v>
      </c>
      <c r="S43" s="3492"/>
      <c r="T43" s="3492"/>
      <c r="U43" s="3492"/>
      <c r="V43" s="3492"/>
      <c r="W43" s="349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2018-7</v>
      </c>
      <c r="D52" s="2806">
        <f>EDATE(C52,-1)</f>
        <v>43252</v>
      </c>
      <c r="E52" s="2806">
        <f t="shared" ref="E52:O52" si="16">EDATE(D52,-1)</f>
        <v>43221</v>
      </c>
      <c r="F52" s="2806">
        <f t="shared" si="16"/>
        <v>43191</v>
      </c>
      <c r="G52" s="2806">
        <f t="shared" si="16"/>
        <v>43160</v>
      </c>
      <c r="H52" s="2806">
        <f t="shared" si="16"/>
        <v>43132</v>
      </c>
      <c r="I52" s="2806">
        <f t="shared" si="16"/>
        <v>43101</v>
      </c>
      <c r="J52" s="2806">
        <f t="shared" si="16"/>
        <v>43070</v>
      </c>
      <c r="K52" s="2806">
        <f t="shared" si="16"/>
        <v>43040</v>
      </c>
      <c r="L52" s="2806">
        <f t="shared" si="16"/>
        <v>43009</v>
      </c>
      <c r="M52" s="2806">
        <f t="shared" si="16"/>
        <v>42979</v>
      </c>
      <c r="N52" s="2806">
        <f t="shared" si="16"/>
        <v>42948</v>
      </c>
      <c r="O52" s="2806">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topLeftCell="A13" zoomScale="80" zoomScaleNormal="80" workbookViewId="0">
      <selection activeCell="K39" sqref="K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3008</v>
      </c>
      <c r="C1" s="504" t="s">
        <v>792</v>
      </c>
      <c r="D1" s="849" t="s">
        <v>35</v>
      </c>
      <c r="E1" s="506"/>
      <c r="F1" s="2809" t="s">
        <v>3012</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9494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2146</v>
      </c>
      <c r="C3" s="852" t="s">
        <v>796</v>
      </c>
      <c r="D3" s="851">
        <f>SUMIF('数据-汇总表'!$C19:$C33,D1,'数据-汇总表'!$E19:$E33)</f>
        <v>44231.600000000006</v>
      </c>
      <c r="E3" s="1850" t="s">
        <v>2078</v>
      </c>
      <c r="F3" s="851">
        <f>SUMIF('数据-取费表'!A5:A15,D1,'数据-取费表'!AH5:AH15)</f>
        <v>1283</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6" t="s">
        <v>798</v>
      </c>
      <c r="D4" s="3387"/>
      <c r="E4" s="3386" t="s">
        <v>799</v>
      </c>
      <c r="F4" s="3387"/>
      <c r="G4" s="3386" t="s">
        <v>800</v>
      </c>
      <c r="H4" s="3387"/>
      <c r="I4" s="3386" t="s">
        <v>801</v>
      </c>
      <c r="J4" s="3387"/>
      <c r="K4" s="514" t="s">
        <v>802</v>
      </c>
      <c r="L4" s="2135"/>
      <c r="M4" s="2136"/>
      <c r="N4" s="2136"/>
      <c r="O4" s="2136"/>
      <c r="P4" s="3388" t="s">
        <v>803</v>
      </c>
      <c r="Q4" s="3389"/>
      <c r="R4" s="3394" t="s">
        <v>799</v>
      </c>
      <c r="S4" s="3395"/>
      <c r="T4" s="3394" t="s">
        <v>800</v>
      </c>
      <c r="U4" s="3395"/>
      <c r="V4" s="3381" t="s">
        <v>801</v>
      </c>
      <c r="W4" s="3381"/>
      <c r="X4" s="1568"/>
      <c r="Y4" s="3394" t="s">
        <v>803</v>
      </c>
      <c r="Z4" s="3395"/>
      <c r="AA4" s="3383" t="s">
        <v>799</v>
      </c>
      <c r="AB4" s="3384" t="s">
        <v>800</v>
      </c>
      <c r="AC4" s="3383" t="s">
        <v>801</v>
      </c>
    </row>
    <row r="5" spans="1:29" ht="15">
      <c r="A5" s="515"/>
      <c r="B5" s="516"/>
      <c r="C5" s="3402" t="s">
        <v>2930</v>
      </c>
      <c r="D5" s="3403"/>
      <c r="E5" s="3402" t="s">
        <v>2931</v>
      </c>
      <c r="F5" s="3403"/>
      <c r="G5" s="3402" t="s">
        <v>2932</v>
      </c>
      <c r="H5" s="3403"/>
      <c r="I5" s="3402" t="s">
        <v>2933</v>
      </c>
      <c r="J5" s="3403"/>
      <c r="K5" s="514"/>
      <c r="L5" s="2135"/>
      <c r="M5" s="2136"/>
      <c r="N5" s="2136"/>
      <c r="O5" s="2136"/>
      <c r="P5" s="3390"/>
      <c r="Q5" s="3391"/>
      <c r="R5" s="3396"/>
      <c r="S5" s="3397"/>
      <c r="T5" s="3396"/>
      <c r="U5" s="3397"/>
      <c r="V5" s="3381"/>
      <c r="W5" s="3381"/>
      <c r="X5" s="1568"/>
      <c r="Y5" s="3396"/>
      <c r="Z5" s="3397"/>
      <c r="AA5" s="3384"/>
      <c r="AB5" s="3384"/>
      <c r="AC5" s="3384"/>
    </row>
    <row r="6" spans="1:29" ht="15.75" thickBot="1">
      <c r="A6" s="517"/>
      <c r="B6" s="518"/>
      <c r="C6" s="3400" t="s">
        <v>2934</v>
      </c>
      <c r="D6" s="3401"/>
      <c r="E6" s="3404" t="s">
        <v>2934</v>
      </c>
      <c r="F6" s="3405"/>
      <c r="G6" s="3400" t="s">
        <v>2934</v>
      </c>
      <c r="H6" s="3401"/>
      <c r="I6" s="3400" t="s">
        <v>2934</v>
      </c>
      <c r="J6" s="3401"/>
      <c r="K6" s="514" t="s">
        <v>528</v>
      </c>
      <c r="L6" s="2135"/>
      <c r="M6" s="2136"/>
      <c r="N6" s="2136"/>
      <c r="O6" s="2136"/>
      <c r="P6" s="3392"/>
      <c r="Q6" s="3393"/>
      <c r="R6" s="3396"/>
      <c r="S6" s="3397"/>
      <c r="T6" s="3398"/>
      <c r="U6" s="3399"/>
      <c r="V6" s="3381"/>
      <c r="W6" s="3381"/>
      <c r="X6" s="1568"/>
      <c r="Y6" s="3398"/>
      <c r="Z6" s="3399"/>
      <c r="AA6" s="3385"/>
      <c r="AB6" s="3385"/>
      <c r="AC6" s="3385"/>
    </row>
    <row r="7" spans="1:29" s="1220" customFormat="1" ht="15.75" thickBot="1">
      <c r="A7" s="2913"/>
      <c r="B7" s="2920" t="s">
        <v>529</v>
      </c>
      <c r="C7" s="519">
        <f>'数据-取费表'!B2</f>
        <v>43305</v>
      </c>
      <c r="D7" s="520">
        <v>100</v>
      </c>
      <c r="E7" s="521">
        <v>43282</v>
      </c>
      <c r="F7" s="522">
        <f>SUMIF(48:48,YEAR(E7)&amp;"-"&amp;MONTH(E7),49:49)</f>
        <v>100</v>
      </c>
      <c r="G7" s="523">
        <v>43282</v>
      </c>
      <c r="H7" s="520">
        <f>SUMIF(48:48,YEAR(G7)&amp;"-"&amp;MONTH(G7),49:49)</f>
        <v>100</v>
      </c>
      <c r="I7" s="523">
        <v>43282</v>
      </c>
      <c r="J7" s="520">
        <f>SUMIF(48:48,YEAR(I7)&amp;"-"&amp;MONTH(I7),49:49)</f>
        <v>100</v>
      </c>
      <c r="K7" s="524"/>
      <c r="L7" s="2137"/>
      <c r="M7" s="2138"/>
      <c r="N7" s="2138"/>
      <c r="O7" s="2138"/>
      <c r="P7" s="3411" t="s">
        <v>530</v>
      </c>
      <c r="Q7" s="3413"/>
      <c r="R7" s="1569" t="s">
        <v>8</v>
      </c>
      <c r="S7" s="1570">
        <f t="shared" ref="S7:S14" si="0">F7</f>
        <v>100</v>
      </c>
      <c r="T7" s="1569" t="s">
        <v>8</v>
      </c>
      <c r="U7" s="1570">
        <f t="shared" ref="U7:U14" si="1">H7</f>
        <v>100</v>
      </c>
      <c r="V7" s="1569" t="s">
        <v>8</v>
      </c>
      <c r="W7" s="1570">
        <f t="shared" ref="W7:W14" si="2">J7</f>
        <v>100</v>
      </c>
      <c r="X7" s="1571"/>
      <c r="Y7" s="3411" t="s">
        <v>530</v>
      </c>
      <c r="Z7" s="3412"/>
      <c r="AA7" s="1572">
        <f>D7/F7</f>
        <v>1</v>
      </c>
      <c r="AB7" s="1572">
        <f>D7/H7</f>
        <v>1</v>
      </c>
      <c r="AC7" s="1572">
        <f>D7/J7</f>
        <v>1</v>
      </c>
    </row>
    <row r="8" spans="1:29" s="1220" customFormat="1" ht="15.75" thickBot="1">
      <c r="A8" s="2914"/>
      <c r="B8" s="2921" t="s">
        <v>531</v>
      </c>
      <c r="C8" s="525" t="s">
        <v>576</v>
      </c>
      <c r="D8" s="520">
        <v>100</v>
      </c>
      <c r="E8" s="3180" t="s">
        <v>3108</v>
      </c>
      <c r="F8" s="522">
        <f>SUMIF(51:51,E8,52:52)-SUMIF(51:51,C8,52:52)+100</f>
        <v>100</v>
      </c>
      <c r="G8" s="3180" t="s">
        <v>3109</v>
      </c>
      <c r="H8" s="520">
        <f>SUMIF(51:51,G8,52:52)-SUMIF(51:51,C8,52:52)+100</f>
        <v>100</v>
      </c>
      <c r="I8" s="3180" t="s">
        <v>3108</v>
      </c>
      <c r="J8" s="520">
        <f>SUMIF(51:51,I8,52:52)-SUMIF(51:51,C8,52:52)+100</f>
        <v>100</v>
      </c>
      <c r="K8" s="524"/>
      <c r="L8" s="2137"/>
      <c r="M8" s="2138"/>
      <c r="N8" s="2138"/>
      <c r="O8" s="2138"/>
      <c r="P8" s="3411" t="s">
        <v>533</v>
      </c>
      <c r="Q8" s="3412"/>
      <c r="R8" s="1569" t="s">
        <v>8</v>
      </c>
      <c r="S8" s="1570">
        <f t="shared" si="0"/>
        <v>100</v>
      </c>
      <c r="T8" s="1569" t="s">
        <v>8</v>
      </c>
      <c r="U8" s="1570">
        <f t="shared" si="1"/>
        <v>100</v>
      </c>
      <c r="V8" s="1569" t="s">
        <v>8</v>
      </c>
      <c r="W8" s="1570">
        <f t="shared" si="2"/>
        <v>100</v>
      </c>
      <c r="X8" s="1571"/>
      <c r="Y8" s="3411" t="s">
        <v>533</v>
      </c>
      <c r="Z8" s="3412"/>
      <c r="AA8" s="1572">
        <f t="shared" ref="AA8:AA36" si="3">D8/F8</f>
        <v>1</v>
      </c>
      <c r="AB8" s="1572">
        <f t="shared" ref="AB8:AB36" si="4">D8/H8</f>
        <v>1</v>
      </c>
      <c r="AC8" s="1572">
        <f t="shared" ref="AC8:AC36" si="5">D8/J8</f>
        <v>1</v>
      </c>
    </row>
    <row r="9" spans="1:29" s="1220" customFormat="1" ht="15">
      <c r="A9" s="2915"/>
      <c r="B9" s="2922" t="s">
        <v>2757</v>
      </c>
      <c r="C9" s="3199" t="s">
        <v>3110</v>
      </c>
      <c r="D9" s="254">
        <v>100</v>
      </c>
      <c r="E9" s="3200" t="s">
        <v>3110</v>
      </c>
      <c r="F9" s="254">
        <f>SUMIF(53:53,E9,54:54)-SUMIF(53:53,C9,54:54)+100</f>
        <v>100</v>
      </c>
      <c r="G9" s="3201" t="s">
        <v>3110</v>
      </c>
      <c r="H9" s="254">
        <f>SUMIF(53:53,G9,54:54)-SUMIF(53:53,C9,54:54)+100</f>
        <v>100</v>
      </c>
      <c r="I9" s="3201" t="s">
        <v>3110</v>
      </c>
      <c r="J9" s="254">
        <f>SUMIF(53:53,I9,54:54)-SUMIF(53:53,C9,54:54)+100</f>
        <v>100</v>
      </c>
      <c r="K9" s="524"/>
      <c r="L9" s="2137"/>
      <c r="M9" s="2138"/>
      <c r="N9" s="2138"/>
      <c r="O9" s="2139"/>
      <c r="P9" s="3380" t="s">
        <v>535</v>
      </c>
      <c r="Q9" s="1151" t="str">
        <f t="shared" ref="Q9:Q14" si="6">B9</f>
        <v>用途</v>
      </c>
      <c r="R9" s="1569" t="s">
        <v>8</v>
      </c>
      <c r="S9" s="1570">
        <f t="shared" si="0"/>
        <v>100</v>
      </c>
      <c r="T9" s="1569" t="s">
        <v>8</v>
      </c>
      <c r="U9" s="1570">
        <f t="shared" si="1"/>
        <v>100</v>
      </c>
      <c r="V9" s="1569" t="s">
        <v>8</v>
      </c>
      <c r="W9" s="1570">
        <f t="shared" si="2"/>
        <v>100</v>
      </c>
      <c r="X9" s="1571"/>
      <c r="Y9" s="3326" t="s">
        <v>536</v>
      </c>
      <c r="Z9" s="1150" t="str">
        <f t="shared" ref="Z9:Z14" si="7">Q9</f>
        <v>用途</v>
      </c>
      <c r="AA9" s="1572">
        <f t="shared" si="3"/>
        <v>1</v>
      </c>
      <c r="AB9" s="1572">
        <f t="shared" si="4"/>
        <v>1</v>
      </c>
      <c r="AC9" s="1572">
        <f t="shared" si="5"/>
        <v>1</v>
      </c>
    </row>
    <row r="10" spans="1:29" s="1338" customFormat="1" ht="27">
      <c r="A10" s="2916"/>
      <c r="B10" s="2921"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0"/>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85.5">
      <c r="A14" s="2911"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14" t="s">
        <v>540</v>
      </c>
      <c r="Q14" s="1573" t="str">
        <f t="shared" si="6"/>
        <v>交通便捷度</v>
      </c>
      <c r="R14" s="1574" t="s">
        <v>8</v>
      </c>
      <c r="S14" s="1575">
        <f t="shared" si="0"/>
        <v>100</v>
      </c>
      <c r="T14" s="1574" t="s">
        <v>8</v>
      </c>
      <c r="U14" s="1575">
        <f t="shared" si="1"/>
        <v>100</v>
      </c>
      <c r="V14" s="1574" t="s">
        <v>8</v>
      </c>
      <c r="W14" s="1575">
        <f t="shared" si="2"/>
        <v>100</v>
      </c>
      <c r="X14" s="1568"/>
      <c r="Y14" s="341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15"/>
      <c r="Q15" s="1573"/>
      <c r="R15" s="1574"/>
      <c r="S15" s="1575"/>
      <c r="T15" s="1574"/>
      <c r="U15" s="1575"/>
      <c r="V15" s="1574"/>
      <c r="W15" s="1575"/>
      <c r="X15" s="1568"/>
      <c r="Y15" s="3415"/>
      <c r="Z15" s="1576"/>
      <c r="AA15" s="1577">
        <v>1</v>
      </c>
      <c r="AB15" s="1577">
        <v>1</v>
      </c>
      <c r="AC15" s="1577">
        <v>1</v>
      </c>
    </row>
    <row r="16" spans="1:29" ht="42.7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15"/>
      <c r="Q16" s="1573" t="str">
        <f>B16</f>
        <v>公共配套设施</v>
      </c>
      <c r="R16" s="1574" t="s">
        <v>8</v>
      </c>
      <c r="S16" s="1575">
        <f>F16</f>
        <v>100</v>
      </c>
      <c r="T16" s="1574" t="s">
        <v>8</v>
      </c>
      <c r="U16" s="1575">
        <f>H16</f>
        <v>100</v>
      </c>
      <c r="V16" s="1574" t="s">
        <v>8</v>
      </c>
      <c r="W16" s="1575">
        <f>J16</f>
        <v>100</v>
      </c>
      <c r="X16" s="1568"/>
      <c r="Y16" s="341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15"/>
      <c r="Q17" s="1573"/>
      <c r="R17" s="1574"/>
      <c r="S17" s="1575"/>
      <c r="T17" s="1574"/>
      <c r="U17" s="1575"/>
      <c r="V17" s="1574"/>
      <c r="W17" s="1575"/>
      <c r="X17" s="1568"/>
      <c r="Y17" s="3415"/>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15"/>
      <c r="Q18" s="2581" t="str">
        <f>B18</f>
        <v>基础设施水平</v>
      </c>
      <c r="R18" s="1574" t="s">
        <v>8</v>
      </c>
      <c r="S18" s="1575">
        <f>F18</f>
        <v>100</v>
      </c>
      <c r="T18" s="1574" t="s">
        <v>8</v>
      </c>
      <c r="U18" s="1575">
        <f>H18</f>
        <v>100</v>
      </c>
      <c r="V18" s="1574" t="s">
        <v>8</v>
      </c>
      <c r="W18" s="1575">
        <f>J18</f>
        <v>100</v>
      </c>
      <c r="X18" s="2583"/>
      <c r="Y18" s="3415"/>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15"/>
      <c r="Q19" s="2581"/>
      <c r="R19" s="1574"/>
      <c r="S19" s="1575"/>
      <c r="T19" s="1574"/>
      <c r="U19" s="1575"/>
      <c r="V19" s="1574"/>
      <c r="W19" s="1575"/>
      <c r="X19" s="2583"/>
      <c r="Y19" s="3415"/>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15"/>
      <c r="Q20" s="1573" t="str">
        <f>B20</f>
        <v>自然及人文环境</v>
      </c>
      <c r="R20" s="1574" t="s">
        <v>8</v>
      </c>
      <c r="S20" s="1575">
        <f>F20</f>
        <v>100</v>
      </c>
      <c r="T20" s="1574" t="s">
        <v>8</v>
      </c>
      <c r="U20" s="1575">
        <f>H20</f>
        <v>100</v>
      </c>
      <c r="V20" s="1574" t="s">
        <v>8</v>
      </c>
      <c r="W20" s="1575">
        <f>J20</f>
        <v>100</v>
      </c>
      <c r="X20" s="1568"/>
      <c r="Y20" s="341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15"/>
      <c r="Q21" s="1573"/>
      <c r="R21" s="1574"/>
      <c r="S21" s="1575"/>
      <c r="T21" s="1574"/>
      <c r="U21" s="1575"/>
      <c r="V21" s="1574"/>
      <c r="W21" s="1575"/>
      <c r="X21" s="1568"/>
      <c r="Y21" s="341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15"/>
      <c r="Q22" s="1573" t="str">
        <f>B22</f>
        <v>楼层</v>
      </c>
      <c r="R22" s="1574" t="s">
        <v>8</v>
      </c>
      <c r="S22" s="1575">
        <f>F22</f>
        <v>100</v>
      </c>
      <c r="T22" s="1574" t="s">
        <v>8</v>
      </c>
      <c r="U22" s="1575">
        <f>H22</f>
        <v>100</v>
      </c>
      <c r="V22" s="1574" t="s">
        <v>8</v>
      </c>
      <c r="W22" s="1575">
        <f>J22</f>
        <v>100</v>
      </c>
      <c r="X22" s="1568"/>
      <c r="Y22" s="341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15"/>
      <c r="Q23" s="1573">
        <f>B23</f>
        <v>111</v>
      </c>
      <c r="R23" s="1574" t="s">
        <v>8</v>
      </c>
      <c r="S23" s="1575">
        <f>F23</f>
        <v>100</v>
      </c>
      <c r="T23" s="1574" t="s">
        <v>8</v>
      </c>
      <c r="U23" s="1575">
        <f>H23</f>
        <v>100</v>
      </c>
      <c r="V23" s="1574" t="s">
        <v>8</v>
      </c>
      <c r="W23" s="1575">
        <f>J23</f>
        <v>100</v>
      </c>
      <c r="X23" s="1568"/>
      <c r="Y23" s="341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15"/>
      <c r="Q24" s="1573">
        <f t="shared" ref="Q24:Q36" si="11">B24</f>
        <v>111</v>
      </c>
      <c r="R24" s="1574" t="s">
        <v>8</v>
      </c>
      <c r="S24" s="1575">
        <f>F24</f>
        <v>100</v>
      </c>
      <c r="T24" s="1574" t="s">
        <v>8</v>
      </c>
      <c r="U24" s="1575">
        <f>H24</f>
        <v>100</v>
      </c>
      <c r="V24" s="1574" t="s">
        <v>8</v>
      </c>
      <c r="W24" s="1575">
        <f>J24</f>
        <v>100</v>
      </c>
      <c r="X24" s="1568"/>
      <c r="Y24" s="341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15"/>
      <c r="Q25" s="1151">
        <f t="shared" si="11"/>
        <v>111</v>
      </c>
      <c r="R25" s="1569" t="s">
        <v>8</v>
      </c>
      <c r="S25" s="1570">
        <f>F25</f>
        <v>100</v>
      </c>
      <c r="T25" s="1569" t="s">
        <v>8</v>
      </c>
      <c r="U25" s="1570">
        <f>H25</f>
        <v>100</v>
      </c>
      <c r="V25" s="1569" t="s">
        <v>8</v>
      </c>
      <c r="W25" s="1570">
        <f>J25</f>
        <v>100</v>
      </c>
      <c r="X25" s="1571"/>
      <c r="Y25" s="3415"/>
      <c r="Z25" s="1150">
        <f>Q25</f>
        <v>111</v>
      </c>
      <c r="AA25" s="1577">
        <f>D25/F25</f>
        <v>1</v>
      </c>
      <c r="AB25" s="1577">
        <f>D25/H25</f>
        <v>1</v>
      </c>
      <c r="AC25" s="1577">
        <f>D25/J25</f>
        <v>1</v>
      </c>
    </row>
    <row r="26" spans="1:29" ht="15">
      <c r="A26" s="2909" t="s">
        <v>2756</v>
      </c>
      <c r="B26" s="170" t="s">
        <v>806</v>
      </c>
      <c r="C26" s="928" t="str">
        <f>B1</f>
        <v>车库</v>
      </c>
      <c r="D26" s="555">
        <v>100</v>
      </c>
      <c r="E26" s="576" t="s">
        <v>3008</v>
      </c>
      <c r="F26" s="557">
        <f>SUMIF(79:79,E26,80:80)-SUMIF(79:79,C26,80:80)+100</f>
        <v>100</v>
      </c>
      <c r="G26" s="576" t="s">
        <v>3008</v>
      </c>
      <c r="H26" s="555">
        <f>SUMIF(79:79,G26,80:80)-SUMIF(79:79,C26,80:80)+100</f>
        <v>100</v>
      </c>
      <c r="I26" s="576" t="s">
        <v>3008</v>
      </c>
      <c r="J26" s="555">
        <f>SUMIF(79:79,I26,80:80)-SUMIF(79:79,C26,80:80)+100</f>
        <v>100</v>
      </c>
      <c r="K26" s="584"/>
      <c r="L26" s="2144"/>
      <c r="M26" s="2136"/>
      <c r="N26" s="2136"/>
      <c r="O26" s="2143"/>
      <c r="P26" s="341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17"/>
      <c r="Q27" s="1606" t="str">
        <f t="shared" si="11"/>
        <v>项目停车位配比</v>
      </c>
      <c r="R27" s="1578" t="s">
        <v>8</v>
      </c>
      <c r="S27" s="1579">
        <f t="shared" si="12"/>
        <v>100</v>
      </c>
      <c r="T27" s="1578" t="s">
        <v>8</v>
      </c>
      <c r="U27" s="1579">
        <f t="shared" si="13"/>
        <v>100</v>
      </c>
      <c r="V27" s="1578" t="s">
        <v>8</v>
      </c>
      <c r="W27" s="1579">
        <f t="shared" si="14"/>
        <v>100</v>
      </c>
      <c r="X27" s="1580"/>
      <c r="Y27" s="341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17"/>
      <c r="Q28" s="1573" t="str">
        <f t="shared" si="11"/>
        <v>公共部分装修</v>
      </c>
      <c r="R28" s="1574" t="s">
        <v>8</v>
      </c>
      <c r="S28" s="1575">
        <f t="shared" si="12"/>
        <v>100</v>
      </c>
      <c r="T28" s="1574" t="s">
        <v>8</v>
      </c>
      <c r="U28" s="1575">
        <f t="shared" si="13"/>
        <v>100</v>
      </c>
      <c r="V28" s="1574" t="s">
        <v>8</v>
      </c>
      <c r="W28" s="1575">
        <f t="shared" si="14"/>
        <v>100</v>
      </c>
      <c r="X28" s="1568"/>
      <c r="Y28" s="3417"/>
      <c r="Z28" s="1576" t="str">
        <f t="shared" si="15"/>
        <v>公共部分装修</v>
      </c>
      <c r="AA28" s="1577">
        <f t="shared" si="3"/>
        <v>1</v>
      </c>
      <c r="AB28" s="1577">
        <f t="shared" si="4"/>
        <v>1</v>
      </c>
      <c r="AC28" s="1577">
        <f t="shared" si="5"/>
        <v>1</v>
      </c>
    </row>
    <row r="29" spans="1:29" ht="15">
      <c r="A29" s="931"/>
      <c r="B29" s="582" t="s">
        <v>809</v>
      </c>
      <c r="C29" s="880">
        <v>100</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4"/>
      <c r="M29" s="2136"/>
      <c r="N29" s="2136"/>
      <c r="O29" s="2143"/>
      <c r="P29" s="3417"/>
      <c r="Q29" s="1573" t="str">
        <f t="shared" si="11"/>
        <v>成新率</v>
      </c>
      <c r="R29" s="1574" t="s">
        <v>8</v>
      </c>
      <c r="S29" s="1575">
        <f t="shared" si="12"/>
        <v>100</v>
      </c>
      <c r="T29" s="1574" t="s">
        <v>8</v>
      </c>
      <c r="U29" s="1575">
        <f t="shared" si="13"/>
        <v>100</v>
      </c>
      <c r="V29" s="1574" t="s">
        <v>8</v>
      </c>
      <c r="W29" s="1575">
        <f t="shared" si="14"/>
        <v>100</v>
      </c>
      <c r="X29" s="1568"/>
      <c r="Y29" s="3417"/>
      <c r="Z29" s="1576" t="str">
        <f t="shared" si="15"/>
        <v>成新率</v>
      </c>
      <c r="AA29" s="1577">
        <f t="shared" si="3"/>
        <v>1</v>
      </c>
      <c r="AB29" s="1577">
        <f t="shared" si="4"/>
        <v>1</v>
      </c>
      <c r="AC29" s="1577">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17"/>
      <c r="Q30" s="1573" t="str">
        <f t="shared" si="11"/>
        <v>物业等级</v>
      </c>
      <c r="R30" s="1574" t="s">
        <v>8</v>
      </c>
      <c r="S30" s="1575">
        <f t="shared" si="12"/>
        <v>100</v>
      </c>
      <c r="T30" s="1574" t="s">
        <v>8</v>
      </c>
      <c r="U30" s="1575">
        <f t="shared" si="13"/>
        <v>100</v>
      </c>
      <c r="V30" s="1574" t="s">
        <v>8</v>
      </c>
      <c r="W30" s="1575">
        <f t="shared" si="14"/>
        <v>100</v>
      </c>
      <c r="X30" s="1568"/>
      <c r="Y30" s="3417"/>
      <c r="Z30" s="1576" t="str">
        <f t="shared" si="15"/>
        <v>物业等级</v>
      </c>
      <c r="AA30" s="1577">
        <f t="shared" si="3"/>
        <v>1</v>
      </c>
      <c r="AB30" s="1577">
        <f t="shared" si="4"/>
        <v>1</v>
      </c>
      <c r="AC30" s="1577">
        <f t="shared" si="5"/>
        <v>1</v>
      </c>
    </row>
    <row r="31" spans="1:29" s="1220" customFormat="1" ht="15">
      <c r="A31" s="933"/>
      <c r="B31" s="582" t="s">
        <v>811</v>
      </c>
      <c r="C31" s="880">
        <v>35</v>
      </c>
      <c r="D31" s="255">
        <v>100</v>
      </c>
      <c r="E31" s="880">
        <v>35</v>
      </c>
      <c r="F31" s="575">
        <f>LOOKUP(E31,91:91,92:92)-LOOKUP(C31,91:91,92:92)+100</f>
        <v>100</v>
      </c>
      <c r="G31" s="880">
        <v>35</v>
      </c>
      <c r="H31" s="540">
        <f>LOOKUP(G31,91:91,92:92)-LOOKUP(C31,91:91,92:92)+100</f>
        <v>100</v>
      </c>
      <c r="I31" s="880">
        <v>35</v>
      </c>
      <c r="J31" s="540">
        <f>LOOKUP(I31,91:91,92:92)-LOOKUP(C31,91:91,92:92)+100</f>
        <v>100</v>
      </c>
      <c r="K31" s="584"/>
      <c r="L31" s="2137"/>
      <c r="M31" s="2138"/>
      <c r="N31" s="2138"/>
      <c r="O31" s="2139"/>
      <c r="P31" s="3417"/>
      <c r="Q31" s="1151" t="str">
        <f t="shared" si="11"/>
        <v>停车位面积</v>
      </c>
      <c r="R31" s="1569" t="s">
        <v>8</v>
      </c>
      <c r="S31" s="1570">
        <f t="shared" si="12"/>
        <v>100</v>
      </c>
      <c r="T31" s="1569" t="s">
        <v>8</v>
      </c>
      <c r="U31" s="1570">
        <f t="shared" si="13"/>
        <v>100</v>
      </c>
      <c r="V31" s="1569" t="s">
        <v>8</v>
      </c>
      <c r="W31" s="1570">
        <f t="shared" si="14"/>
        <v>100</v>
      </c>
      <c r="X31" s="1571"/>
      <c r="Y31" s="3417"/>
      <c r="Z31" s="1150" t="str">
        <f t="shared" si="15"/>
        <v>停车位面积</v>
      </c>
      <c r="AA31" s="1572">
        <f t="shared" si="3"/>
        <v>1</v>
      </c>
      <c r="AB31" s="1572">
        <f t="shared" si="4"/>
        <v>1</v>
      </c>
      <c r="AC31" s="1572">
        <f t="shared" si="5"/>
        <v>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17" t="s">
        <v>550</v>
      </c>
      <c r="Q32" s="1573" t="str">
        <f t="shared" si="11"/>
        <v>车位类型</v>
      </c>
      <c r="R32" s="1574" t="s">
        <v>8</v>
      </c>
      <c r="S32" s="1575">
        <f t="shared" si="12"/>
        <v>100</v>
      </c>
      <c r="T32" s="1574" t="s">
        <v>8</v>
      </c>
      <c r="U32" s="1575">
        <f t="shared" si="13"/>
        <v>100</v>
      </c>
      <c r="V32" s="1574" t="s">
        <v>8</v>
      </c>
      <c r="W32" s="1575">
        <f t="shared" si="14"/>
        <v>100</v>
      </c>
      <c r="X32" s="1568"/>
      <c r="Y32" s="341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17"/>
      <c r="Q33" s="1573" t="str">
        <f t="shared" si="11"/>
        <v>是否直接入户</v>
      </c>
      <c r="R33" s="1574" t="s">
        <v>8</v>
      </c>
      <c r="S33" s="1575">
        <f t="shared" si="12"/>
        <v>100</v>
      </c>
      <c r="T33" s="1574" t="s">
        <v>8</v>
      </c>
      <c r="U33" s="1575">
        <f t="shared" si="13"/>
        <v>100</v>
      </c>
      <c r="V33" s="1574" t="s">
        <v>8</v>
      </c>
      <c r="W33" s="1575">
        <f t="shared" si="14"/>
        <v>100</v>
      </c>
      <c r="X33" s="1568"/>
      <c r="Y33" s="341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17"/>
      <c r="Q34" s="1573">
        <f t="shared" si="11"/>
        <v>111</v>
      </c>
      <c r="R34" s="1574" t="s">
        <v>8</v>
      </c>
      <c r="S34" s="1575">
        <f t="shared" si="12"/>
        <v>100</v>
      </c>
      <c r="T34" s="1574" t="s">
        <v>8</v>
      </c>
      <c r="U34" s="1575">
        <f t="shared" si="13"/>
        <v>100</v>
      </c>
      <c r="V34" s="1574" t="s">
        <v>8</v>
      </c>
      <c r="W34" s="1575">
        <f t="shared" si="14"/>
        <v>100</v>
      </c>
      <c r="X34" s="1568"/>
      <c r="Y34" s="341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17"/>
      <c r="Q35" s="1606">
        <f t="shared" si="11"/>
        <v>111</v>
      </c>
      <c r="R35" s="1578" t="s">
        <v>8</v>
      </c>
      <c r="S35" s="1579">
        <f t="shared" si="12"/>
        <v>100</v>
      </c>
      <c r="T35" s="1578" t="s">
        <v>8</v>
      </c>
      <c r="U35" s="1579">
        <f t="shared" si="13"/>
        <v>100</v>
      </c>
      <c r="V35" s="1578" t="s">
        <v>8</v>
      </c>
      <c r="W35" s="1579">
        <f t="shared" si="14"/>
        <v>100</v>
      </c>
      <c r="X35" s="1580"/>
      <c r="Y35" s="341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17"/>
      <c r="Q36" s="1573">
        <f t="shared" si="11"/>
        <v>111</v>
      </c>
      <c r="R36" s="1574" t="s">
        <v>8</v>
      </c>
      <c r="S36" s="1575">
        <f t="shared" si="12"/>
        <v>100</v>
      </c>
      <c r="T36" s="1574" t="s">
        <v>8</v>
      </c>
      <c r="U36" s="1575">
        <f t="shared" si="13"/>
        <v>100</v>
      </c>
      <c r="V36" s="1574" t="s">
        <v>8</v>
      </c>
      <c r="W36" s="1575">
        <f t="shared" si="14"/>
        <v>100</v>
      </c>
      <c r="X36" s="1568"/>
      <c r="Y36" s="3417"/>
      <c r="Z36" s="1576">
        <f t="shared" si="15"/>
        <v>111</v>
      </c>
      <c r="AA36" s="1577">
        <f t="shared" si="3"/>
        <v>1</v>
      </c>
      <c r="AB36" s="1577">
        <f t="shared" si="4"/>
        <v>1</v>
      </c>
      <c r="AC36" s="1577">
        <f t="shared" si="5"/>
        <v>1</v>
      </c>
    </row>
    <row r="37" spans="1:29" ht="15">
      <c r="A37" s="1848" t="s">
        <v>2079</v>
      </c>
      <c r="B37" s="1849" t="s">
        <v>3111</v>
      </c>
      <c r="C37" s="2629" t="s">
        <v>1</v>
      </c>
      <c r="D37" s="2630"/>
      <c r="E37" s="2631">
        <v>72000</v>
      </c>
      <c r="F37" s="2632"/>
      <c r="G37" s="2633">
        <v>75000</v>
      </c>
      <c r="H37" s="2634"/>
      <c r="I37" s="2631">
        <v>75000</v>
      </c>
      <c r="J37" s="2634"/>
      <c r="K37" s="1612"/>
      <c r="L37" s="2146"/>
      <c r="M37" s="2147"/>
      <c r="N37" s="2136"/>
      <c r="O37" s="2147"/>
      <c r="P37" s="3380" t="str">
        <f>A37</f>
        <v>成交单价</v>
      </c>
      <c r="Q37" s="3380"/>
      <c r="R37" s="3493">
        <f>E37</f>
        <v>72000</v>
      </c>
      <c r="S37" s="3493"/>
      <c r="T37" s="3493">
        <f>G37</f>
        <v>75000</v>
      </c>
      <c r="U37" s="3493"/>
      <c r="V37" s="3493">
        <f>I37</f>
        <v>75000</v>
      </c>
      <c r="W37" s="3493"/>
      <c r="X37" s="1560"/>
      <c r="Y37" s="1582"/>
      <c r="Z37" s="1560"/>
      <c r="AA37" s="1560"/>
      <c r="AB37" s="1560"/>
      <c r="AC37" s="1560"/>
    </row>
    <row r="38" spans="1:29" ht="15.75" thickBot="1">
      <c r="A38" s="615" t="s">
        <v>2761</v>
      </c>
      <c r="B38" s="888"/>
      <c r="C38" s="2635">
        <f>R39</f>
        <v>74000</v>
      </c>
      <c r="D38" s="2636"/>
      <c r="E38" s="2637">
        <f>R38</f>
        <v>72000</v>
      </c>
      <c r="F38" s="2637"/>
      <c r="G38" s="2635">
        <f>T38</f>
        <v>75000</v>
      </c>
      <c r="H38" s="2636"/>
      <c r="I38" s="2637">
        <f>V38</f>
        <v>75000</v>
      </c>
      <c r="J38" s="2636"/>
      <c r="K38" s="1613"/>
      <c r="L38" s="2146"/>
      <c r="M38" s="2147"/>
      <c r="N38" s="2147"/>
      <c r="O38" s="2147"/>
      <c r="P38" s="3380" t="str">
        <f>A38</f>
        <v>比较价格（元/平方米）</v>
      </c>
      <c r="Q38" s="3380"/>
      <c r="R38" s="3493">
        <f>IF(F1="售价",ROUND(PRODUCT(R37,AA7:AA36),0),ROUND(PRODUCT(R37,AA7:AA36),1))</f>
        <v>72000</v>
      </c>
      <c r="S38" s="3493"/>
      <c r="T38" s="3493">
        <f>IF(F1="售价",ROUND(PRODUCT(T37,AB7:AB36),0),ROUND(PRODUCT(T37,AB7:AB36),1))</f>
        <v>75000</v>
      </c>
      <c r="U38" s="3493"/>
      <c r="V38" s="3493">
        <f>IF(F1="售价",ROUND(PRODUCT(V37,AC7:AC36),0),ROUND(PRODUCT(V37,AC7:AC36),1))</f>
        <v>75000</v>
      </c>
      <c r="W38" s="3493"/>
      <c r="X38" s="1560"/>
      <c r="Y38" s="1560"/>
      <c r="Z38" s="1560"/>
      <c r="AA38" s="1560"/>
      <c r="AB38" s="1560"/>
      <c r="AC38" s="1560"/>
    </row>
    <row r="39" spans="1:29" ht="15.75" thickBot="1">
      <c r="A39" s="621" t="s">
        <v>2936</v>
      </c>
      <c r="B39" s="622"/>
      <c r="C39" s="2638">
        <f>R39</f>
        <v>74000</v>
      </c>
      <c r="D39" s="2638"/>
      <c r="E39" s="2638"/>
      <c r="F39" s="2638"/>
      <c r="G39" s="2638"/>
      <c r="H39" s="2638"/>
      <c r="I39" s="2638"/>
      <c r="J39" s="2638"/>
      <c r="K39" s="1614"/>
      <c r="L39" s="2146"/>
      <c r="M39" s="2147"/>
      <c r="N39" s="2147"/>
      <c r="O39" s="2147"/>
      <c r="P39" s="3377" t="str">
        <f>A39</f>
        <v>估价对象XX用房的比较价格（楼面单价，元/平方米）</v>
      </c>
      <c r="Q39" s="3378"/>
      <c r="R39" s="3492">
        <f>IF(F1="售价",ROUND(AVERAGE(R38:V38),0),ROUND(AVERAGE(R38:V38),1))</f>
        <v>74000</v>
      </c>
      <c r="S39" s="3492"/>
      <c r="T39" s="3492"/>
      <c r="U39" s="3492"/>
      <c r="V39" s="3492"/>
      <c r="W39" s="349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f>IF(E37&lt;E38,E38/E37-1,E37/E38-1)</f>
        <v>0</v>
      </c>
      <c r="F42" s="627" t="str">
        <f>IF(OR(E42&gt;=0.3,E42&lt;=-0.3),"超过30%","")</f>
        <v/>
      </c>
      <c r="G42" s="626">
        <f>IF(G37&lt;G38,G38/G37-1,G37/G38-1)</f>
        <v>0</v>
      </c>
      <c r="H42" s="627" t="str">
        <f>IF(OR(G42&gt;=0.3,G42&lt;=-0.3),"超过30%","")</f>
        <v/>
      </c>
      <c r="I42" s="626">
        <f>IF(I37&lt;I38,I38/I37-1,I37/I38-1)</f>
        <v>0</v>
      </c>
      <c r="J42" s="627" t="str">
        <f>IF(OR(I42&gt;=0.3,I42&lt;=-0.3),"超过30%","")</f>
        <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f>IF(E38&lt;G38,G38/E38-1,E38/G38-1)</f>
        <v>4.1666666666666741E-2</v>
      </c>
      <c r="F43" s="627" t="str">
        <f>IF(OR(E43&gt;=0.2,E43&lt;=-0.2),"超过20%","")</f>
        <v/>
      </c>
      <c r="G43" s="626">
        <f>IF(G38&lt;I38,I38/G38-1,G38/I38-1)</f>
        <v>0</v>
      </c>
      <c r="H43" s="627" t="str">
        <f>IF(OR(G43&gt;=0.2,G43&lt;=-0.2),"超过20%","")</f>
        <v/>
      </c>
      <c r="I43" s="626">
        <f>IF(I38&lt;E38,E38/I38-1,I38/E38-1)</f>
        <v>4.1666666666666741E-2</v>
      </c>
      <c r="J43" s="627" t="str">
        <f>IF(OR(I43&gt;=0.2,I43&lt;=-0.2),"超过20%","")</f>
        <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f>IF(E37&lt;G37,G37/E37-1,E37/G37-1)</f>
        <v>4.1666666666666741E-2</v>
      </c>
      <c r="F44" s="627" t="str">
        <f>IF(OR(E44&gt;=0.3,E44&lt;=-0.3),"超过30%","")</f>
        <v/>
      </c>
      <c r="G44" s="626">
        <f>IF(G37&lt;I37,I37/G37-1,G37/I37-1)</f>
        <v>0</v>
      </c>
      <c r="H44" s="627" t="str">
        <f>IF(OR(G44&gt;=0.3,G44&lt;=-0.3),"超过30%","")</f>
        <v/>
      </c>
      <c r="I44" s="626">
        <f>IF(I37&lt;E37,E37/I37-1,I37/E37-1)</f>
        <v>4.1666666666666741E-2</v>
      </c>
      <c r="J44" s="627" t="str">
        <f>IF(OR(I44&gt;=0.3,I44&lt;=-0.3),"超过30%","")</f>
        <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2018-7</v>
      </c>
      <c r="D48" s="2806">
        <f>EDATE(C48,-1)</f>
        <v>43252</v>
      </c>
      <c r="E48" s="2806">
        <f t="shared" ref="E48:O48" si="16">EDATE(D48,-1)</f>
        <v>43221</v>
      </c>
      <c r="F48" s="2806">
        <f t="shared" si="16"/>
        <v>43191</v>
      </c>
      <c r="G48" s="2806">
        <f t="shared" si="16"/>
        <v>43160</v>
      </c>
      <c r="H48" s="2806">
        <f t="shared" si="16"/>
        <v>43132</v>
      </c>
      <c r="I48" s="2806">
        <f t="shared" si="16"/>
        <v>43101</v>
      </c>
      <c r="J48" s="2806">
        <f t="shared" si="16"/>
        <v>43070</v>
      </c>
      <c r="K48" s="2806">
        <f t="shared" si="16"/>
        <v>43040</v>
      </c>
      <c r="L48" s="2806">
        <f t="shared" si="16"/>
        <v>43009</v>
      </c>
      <c r="M48" s="2806">
        <f t="shared" si="16"/>
        <v>42979</v>
      </c>
      <c r="N48" s="2806">
        <f t="shared" si="16"/>
        <v>42948</v>
      </c>
      <c r="O48" s="2806">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住宅</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车库</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0(含)-50</v>
      </c>
      <c r="D90" s="708" t="str">
        <f t="shared" ref="D90:L90" si="21">D91&amp;"(含)"&amp;"-"&amp;E91</f>
        <v>50(含)-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v>0</v>
      </c>
      <c r="D91" s="730">
        <v>50</v>
      </c>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v>100</v>
      </c>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6" t="s">
        <v>798</v>
      </c>
      <c r="D4" s="3387"/>
      <c r="E4" s="3420" t="s">
        <v>799</v>
      </c>
      <c r="F4" s="3421"/>
      <c r="G4" s="3386" t="s">
        <v>800</v>
      </c>
      <c r="H4" s="3387"/>
      <c r="I4" s="3386" t="s">
        <v>801</v>
      </c>
      <c r="J4" s="3387"/>
      <c r="K4" s="514" t="s">
        <v>802</v>
      </c>
      <c r="L4" s="2135"/>
      <c r="M4" s="2136"/>
      <c r="N4" s="2136"/>
      <c r="O4" s="2136"/>
      <c r="P4" s="3388" t="s">
        <v>803</v>
      </c>
      <c r="Q4" s="3389"/>
      <c r="R4" s="3394" t="s">
        <v>799</v>
      </c>
      <c r="S4" s="3395"/>
      <c r="T4" s="3394" t="s">
        <v>800</v>
      </c>
      <c r="U4" s="3395"/>
      <c r="V4" s="3381" t="s">
        <v>801</v>
      </c>
      <c r="W4" s="3381"/>
      <c r="X4" s="1568"/>
      <c r="Y4" s="3394" t="s">
        <v>803</v>
      </c>
      <c r="Z4" s="3395"/>
      <c r="AA4" s="3383" t="s">
        <v>799</v>
      </c>
      <c r="AB4" s="3384" t="s">
        <v>800</v>
      </c>
      <c r="AC4" s="3383" t="s">
        <v>801</v>
      </c>
    </row>
    <row r="5" spans="1:29" ht="15">
      <c r="A5" s="515"/>
      <c r="B5" s="516"/>
      <c r="C5" s="3402" t="s">
        <v>2930</v>
      </c>
      <c r="D5" s="3403"/>
      <c r="E5" s="3422" t="s">
        <v>2931</v>
      </c>
      <c r="F5" s="3423"/>
      <c r="G5" s="3402" t="s">
        <v>2932</v>
      </c>
      <c r="H5" s="3403"/>
      <c r="I5" s="3402" t="s">
        <v>2933</v>
      </c>
      <c r="J5" s="3403"/>
      <c r="K5" s="514"/>
      <c r="L5" s="2135"/>
      <c r="M5" s="2136"/>
      <c r="N5" s="2136"/>
      <c r="O5" s="2136"/>
      <c r="P5" s="3390"/>
      <c r="Q5" s="3391"/>
      <c r="R5" s="3396"/>
      <c r="S5" s="3397"/>
      <c r="T5" s="3396"/>
      <c r="U5" s="3397"/>
      <c r="V5" s="3381"/>
      <c r="W5" s="3381"/>
      <c r="X5" s="1568"/>
      <c r="Y5" s="3396"/>
      <c r="Z5" s="3397"/>
      <c r="AA5" s="3384"/>
      <c r="AB5" s="3384"/>
      <c r="AC5" s="3384"/>
    </row>
    <row r="6" spans="1:29" ht="15.75" thickBot="1">
      <c r="A6" s="517"/>
      <c r="B6" s="518"/>
      <c r="C6" s="3400" t="s">
        <v>2934</v>
      </c>
      <c r="D6" s="3401"/>
      <c r="E6" s="3418" t="s">
        <v>2934</v>
      </c>
      <c r="F6" s="3419"/>
      <c r="G6" s="3400" t="s">
        <v>2934</v>
      </c>
      <c r="H6" s="3401"/>
      <c r="I6" s="3400" t="s">
        <v>2934</v>
      </c>
      <c r="J6" s="3401"/>
      <c r="K6" s="514" t="s">
        <v>528</v>
      </c>
      <c r="L6" s="2135"/>
      <c r="M6" s="2136"/>
      <c r="N6" s="2136"/>
      <c r="O6" s="2136"/>
      <c r="P6" s="3392"/>
      <c r="Q6" s="3393"/>
      <c r="R6" s="3396"/>
      <c r="S6" s="3397"/>
      <c r="T6" s="3398"/>
      <c r="U6" s="3399"/>
      <c r="V6" s="3381"/>
      <c r="W6" s="3381"/>
      <c r="X6" s="1568"/>
      <c r="Y6" s="3398"/>
      <c r="Z6" s="3399"/>
      <c r="AA6" s="3385"/>
      <c r="AB6" s="3385"/>
      <c r="AC6" s="3385"/>
    </row>
    <row r="7" spans="1:29" s="1220" customFormat="1" ht="15.75" thickBot="1">
      <c r="A7" s="2913"/>
      <c r="B7" s="2920" t="s">
        <v>529</v>
      </c>
      <c r="C7" s="519">
        <f>'数据-取费表'!B2</f>
        <v>43305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1" t="s">
        <v>530</v>
      </c>
      <c r="Q7" s="3413"/>
      <c r="R7" s="1569" t="s">
        <v>8</v>
      </c>
      <c r="S7" s="1570">
        <f t="shared" ref="S7:S14" si="0">F7</f>
        <v>0</v>
      </c>
      <c r="T7" s="1569" t="s">
        <v>8</v>
      </c>
      <c r="U7" s="1570">
        <f t="shared" ref="U7:U14" si="1">H7</f>
        <v>0</v>
      </c>
      <c r="V7" s="1569" t="s">
        <v>8</v>
      </c>
      <c r="W7" s="1570">
        <f t="shared" ref="W7:W14" si="2">J7</f>
        <v>0</v>
      </c>
      <c r="X7" s="1571"/>
      <c r="Y7" s="3411" t="s">
        <v>530</v>
      </c>
      <c r="Z7" s="3412"/>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1" t="s">
        <v>533</v>
      </c>
      <c r="Q8" s="3412"/>
      <c r="R8" s="1569" t="s">
        <v>8</v>
      </c>
      <c r="S8" s="1570">
        <f t="shared" si="0"/>
        <v>0</v>
      </c>
      <c r="T8" s="1569" t="s">
        <v>8</v>
      </c>
      <c r="U8" s="1570">
        <f t="shared" si="1"/>
        <v>0</v>
      </c>
      <c r="V8" s="1569" t="s">
        <v>8</v>
      </c>
      <c r="W8" s="1570">
        <f t="shared" si="2"/>
        <v>0</v>
      </c>
      <c r="X8" s="1571"/>
      <c r="Y8" s="3411" t="s">
        <v>533</v>
      </c>
      <c r="Z8" s="3412"/>
      <c r="AA8" s="1572" t="e">
        <f t="shared" ref="AA8:AA34" si="3">D8/F8</f>
        <v>#DIV/0!</v>
      </c>
      <c r="AB8" s="1572" t="e">
        <f t="shared" ref="AB8:AB34" si="4">D8/H8</f>
        <v>#DIV/0!</v>
      </c>
      <c r="AC8" s="1572" t="e">
        <f t="shared" ref="AC8:AC34" si="5">D8/J8</f>
        <v>#DIV/0!</v>
      </c>
    </row>
    <row r="9" spans="1:29" s="1220" customFormat="1" ht="15">
      <c r="A9" s="2915"/>
      <c r="B9" s="2922"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0" t="s">
        <v>535</v>
      </c>
      <c r="Q9" s="1151" t="str">
        <f t="shared" ref="Q9:Q14" si="6">B9</f>
        <v>用途</v>
      </c>
      <c r="R9" s="1569" t="s">
        <v>8</v>
      </c>
      <c r="S9" s="1570">
        <f t="shared" si="0"/>
        <v>100</v>
      </c>
      <c r="T9" s="1569" t="s">
        <v>8</v>
      </c>
      <c r="U9" s="1570">
        <f t="shared" si="1"/>
        <v>100</v>
      </c>
      <c r="V9" s="1569" t="s">
        <v>8</v>
      </c>
      <c r="W9" s="1570">
        <f t="shared" si="2"/>
        <v>100</v>
      </c>
      <c r="X9" s="1571"/>
      <c r="Y9" s="3326" t="s">
        <v>536</v>
      </c>
      <c r="Z9" s="1150" t="str">
        <f t="shared" ref="Z9:Z14" si="7">Q9</f>
        <v>用途</v>
      </c>
      <c r="AA9" s="1572">
        <f t="shared" si="3"/>
        <v>1</v>
      </c>
      <c r="AB9" s="1572">
        <f t="shared" si="4"/>
        <v>1</v>
      </c>
      <c r="AC9" s="1572">
        <f t="shared" si="5"/>
        <v>1</v>
      </c>
    </row>
    <row r="10" spans="1:29" s="1338" customFormat="1" ht="27">
      <c r="A10" s="2916"/>
      <c r="B10" s="2921"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0"/>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85.5">
      <c r="A14" s="2911"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4" t="s">
        <v>540</v>
      </c>
      <c r="Q14" s="1573" t="str">
        <f t="shared" si="6"/>
        <v>交通便捷度</v>
      </c>
      <c r="R14" s="1574" t="s">
        <v>8</v>
      </c>
      <c r="S14" s="1575">
        <f t="shared" si="0"/>
        <v>100</v>
      </c>
      <c r="T14" s="1574" t="s">
        <v>8</v>
      </c>
      <c r="U14" s="1575">
        <f t="shared" si="1"/>
        <v>100</v>
      </c>
      <c r="V14" s="1574" t="s">
        <v>8</v>
      </c>
      <c r="W14" s="1575">
        <f t="shared" si="2"/>
        <v>100</v>
      </c>
      <c r="X14" s="1568"/>
      <c r="Y14" s="341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15"/>
      <c r="Q15" s="1573"/>
      <c r="R15" s="1574"/>
      <c r="S15" s="1575"/>
      <c r="T15" s="1574"/>
      <c r="U15" s="1575"/>
      <c r="V15" s="1574"/>
      <c r="W15" s="1575"/>
      <c r="X15" s="1568"/>
      <c r="Y15" s="3415"/>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15"/>
      <c r="Q16" s="1573" t="str">
        <f>B16</f>
        <v>公共配套设施</v>
      </c>
      <c r="R16" s="1574" t="s">
        <v>8</v>
      </c>
      <c r="S16" s="1575">
        <f>F16</f>
        <v>100</v>
      </c>
      <c r="T16" s="1574" t="s">
        <v>8</v>
      </c>
      <c r="U16" s="1575">
        <f>H16</f>
        <v>100</v>
      </c>
      <c r="V16" s="1574" t="s">
        <v>8</v>
      </c>
      <c r="W16" s="1575">
        <f>J16</f>
        <v>100</v>
      </c>
      <c r="X16" s="1568"/>
      <c r="Y16" s="341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15"/>
      <c r="Q17" s="1573"/>
      <c r="R17" s="1574"/>
      <c r="S17" s="1575"/>
      <c r="T17" s="1574"/>
      <c r="U17" s="1575"/>
      <c r="V17" s="1574"/>
      <c r="W17" s="1575"/>
      <c r="X17" s="1568"/>
      <c r="Y17" s="3415"/>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15"/>
      <c r="Q18" s="2581" t="str">
        <f>B18</f>
        <v>基础设施水平</v>
      </c>
      <c r="R18" s="1574" t="s">
        <v>8</v>
      </c>
      <c r="S18" s="1575">
        <f>F18</f>
        <v>100</v>
      </c>
      <c r="T18" s="1574" t="s">
        <v>8</v>
      </c>
      <c r="U18" s="1575">
        <f>H18</f>
        <v>100</v>
      </c>
      <c r="V18" s="1574" t="s">
        <v>8</v>
      </c>
      <c r="W18" s="1575">
        <f>J18</f>
        <v>100</v>
      </c>
      <c r="X18" s="2583"/>
      <c r="Y18" s="3415"/>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15"/>
      <c r="Q19" s="2581"/>
      <c r="R19" s="1574"/>
      <c r="S19" s="1575"/>
      <c r="T19" s="1574"/>
      <c r="U19" s="1575"/>
      <c r="V19" s="1574"/>
      <c r="W19" s="1575"/>
      <c r="X19" s="2583"/>
      <c r="Y19" s="3415"/>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15"/>
      <c r="Q20" s="1573" t="str">
        <f>B20</f>
        <v>自然及人文环境</v>
      </c>
      <c r="R20" s="1574" t="s">
        <v>8</v>
      </c>
      <c r="S20" s="1575">
        <f>F20</f>
        <v>100</v>
      </c>
      <c r="T20" s="1574" t="s">
        <v>8</v>
      </c>
      <c r="U20" s="1575">
        <f>H20</f>
        <v>100</v>
      </c>
      <c r="V20" s="1574" t="s">
        <v>8</v>
      </c>
      <c r="W20" s="1575">
        <f>J20</f>
        <v>100</v>
      </c>
      <c r="X20" s="1568"/>
      <c r="Y20" s="341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15"/>
      <c r="Q21" s="1573"/>
      <c r="R21" s="1574"/>
      <c r="S21" s="1575"/>
      <c r="T21" s="1574"/>
      <c r="U21" s="1575"/>
      <c r="V21" s="1574"/>
      <c r="W21" s="1575"/>
      <c r="X21" s="1568"/>
      <c r="Y21" s="341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15"/>
      <c r="Q22" s="1573" t="str">
        <f>B22</f>
        <v>楼层</v>
      </c>
      <c r="R22" s="1574" t="s">
        <v>8</v>
      </c>
      <c r="S22" s="1575">
        <f>F22</f>
        <v>100</v>
      </c>
      <c r="T22" s="1574" t="s">
        <v>8</v>
      </c>
      <c r="U22" s="1575">
        <f>H22</f>
        <v>100</v>
      </c>
      <c r="V22" s="1574" t="s">
        <v>8</v>
      </c>
      <c r="W22" s="1575">
        <f>J22</f>
        <v>100</v>
      </c>
      <c r="X22" s="1568"/>
      <c r="Y22" s="341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15"/>
      <c r="Q23" s="1573">
        <f>B23</f>
        <v>111</v>
      </c>
      <c r="R23" s="1574" t="s">
        <v>8</v>
      </c>
      <c r="S23" s="1575">
        <f>F23</f>
        <v>100</v>
      </c>
      <c r="T23" s="1574" t="s">
        <v>8</v>
      </c>
      <c r="U23" s="1575">
        <f>H23</f>
        <v>100</v>
      </c>
      <c r="V23" s="1574" t="s">
        <v>8</v>
      </c>
      <c r="W23" s="1575">
        <f>J23</f>
        <v>100</v>
      </c>
      <c r="X23" s="1568"/>
      <c r="Y23" s="341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15"/>
      <c r="Q24" s="1573">
        <f t="shared" ref="Q24:Q34" si="11">B24</f>
        <v>111</v>
      </c>
      <c r="R24" s="1574" t="s">
        <v>8</v>
      </c>
      <c r="S24" s="1575">
        <f>F24</f>
        <v>100</v>
      </c>
      <c r="T24" s="1574" t="s">
        <v>8</v>
      </c>
      <c r="U24" s="1575">
        <f>H24</f>
        <v>100</v>
      </c>
      <c r="V24" s="1574" t="s">
        <v>8</v>
      </c>
      <c r="W24" s="1575">
        <f>J24</f>
        <v>100</v>
      </c>
      <c r="X24" s="1568"/>
      <c r="Y24" s="341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15"/>
      <c r="Q25" s="1151">
        <f t="shared" si="11"/>
        <v>111</v>
      </c>
      <c r="R25" s="1569" t="s">
        <v>8</v>
      </c>
      <c r="S25" s="1570">
        <f>F25</f>
        <v>100</v>
      </c>
      <c r="T25" s="1569" t="s">
        <v>8</v>
      </c>
      <c r="U25" s="1570">
        <f>H25</f>
        <v>100</v>
      </c>
      <c r="V25" s="1569" t="s">
        <v>8</v>
      </c>
      <c r="W25" s="1570">
        <f>J25</f>
        <v>100</v>
      </c>
      <c r="X25" s="1571"/>
      <c r="Y25" s="3415"/>
      <c r="Z25" s="1150">
        <f>Q25</f>
        <v>111</v>
      </c>
      <c r="AA25" s="1577">
        <f>D25/F25</f>
        <v>1</v>
      </c>
      <c r="AB25" s="1577">
        <f>D25/H25</f>
        <v>1</v>
      </c>
      <c r="AC25" s="1577">
        <f>D25/J25</f>
        <v>1</v>
      </c>
    </row>
    <row r="26" spans="1:29" ht="15">
      <c r="A26" s="2909"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1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17"/>
      <c r="Q27" s="1606" t="str">
        <f t="shared" si="11"/>
        <v>成新率</v>
      </c>
      <c r="R27" s="1578" t="s">
        <v>8</v>
      </c>
      <c r="S27" s="1579" t="e">
        <f t="shared" si="12"/>
        <v>#N/A</v>
      </c>
      <c r="T27" s="1578" t="s">
        <v>8</v>
      </c>
      <c r="U27" s="1579" t="e">
        <f t="shared" si="13"/>
        <v>#N/A</v>
      </c>
      <c r="V27" s="1578" t="s">
        <v>8</v>
      </c>
      <c r="W27" s="1579" t="e">
        <f t="shared" si="14"/>
        <v>#N/A</v>
      </c>
      <c r="X27" s="1580"/>
      <c r="Y27" s="341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17"/>
      <c r="Q28" s="1573" t="str">
        <f t="shared" si="11"/>
        <v>物业等级</v>
      </c>
      <c r="R28" s="1574" t="s">
        <v>8</v>
      </c>
      <c r="S28" s="1575">
        <f t="shared" si="12"/>
        <v>100</v>
      </c>
      <c r="T28" s="1574" t="s">
        <v>8</v>
      </c>
      <c r="U28" s="1575">
        <f t="shared" si="13"/>
        <v>100</v>
      </c>
      <c r="V28" s="1574" t="s">
        <v>8</v>
      </c>
      <c r="W28" s="1575">
        <f t="shared" si="14"/>
        <v>100</v>
      </c>
      <c r="X28" s="1568"/>
      <c r="Y28" s="341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17"/>
      <c r="Q29" s="1573" t="str">
        <f t="shared" si="11"/>
        <v>有无电梯</v>
      </c>
      <c r="R29" s="1574" t="s">
        <v>8</v>
      </c>
      <c r="S29" s="1575">
        <f t="shared" si="12"/>
        <v>100</v>
      </c>
      <c r="T29" s="1574" t="s">
        <v>8</v>
      </c>
      <c r="U29" s="1575">
        <f t="shared" si="13"/>
        <v>100</v>
      </c>
      <c r="V29" s="1574" t="s">
        <v>8</v>
      </c>
      <c r="W29" s="1575">
        <f t="shared" si="14"/>
        <v>100</v>
      </c>
      <c r="X29" s="1568"/>
      <c r="Y29" s="341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17"/>
      <c r="Q30" s="1573" t="str">
        <f t="shared" si="11"/>
        <v>建筑面积</v>
      </c>
      <c r="R30" s="1574" t="s">
        <v>8</v>
      </c>
      <c r="S30" s="1575" t="e">
        <f t="shared" si="12"/>
        <v>#N/A</v>
      </c>
      <c r="T30" s="1574" t="s">
        <v>8</v>
      </c>
      <c r="U30" s="1575" t="e">
        <f t="shared" si="13"/>
        <v>#N/A</v>
      </c>
      <c r="V30" s="1574" t="s">
        <v>8</v>
      </c>
      <c r="W30" s="1575" t="e">
        <f t="shared" si="14"/>
        <v>#N/A</v>
      </c>
      <c r="X30" s="1568"/>
      <c r="Y30" s="341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17"/>
      <c r="Q31" s="1151" t="str">
        <f t="shared" si="11"/>
        <v>是否封闭</v>
      </c>
      <c r="R31" s="1569" t="s">
        <v>8</v>
      </c>
      <c r="S31" s="1570">
        <f t="shared" si="12"/>
        <v>100</v>
      </c>
      <c r="T31" s="1569" t="s">
        <v>8</v>
      </c>
      <c r="U31" s="1570">
        <f t="shared" si="13"/>
        <v>100</v>
      </c>
      <c r="V31" s="1569" t="s">
        <v>8</v>
      </c>
      <c r="W31" s="1570">
        <f t="shared" si="14"/>
        <v>100</v>
      </c>
      <c r="X31" s="1571"/>
      <c r="Y31" s="341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17" t="s">
        <v>550</v>
      </c>
      <c r="Q32" s="1573">
        <f t="shared" si="11"/>
        <v>111</v>
      </c>
      <c r="R32" s="1574" t="s">
        <v>8</v>
      </c>
      <c r="S32" s="1575">
        <f t="shared" si="12"/>
        <v>100</v>
      </c>
      <c r="T32" s="1574" t="s">
        <v>8</v>
      </c>
      <c r="U32" s="1575">
        <f t="shared" si="13"/>
        <v>100</v>
      </c>
      <c r="V32" s="1574" t="s">
        <v>8</v>
      </c>
      <c r="W32" s="1575">
        <f t="shared" si="14"/>
        <v>100</v>
      </c>
      <c r="X32" s="1568"/>
      <c r="Y32" s="341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17"/>
      <c r="Q33" s="1573">
        <f t="shared" si="11"/>
        <v>111</v>
      </c>
      <c r="R33" s="1574" t="s">
        <v>8</v>
      </c>
      <c r="S33" s="1575">
        <f t="shared" si="12"/>
        <v>100</v>
      </c>
      <c r="T33" s="1574" t="s">
        <v>8</v>
      </c>
      <c r="U33" s="1575">
        <f t="shared" si="13"/>
        <v>100</v>
      </c>
      <c r="V33" s="1574" t="s">
        <v>8</v>
      </c>
      <c r="W33" s="1575">
        <f t="shared" si="14"/>
        <v>100</v>
      </c>
      <c r="X33" s="1568"/>
      <c r="Y33" s="341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17"/>
      <c r="Q34" s="1573">
        <f t="shared" si="11"/>
        <v>111</v>
      </c>
      <c r="R34" s="1574" t="s">
        <v>8</v>
      </c>
      <c r="S34" s="1575">
        <f t="shared" si="12"/>
        <v>100</v>
      </c>
      <c r="T34" s="1574" t="s">
        <v>8</v>
      </c>
      <c r="U34" s="1575">
        <f t="shared" si="13"/>
        <v>100</v>
      </c>
      <c r="V34" s="1574" t="s">
        <v>8</v>
      </c>
      <c r="W34" s="1575">
        <f t="shared" si="14"/>
        <v>100</v>
      </c>
      <c r="X34" s="1568"/>
      <c r="Y34" s="3417"/>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0" t="str">
        <f>A35</f>
        <v>成交单价（元/平方米）</v>
      </c>
      <c r="Q35" s="3380"/>
      <c r="R35" s="3493">
        <f>E35</f>
        <v>0</v>
      </c>
      <c r="S35" s="3493"/>
      <c r="T35" s="3493">
        <f>G35</f>
        <v>0</v>
      </c>
      <c r="U35" s="3493"/>
      <c r="V35" s="3493">
        <f>I35</f>
        <v>0</v>
      </c>
      <c r="W35" s="3493"/>
      <c r="X35" s="1560"/>
      <c r="Y35" s="1582"/>
      <c r="Z35" s="1560"/>
      <c r="AA35" s="1560"/>
      <c r="AB35" s="1560"/>
      <c r="AC35" s="1560"/>
    </row>
    <row r="36" spans="1:29" ht="15.75" thickBot="1">
      <c r="A36" s="615" t="s">
        <v>2761</v>
      </c>
      <c r="B36" s="888"/>
      <c r="C36" s="2635" t="e">
        <f>R37</f>
        <v>#DIV/0!</v>
      </c>
      <c r="D36" s="2636"/>
      <c r="E36" s="2637" t="e">
        <f>R36</f>
        <v>#DIV/0!</v>
      </c>
      <c r="F36" s="2637"/>
      <c r="G36" s="2635" t="e">
        <f>T36</f>
        <v>#DIV/0!</v>
      </c>
      <c r="H36" s="2636"/>
      <c r="I36" s="2637" t="e">
        <f>V36</f>
        <v>#DIV/0!</v>
      </c>
      <c r="J36" s="2636"/>
      <c r="K36" s="1613"/>
      <c r="L36" s="2146"/>
      <c r="M36" s="2147"/>
      <c r="N36" s="2136"/>
      <c r="O36" s="2147"/>
      <c r="P36" s="3380" t="str">
        <f>A36</f>
        <v>比较价格（元/平方米）</v>
      </c>
      <c r="Q36" s="3380"/>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377" t="str">
        <f>A37</f>
        <v>估价对象XX用房的比较价格（楼面单价，元/平方米）</v>
      </c>
      <c r="Q37" s="3378"/>
      <c r="R37" s="3492" t="e">
        <f>IF(F1="售价",ROUND(AVERAGE(R36:V36),0),ROUND(AVERAGE(R36:V36),1))</f>
        <v>#DIV/0!</v>
      </c>
      <c r="S37" s="3492"/>
      <c r="T37" s="3492"/>
      <c r="U37" s="3492"/>
      <c r="V37" s="3492"/>
      <c r="W37" s="349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2018-7</v>
      </c>
      <c r="D46" s="2806">
        <f>EDATE(C46,-1)</f>
        <v>43252</v>
      </c>
      <c r="E46" s="2806">
        <f t="shared" ref="E46:O46" si="16">EDATE(D46,-1)</f>
        <v>43221</v>
      </c>
      <c r="F46" s="2806">
        <f t="shared" si="16"/>
        <v>43191</v>
      </c>
      <c r="G46" s="2806">
        <f t="shared" si="16"/>
        <v>43160</v>
      </c>
      <c r="H46" s="2806">
        <f t="shared" si="16"/>
        <v>43132</v>
      </c>
      <c r="I46" s="2806">
        <f t="shared" si="16"/>
        <v>43101</v>
      </c>
      <c r="J46" s="2806">
        <f t="shared" si="16"/>
        <v>43070</v>
      </c>
      <c r="K46" s="2806">
        <f t="shared" si="16"/>
        <v>43040</v>
      </c>
      <c r="L46" s="2806">
        <f t="shared" si="16"/>
        <v>43009</v>
      </c>
      <c r="M46" s="2806">
        <f t="shared" si="16"/>
        <v>42979</v>
      </c>
      <c r="N46" s="2806">
        <f t="shared" si="16"/>
        <v>42948</v>
      </c>
      <c r="O46" s="2806">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受贵公司委托，我公司对广东省河源市出让国有建设用地使用权抵押价格进行了预评估。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河源市出让国有建设用地使用权。根据《国有土地使用证》[]，估价对象（分摊）出让国有建设用地使用权面积为47310.04平方米。根据《建设工程规划许可证》[]、《出让合同》[]，估价对象规划建筑面积为150957.27平方米。</v>
      </c>
    </row>
    <row r="7" spans="1:4" ht="93.75">
      <c r="A7" s="2875" t="s">
        <v>2749</v>
      </c>
    </row>
    <row r="8" spans="1:4" ht="18.75">
      <c r="A8" s="1796" t="s">
        <v>1907</v>
      </c>
    </row>
    <row r="9" spans="1:4" ht="75">
      <c r="A9" s="1798" t="str">
        <f>IF(项目基本情况!B8="抵押",IF(项目基本情况!B5=项目基本情况!B6,定义!C51,定义!B51),定义!D51)</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2018年7月24日（评估专业人员勘察现场之日）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根据《国有土地使用证》[粤（2017）河源市不动产权第0038838号]，本次评估估价对象证载（地类）用途为住宅、商服。</v>
      </c>
      <c r="C14" s="1783"/>
      <c r="D14" s="1784"/>
    </row>
    <row r="15" spans="1:4" ht="93.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根据《国有土地使用证》[]，估价对象（分摊）出让国有建设用地使用权面积为47310.04平方米。根据《建设工程规划许可证》[]、《出让合同》[]，估价对象规划建筑面积为150957.27平方米。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2750</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04" t="s">
        <v>2306</v>
      </c>
      <c r="D1" s="3505"/>
      <c r="E1" s="3505"/>
      <c r="F1" s="3505"/>
      <c r="G1" s="3505"/>
      <c r="H1" s="3505"/>
      <c r="I1" s="3505"/>
      <c r="J1" s="3505"/>
      <c r="K1" s="3505"/>
      <c r="L1" s="3505"/>
      <c r="M1" s="3505"/>
      <c r="N1" s="3505"/>
      <c r="O1" s="3505"/>
      <c r="P1" s="3505"/>
      <c r="Q1" s="3505"/>
      <c r="R1" s="3505"/>
      <c r="S1" s="3506"/>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01" t="s">
        <v>20</v>
      </c>
      <c r="D22" s="3502"/>
      <c r="E22" s="3502"/>
      <c r="F22" s="3502"/>
      <c r="G22" s="3502"/>
      <c r="H22" s="3502"/>
      <c r="I22" s="3502"/>
      <c r="J22" s="3502"/>
      <c r="K22" s="3502"/>
      <c r="L22" s="3502"/>
      <c r="M22" s="3502"/>
      <c r="N22" s="3502"/>
      <c r="O22" s="3502"/>
      <c r="P22" s="3502"/>
      <c r="Q22" s="350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2789</v>
      </c>
      <c r="C1" s="3005">
        <f>项目基本情况!D3</f>
        <v>43305</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2820</v>
      </c>
      <c r="C2" s="3006">
        <f>'数据-取费表'!B22</f>
        <v>2</v>
      </c>
      <c r="D2" s="3001" t="s">
        <v>2790</v>
      </c>
      <c r="E2" s="3004">
        <f ca="1">INDIRECT("I"&amp;$I$1)/100</f>
        <v>4.7500000000000001E-2</v>
      </c>
      <c r="G2" s="2941"/>
      <c r="H2" s="2941"/>
      <c r="I2" s="2941" t="s">
        <v>2791</v>
      </c>
      <c r="K2" s="2941"/>
      <c r="L2" s="2941"/>
      <c r="M2" s="2941"/>
      <c r="N2" s="2941" t="s">
        <v>2792</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2822</v>
      </c>
      <c r="C3" s="3003">
        <f>'数据-取费表'!B19</f>
        <v>0</v>
      </c>
      <c r="D3" s="3001" t="s">
        <v>2790</v>
      </c>
      <c r="E3" s="3004">
        <f ca="1">INDIRECT("J"&amp;$J$1)/100</f>
        <v>0</v>
      </c>
      <c r="G3" s="2943" t="s">
        <v>2793</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2821</v>
      </c>
      <c r="C4" s="3004">
        <f ca="1">N4/100</f>
        <v>1.4999999999999999E-2</v>
      </c>
      <c r="G4" s="2949" t="s">
        <v>2794</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2795</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2796</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2797</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2798</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2799</v>
      </c>
      <c r="C10" s="2968"/>
      <c r="D10" s="2968"/>
      <c r="E10" s="2968"/>
      <c r="F10" s="2968"/>
      <c r="G10" s="2968"/>
      <c r="H10" s="2968"/>
      <c r="I10" s="2942"/>
      <c r="J10" s="2942"/>
      <c r="K10" s="2968"/>
      <c r="L10" s="2969" t="s">
        <v>2800</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2801</v>
      </c>
      <c r="C11" s="2973" t="s">
        <v>2802</v>
      </c>
      <c r="D11" s="2974" t="s">
        <v>2803</v>
      </c>
      <c r="E11" s="2975"/>
      <c r="F11" s="2974" t="s">
        <v>2804</v>
      </c>
      <c r="G11" s="2976"/>
      <c r="H11" s="2975"/>
      <c r="I11" s="2974" t="s">
        <v>2805</v>
      </c>
      <c r="J11" s="2975"/>
      <c r="K11" s="2971"/>
      <c r="L11" s="2972" t="s">
        <v>2801</v>
      </c>
      <c r="M11" s="2973" t="s">
        <v>2802</v>
      </c>
      <c r="N11" s="2972" t="s">
        <v>2806</v>
      </c>
      <c r="O11" s="2974" t="s">
        <v>2807</v>
      </c>
      <c r="P11" s="2976"/>
      <c r="Q11" s="2976"/>
      <c r="R11" s="2976"/>
      <c r="S11" s="2976"/>
      <c r="T11" s="2975"/>
      <c r="U11" s="2974" t="s">
        <v>2808</v>
      </c>
      <c r="V11" s="2976"/>
      <c r="W11" s="2975"/>
      <c r="X11" s="2972" t="s">
        <v>2809</v>
      </c>
      <c r="Y11" s="2972" t="s">
        <v>2810</v>
      </c>
      <c r="Z11" s="2972" t="s">
        <v>2811</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2812</v>
      </c>
      <c r="E12" s="2981" t="s">
        <v>2813</v>
      </c>
      <c r="F12" s="2981" t="s">
        <v>2814</v>
      </c>
      <c r="G12" s="2981" t="s">
        <v>2815</v>
      </c>
      <c r="H12" s="2981" t="s">
        <v>2797</v>
      </c>
      <c r="I12" s="2982" t="s">
        <v>2816</v>
      </c>
      <c r="J12" s="2982" t="s">
        <v>2816</v>
      </c>
      <c r="K12" s="2978"/>
      <c r="L12" s="2979"/>
      <c r="M12" s="2980"/>
      <c r="N12" s="2979"/>
      <c r="O12" s="2982" t="s">
        <v>2817</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2818</v>
      </c>
      <c r="C13" s="2986">
        <v>42301</v>
      </c>
      <c r="D13" s="2987">
        <v>4.3499999999999996</v>
      </c>
      <c r="E13" s="2987">
        <v>4.3499999999999996</v>
      </c>
      <c r="F13" s="2987">
        <v>4.75</v>
      </c>
      <c r="G13" s="2987">
        <v>4.75</v>
      </c>
      <c r="H13" s="2987">
        <v>4.9000000000000004</v>
      </c>
      <c r="I13" s="2987">
        <v>2.75</v>
      </c>
      <c r="J13" s="2987">
        <v>3.25</v>
      </c>
      <c r="K13" s="2984"/>
      <c r="L13" s="2985" t="s">
        <v>2818</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2819</v>
      </c>
      <c r="Y42" s="2991" t="s">
        <v>2819</v>
      </c>
      <c r="Z42" s="2991" t="s">
        <v>2819</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2819</v>
      </c>
      <c r="Y43" s="2991" t="s">
        <v>2819</v>
      </c>
      <c r="Z43" s="2991" t="s">
        <v>2819</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2819</v>
      </c>
      <c r="Y44" s="2991" t="s">
        <v>2819</v>
      </c>
      <c r="Z44" s="2991" t="s">
        <v>2819</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2819</v>
      </c>
      <c r="Y45" s="2991" t="s">
        <v>2819</v>
      </c>
      <c r="Z45" s="2991" t="s">
        <v>2819</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2819</v>
      </c>
      <c r="Y46" s="2991" t="s">
        <v>2819</v>
      </c>
      <c r="Z46" s="2991" t="s">
        <v>2819</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2819</v>
      </c>
      <c r="Y47" s="2991" t="s">
        <v>2819</v>
      </c>
      <c r="Z47" s="2991" t="s">
        <v>2819</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2819</v>
      </c>
      <c r="Y48" s="2991" t="s">
        <v>2819</v>
      </c>
      <c r="Z48" s="2991" t="s">
        <v>2819</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2819</v>
      </c>
      <c r="Y49" s="2991" t="s">
        <v>2819</v>
      </c>
      <c r="Z49" s="2991" t="s">
        <v>2819</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2819</v>
      </c>
      <c r="Y50" s="2991" t="s">
        <v>2819</v>
      </c>
      <c r="Z50" s="2991" t="s">
        <v>2819</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2819</v>
      </c>
      <c r="V51" s="2991" t="s">
        <v>2819</v>
      </c>
      <c r="W51" s="2991" t="s">
        <v>2819</v>
      </c>
      <c r="X51" s="2991" t="s">
        <v>2819</v>
      </c>
      <c r="Y51" s="2991" t="s">
        <v>2819</v>
      </c>
      <c r="Z51" s="2991" t="s">
        <v>2819</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2819</v>
      </c>
      <c r="J55" s="2991" t="s">
        <v>2819</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2" sqref="N42"/>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2040</v>
      </c>
      <c r="B1" s="3216"/>
      <c r="C1" s="3216"/>
      <c r="D1" s="3216"/>
      <c r="E1" s="3216"/>
      <c r="F1" s="3216"/>
      <c r="G1" s="3216"/>
      <c r="H1" s="3216"/>
      <c r="I1" s="3216"/>
      <c r="J1" s="3216"/>
      <c r="K1" s="3216"/>
      <c r="L1" s="3216"/>
      <c r="M1" s="3216"/>
      <c r="N1" s="3216"/>
      <c r="O1" s="3216"/>
      <c r="P1" s="3216"/>
      <c r="Q1" s="3216"/>
      <c r="R1" s="3216"/>
    </row>
    <row r="2" spans="1:18">
      <c r="A2" s="1809" t="s">
        <v>2042</v>
      </c>
      <c r="B2" s="1809"/>
      <c r="C2" s="1809"/>
      <c r="D2" s="1809"/>
      <c r="E2" s="1809"/>
      <c r="F2" s="1809"/>
      <c r="G2" s="1809"/>
      <c r="H2" s="1809"/>
      <c r="I2" s="1810"/>
      <c r="J2" s="1810"/>
      <c r="K2" s="1811" t="str">
        <f>"估价期日："&amp;TEXT(项目基本情况!D3,"yyyy年m月d日;;")</f>
        <v>估价期日：2018年7月24日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7" t="s">
        <v>2031</v>
      </c>
      <c r="B3" s="3217" t="s">
        <v>2732</v>
      </c>
      <c r="C3" s="3218" t="s">
        <v>2032</v>
      </c>
      <c r="D3" s="3217" t="s">
        <v>2736</v>
      </c>
      <c r="E3" s="3220" t="s">
        <v>2033</v>
      </c>
      <c r="F3" s="3220"/>
      <c r="G3" s="3220"/>
      <c r="H3" s="3220" t="s">
        <v>2034</v>
      </c>
      <c r="I3" s="3220"/>
      <c r="J3" s="3220"/>
      <c r="K3" s="3218" t="s">
        <v>2035</v>
      </c>
      <c r="L3" s="3218" t="s">
        <v>2036</v>
      </c>
      <c r="M3" s="3217" t="s">
        <v>2733</v>
      </c>
      <c r="N3" s="3219" t="str">
        <f>"（分摊）"&amp;项目基本情况!B16&amp;"国有建设用地使用权面积/㎡"</f>
        <v>（分摊）出让国有建设用地使用权面积/㎡</v>
      </c>
      <c r="O3" s="3217" t="s">
        <v>2065</v>
      </c>
      <c r="P3" s="3218" t="s">
        <v>2045</v>
      </c>
      <c r="Q3" s="3218" t="s">
        <v>2066</v>
      </c>
      <c r="R3" s="3218" t="s">
        <v>2037</v>
      </c>
    </row>
    <row r="4" spans="1:18" ht="36.75" customHeight="1">
      <c r="A4" s="3217"/>
      <c r="B4" s="3217"/>
      <c r="C4" s="3218"/>
      <c r="D4" s="3217"/>
      <c r="E4" s="2651" t="s">
        <v>2044</v>
      </c>
      <c r="F4" s="2651" t="s">
        <v>2745</v>
      </c>
      <c r="G4" s="2651" t="s">
        <v>2038</v>
      </c>
      <c r="H4" s="2651" t="s">
        <v>2039</v>
      </c>
      <c r="I4" s="2651" t="s">
        <v>2746</v>
      </c>
      <c r="J4" s="2651" t="s">
        <v>2038</v>
      </c>
      <c r="K4" s="3218"/>
      <c r="L4" s="3218"/>
      <c r="M4" s="3217"/>
      <c r="N4" s="3219"/>
      <c r="O4" s="3217"/>
      <c r="P4" s="3218"/>
      <c r="Q4" s="3218"/>
      <c r="R4" s="3218"/>
    </row>
    <row r="5" spans="1:18" ht="135" customHeight="1">
      <c r="A5" s="1945" t="s">
        <v>2656</v>
      </c>
      <c r="B5" s="2869" t="s">
        <v>2654</v>
      </c>
      <c r="C5" s="2650">
        <v>22</v>
      </c>
      <c r="D5" s="2649" t="s">
        <v>2655</v>
      </c>
      <c r="E5" s="1812" t="str">
        <f>项目基本情况!B12</f>
        <v>住宅、商服</v>
      </c>
      <c r="F5" s="2649">
        <v>258</v>
      </c>
      <c r="G5" s="1812" t="str">
        <f>项目基本情况!B13</f>
        <v>住宅、商业、地下车库</v>
      </c>
      <c r="H5" s="2649">
        <v>1.5</v>
      </c>
      <c r="I5" s="2649">
        <v>1.5</v>
      </c>
      <c r="J5" s="2649">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47310.04</v>
      </c>
      <c r="O5" s="1812">
        <f>项目基本情况!C21</f>
        <v>150957.27000000002</v>
      </c>
      <c r="P5" s="1812">
        <f ca="1">结果表!E42</f>
        <v>7899</v>
      </c>
      <c r="Q5" s="1812">
        <f ca="1">结果表!D42</f>
        <v>2475</v>
      </c>
      <c r="R5" s="1813">
        <f ca="1">结果表!C42</f>
        <v>37369</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4">
        <f ca="1">结果表!O39</f>
        <v>37369</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4"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2" t="s">
        <v>2067</v>
      </c>
      <c r="B1" s="3222"/>
      <c r="C1" s="3222"/>
      <c r="D1" s="3222"/>
    </row>
    <row r="2" spans="1:4" ht="47.25" customHeight="1">
      <c r="A2" s="3223" t="str">
        <f>"1.权利限制："&amp;项目基本情况!L24&amp;"未设定租赁等其他他项权利。"</f>
        <v>1.权利限制：根据估价对象《不动产权证书》——、《国有土地使用权》复印件，截至估价期日，估价对象抵押权未见登记。未设定租赁等其他他项权利。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1" t="s">
        <v>2068</v>
      </c>
      <c r="B5" s="3221"/>
      <c r="C5" s="3221"/>
      <c r="D5" s="3221"/>
    </row>
    <row r="6" spans="1:4">
      <c r="A6" s="3222" t="s">
        <v>2046</v>
      </c>
      <c r="B6" s="3222"/>
      <c r="C6" s="3222"/>
      <c r="D6" s="3222"/>
    </row>
    <row r="7" spans="1:4" ht="33" customHeight="1">
      <c r="A7" s="3222" t="s">
        <v>2577</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（1）根据估价对象《不动产权证书》——、《国有土地使用权》复印件，截至估价期日，估价对象抵押权未见登记。</v>
      </c>
      <c r="B11" s="3224"/>
      <c r="C11" s="3224"/>
      <c r="D11" s="3224"/>
    </row>
    <row r="12" spans="1:4" ht="168" customHeight="1">
      <c r="A12" s="3221" t="s">
        <v>2070</v>
      </c>
      <c r="B12" s="3221"/>
      <c r="C12" s="3221"/>
      <c r="D12" s="3221"/>
    </row>
    <row r="13" spans="1:4">
      <c r="A13" s="3225" t="s">
        <v>2747</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2703</v>
      </c>
      <c r="B17" s="3222"/>
      <c r="C17" s="3222"/>
      <c r="D17" s="3222"/>
    </row>
    <row r="18" spans="1:4">
      <c r="A18" s="3222" t="s">
        <v>2695</v>
      </c>
      <c r="B18" s="3222"/>
      <c r="C18" s="3222"/>
      <c r="D18" s="3222"/>
    </row>
    <row r="19" spans="1:4">
      <c r="A19" s="2870" t="s">
        <v>2696</v>
      </c>
      <c r="B19" s="2870" t="s">
        <v>2697</v>
      </c>
      <c r="C19" s="2870" t="s">
        <v>2698</v>
      </c>
      <c r="D19" s="2870" t="s">
        <v>2699</v>
      </c>
    </row>
    <row r="20" spans="1:4">
      <c r="A20" s="2870" t="str">
        <f>项目基本情况!B4</f>
        <v>吴薇</v>
      </c>
      <c r="B20" s="2870">
        <f ca="1">项目基本情况!C4</f>
        <v>2002110125</v>
      </c>
      <c r="C20" s="2872"/>
      <c r="D20" s="1802" t="s">
        <v>2704</v>
      </c>
    </row>
    <row r="21" spans="1:4">
      <c r="A21" s="2870" t="str">
        <f>项目基本情况!D4</f>
        <v>郑燚</v>
      </c>
      <c r="B21" s="2870">
        <f>项目基本情况!E4</f>
        <v>2014110011</v>
      </c>
      <c r="C21" s="2872"/>
      <c r="D21" s="1802" t="s">
        <v>2705</v>
      </c>
    </row>
    <row r="23" spans="1:4">
      <c r="A23" s="3222" t="s">
        <v>2700</v>
      </c>
      <c r="B23" s="3222"/>
      <c r="C23" s="3222"/>
      <c r="D23" s="3222"/>
    </row>
    <row r="24" spans="1:4">
      <c r="A24" s="2870" t="s">
        <v>2696</v>
      </c>
      <c r="B24" s="2870" t="s">
        <v>2701</v>
      </c>
      <c r="C24" s="2870" t="s">
        <v>2698</v>
      </c>
      <c r="D24" s="2870" t="s">
        <v>2699</v>
      </c>
    </row>
    <row r="25" spans="1:4">
      <c r="A25" s="2873" t="s">
        <v>2702</v>
      </c>
      <c r="B25" s="2870" t="s">
        <v>952</v>
      </c>
      <c r="C25" s="2872"/>
      <c r="D25" s="1802" t="s">
        <v>2705</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3" t="s">
        <v>53</v>
      </c>
      <c r="B15" s="3234" t="s">
        <v>846</v>
      </c>
      <c r="C15" s="3230"/>
    </row>
    <row r="16" spans="1:7" ht="14.25">
      <c r="A16" s="3233"/>
      <c r="B16" s="3231" t="s">
        <v>54</v>
      </c>
      <c r="C16" s="1172" t="s">
        <v>53</v>
      </c>
    </row>
    <row r="17" spans="1:3" ht="14.25">
      <c r="A17" s="3233"/>
      <c r="B17" s="3231"/>
      <c r="C17" s="1172" t="s">
        <v>55</v>
      </c>
    </row>
    <row r="18" spans="1:3" ht="14.25">
      <c r="A18" s="3233"/>
      <c r="B18" s="3231"/>
      <c r="C18" s="1172" t="s">
        <v>56</v>
      </c>
    </row>
    <row r="19" spans="1:3" ht="14.25">
      <c r="A19" s="3233"/>
      <c r="B19" s="3229" t="s">
        <v>57</v>
      </c>
      <c r="C19" s="3230"/>
    </row>
    <row r="20" spans="1:3" ht="14.25">
      <c r="A20" s="1173" t="s">
        <v>58</v>
      </c>
      <c r="B20" s="1174"/>
      <c r="C20" s="1175"/>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6" t="s">
        <v>837</v>
      </c>
    </row>
    <row r="25" spans="1:3" ht="14.25">
      <c r="A25" s="3232"/>
      <c r="B25" s="3236"/>
      <c r="C25" s="1176" t="s">
        <v>838</v>
      </c>
    </row>
    <row r="26" spans="1:3" ht="14.25">
      <c r="A26" s="3232"/>
      <c r="B26" s="3236"/>
      <c r="C26" s="1176" t="s">
        <v>839</v>
      </c>
    </row>
    <row r="27" spans="1:3" ht="14.25">
      <c r="A27" s="3232"/>
      <c r="B27" s="3236"/>
      <c r="C27" s="1176" t="s">
        <v>840</v>
      </c>
    </row>
    <row r="28" spans="1:3" ht="14.25">
      <c r="A28" s="3232"/>
      <c r="B28" s="3236"/>
      <c r="C28" s="1176" t="s">
        <v>841</v>
      </c>
    </row>
    <row r="29" spans="1:3" ht="14.25">
      <c r="A29" s="3232"/>
      <c r="B29" s="3236"/>
      <c r="C29" s="1176" t="s">
        <v>842</v>
      </c>
    </row>
    <row r="30" spans="1:3" ht="14.25">
      <c r="A30" s="3232"/>
      <c r="B30" s="3236"/>
      <c r="C30" s="1176" t="s">
        <v>843</v>
      </c>
    </row>
    <row r="31" spans="1:3" ht="14.25">
      <c r="A31" s="3232"/>
      <c r="B31" s="3236"/>
      <c r="C31" s="1176" t="s">
        <v>844</v>
      </c>
    </row>
    <row r="32" spans="1:3" ht="14.25">
      <c r="A32" s="3232"/>
      <c r="B32" s="3236"/>
      <c r="C32" s="1176" t="s">
        <v>1647</v>
      </c>
    </row>
    <row r="33" spans="1:3" ht="14.25">
      <c r="A33" s="3232"/>
      <c r="B33" s="3226" t="s">
        <v>1653</v>
      </c>
      <c r="C33" s="1176" t="s">
        <v>1648</v>
      </c>
    </row>
    <row r="34" spans="1:3" ht="14.25">
      <c r="A34" s="3232"/>
      <c r="B34" s="3227"/>
      <c r="C34" s="1181" t="s">
        <v>1649</v>
      </c>
    </row>
    <row r="35" spans="1:3" ht="14.25">
      <c r="A35" s="3232"/>
      <c r="B35" s="3227"/>
      <c r="C35" s="1182" t="s">
        <v>1650</v>
      </c>
    </row>
    <row r="36" spans="1:3" ht="14.25">
      <c r="A36" s="3232"/>
      <c r="B36" s="3227"/>
      <c r="C36" s="1182" t="s">
        <v>1651</v>
      </c>
    </row>
    <row r="37" spans="1:3" ht="14.25">
      <c r="A37" s="3232"/>
      <c r="B37" s="322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43315</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43359</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2980</v>
      </c>
      <c r="B12" s="2345">
        <v>1120110054</v>
      </c>
      <c r="C12" s="3007">
        <v>43937</v>
      </c>
      <c r="D12" s="2345" t="s">
        <v>2980</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2576</v>
      </c>
      <c r="B15" s="2345">
        <v>1120070085</v>
      </c>
      <c r="C15" s="3007">
        <v>43814</v>
      </c>
      <c r="D15" s="2345" t="s">
        <v>2576</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2055</v>
      </c>
      <c r="B24" s="2347" t="s">
        <v>2055</v>
      </c>
      <c r="C24" s="3007"/>
      <c r="D24" s="3009" t="s">
        <v>2055</v>
      </c>
      <c r="E24" s="2347" t="s">
        <v>2055</v>
      </c>
      <c r="F24" s="2348"/>
    </row>
    <row r="25" spans="1:7" ht="20.25" customHeight="1">
      <c r="A25" s="3237" t="s">
        <v>1929</v>
      </c>
      <c r="B25" s="3237"/>
      <c r="C25" s="3237"/>
      <c r="D25" s="3237"/>
      <c r="E25" s="3237"/>
      <c r="F25" s="3237"/>
      <c r="G25" s="3237"/>
    </row>
    <row r="26" spans="1:7" ht="20.25" customHeight="1">
      <c r="A26" s="3238" t="s">
        <v>1930</v>
      </c>
      <c r="B26" s="3238"/>
      <c r="C26" s="3238"/>
      <c r="D26" s="3238" t="s">
        <v>1931</v>
      </c>
      <c r="E26" s="3238"/>
      <c r="F26" s="3238"/>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2958</v>
      </c>
      <c r="C18" s="1555"/>
    </row>
    <row r="19" spans="1:3">
      <c r="A19" s="8" t="s">
        <v>120</v>
      </c>
      <c r="B19" s="3113" t="s">
        <v>2966</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39"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c r="D53" s="1769"/>
      <c r="E53" s="1769"/>
    </row>
    <row r="54" spans="1:5">
      <c r="A54" s="3239"/>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9"/>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9"/>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9"/>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2018-08-03T05:09:07Z</dcterms:modified>
</cp:coreProperties>
</file>