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47-建材路21世纪大厦4号楼\"/>
    </mc:Choice>
  </mc:AlternateContent>
  <xr:revisionPtr revIDLastSave="0" documentId="13_ncr:1_{54724543-D153-4F46-B505-CB8D25DC939B}" xr6:coauthVersionLast="47" xr6:coauthVersionMax="47" xr10:uidLastSave="{00000000-0000-0000-0000-000000000000}"/>
  <bookViews>
    <workbookView xWindow="-108" yWindow="-108" windowWidth="23256" windowHeight="12576"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80" state="hidden" r:id="rId20"/>
    <sheet name="成本法 (元)-fei" sheetId="69" state="hidden" r:id="rId21"/>
    <sheet name="比较法-办公" sheetId="34"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成本法" sheetId="68"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45">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收益法!$A$1:$F$52,收益法!$H$3:$M$36,收益法!$A$54:$F$82,收益法!$I$54:$N$73</definedName>
    <definedName name="_xlnm.Print_Area" localSheetId="23">'收益法 (元)'!$A$1:$F$51,'收益法 (元)'!$H$3:$M$35,'收益法 (元)'!$A$53:$F$81,'收益法 (元)'!$I$53:$N$72</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67" i="34" l="1"/>
  <c r="E67" i="34" s="1"/>
  <c r="F67" i="34" s="1"/>
  <c r="G67" i="34" s="1"/>
  <c r="W20" i="1" l="1"/>
  <c r="U20" i="1"/>
  <c r="G19" i="6"/>
  <c r="D105" i="34"/>
  <c r="E105" i="34" s="1"/>
  <c r="F105" i="34" s="1"/>
  <c r="E128" i="34" l="1"/>
  <c r="D128" i="34" s="1"/>
  <c r="C128" i="34" s="1"/>
  <c r="D40" i="43"/>
  <c r="J57" i="15" l="1"/>
  <c r="N19" i="1"/>
  <c r="I37" i="34"/>
  <c r="G37" i="34"/>
  <c r="E37" i="34"/>
  <c r="C37" i="34"/>
  <c r="J18" i="1"/>
  <c r="N6" i="1"/>
  <c r="Y6" i="1" s="1"/>
  <c r="B21" i="1"/>
  <c r="F19" i="6"/>
  <c r="I13" i="3"/>
  <c r="U19" i="1" s="1"/>
  <c r="U21" i="1" l="1"/>
  <c r="W21" i="1" s="1"/>
  <c r="W22" i="1" s="1"/>
  <c r="U6"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56" i="77" l="1"/>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c r="C23" i="71" s="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C63" i="71" s="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X35" i="71" s="1"/>
  <c r="F38" i="71"/>
  <c r="F39"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C34" i="71" s="1"/>
  <c r="N33" i="7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E30" i="71"/>
  <c r="B34" i="71"/>
  <c r="N68" i="71"/>
  <c r="E34" i="71"/>
  <c r="E35" i="71" s="1"/>
  <c r="E36" i="71" s="1"/>
  <c r="U36" i="71" s="1"/>
  <c r="C38" i="71"/>
  <c r="D38" i="71" s="1"/>
  <c r="C28" i="71"/>
  <c r="T28" i="71" s="1"/>
  <c r="B28" i="71"/>
  <c r="P28" i="71"/>
  <c r="E28" i="71" s="1"/>
  <c r="E59" i="71"/>
  <c r="E60" i="71" s="1"/>
  <c r="U60" i="71" s="1"/>
  <c r="U68" i="71"/>
  <c r="E67" i="71"/>
  <c r="Q28" i="71"/>
  <c r="F28" i="71" s="1"/>
  <c r="F27" i="71" s="1"/>
  <c r="F26" i="71" s="1"/>
  <c r="C59" i="71"/>
  <c r="D59" i="71" s="1"/>
  <c r="D62" i="71"/>
  <c r="C71" i="71"/>
  <c r="D71" i="71" s="1"/>
  <c r="E71" i="71"/>
  <c r="E70" i="71" s="1"/>
  <c r="C79" i="71"/>
  <c r="D79" i="71" s="1"/>
  <c r="E79" i="71"/>
  <c r="E78" i="71" s="1"/>
  <c r="D80" i="71"/>
  <c r="D28" i="71"/>
  <c r="U28" i="71" s="1"/>
  <c r="C70" i="71"/>
  <c r="D70"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77" i="43"/>
  <c r="B57" i="43"/>
  <c r="S18" i="36"/>
  <c r="H27" i="40"/>
  <c r="AB27" i="40" s="1"/>
  <c r="J27" i="40"/>
  <c r="H31" i="39"/>
  <c r="AB31" i="39" s="1"/>
  <c r="J31" i="39"/>
  <c r="AC31" i="39" s="1"/>
  <c r="J18" i="36"/>
  <c r="AC18" i="36" s="1"/>
  <c r="H18" i="35"/>
  <c r="AB18" i="35" s="1"/>
  <c r="J18" i="35"/>
  <c r="W18" i="35" s="1"/>
  <c r="H21" i="37"/>
  <c r="AB21" i="37" s="1"/>
  <c r="F21" i="37"/>
  <c r="H21" i="34"/>
  <c r="AB21" i="34" s="1"/>
  <c r="H21" i="33"/>
  <c r="U21" i="33" s="1"/>
  <c r="F21" i="33"/>
  <c r="AA21" i="33" s="1"/>
  <c r="H1" i="69"/>
  <c r="AC27" i="40"/>
  <c r="W27" i="40"/>
  <c r="W18" i="36"/>
  <c r="S21" i="33"/>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c r="F111" i="33"/>
  <c r="G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c r="AA40" i="40" s="1"/>
  <c r="D117" i="40"/>
  <c r="E117" i="40" s="1"/>
  <c r="F117" i="40"/>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H25" i="37"/>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Q30" i="37"/>
  <c r="Z30" i="37"/>
  <c r="J30" i="37"/>
  <c r="AC30" i="37" s="1"/>
  <c r="H30" i="37"/>
  <c r="F30" i="37"/>
  <c r="AA30" i="37" s="1"/>
  <c r="Q29" i="37"/>
  <c r="Z29" i="37"/>
  <c r="H29" i="37"/>
  <c r="Q28" i="37"/>
  <c r="Z28" i="37"/>
  <c r="Q27" i="37"/>
  <c r="Z27" i="37" s="1"/>
  <c r="Q26" i="37"/>
  <c r="Z26" i="37" s="1"/>
  <c r="Q25" i="37"/>
  <c r="Z25" i="37"/>
  <c r="J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c r="J28" i="36"/>
  <c r="Q27" i="36"/>
  <c r="Z27" i="36" s="1"/>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F13" i="35" s="1"/>
  <c r="B59" i="35"/>
  <c r="B131" i="34"/>
  <c r="B129" i="34"/>
  <c r="B127" i="34"/>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J12" i="33"/>
  <c r="AC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c r="Q42" i="34"/>
  <c r="Z42" i="34"/>
  <c r="Q41" i="34"/>
  <c r="Z41" i="34" s="1"/>
  <c r="Q40" i="34"/>
  <c r="Z40" i="34" s="1"/>
  <c r="Q39" i="34"/>
  <c r="Z39" i="34" s="1"/>
  <c r="H39" i="34"/>
  <c r="AB39" i="34" s="1"/>
  <c r="Q38" i="34"/>
  <c r="Z38" i="34" s="1"/>
  <c r="Q37" i="34"/>
  <c r="Z37" i="34" s="1"/>
  <c r="Q36" i="34"/>
  <c r="Z36" i="34"/>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9" i="34"/>
  <c r="AC9" i="34" s="1"/>
  <c r="H9" i="34"/>
  <c r="AB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s="1"/>
  <c r="Q39" i="33"/>
  <c r="Z39" i="33"/>
  <c r="J39" i="33"/>
  <c r="AC39" i="33" s="1"/>
  <c r="Q38" i="33"/>
  <c r="Z38" i="33"/>
  <c r="J38" i="33"/>
  <c r="AC38" i="33" s="1"/>
  <c r="H38" i="33"/>
  <c r="AB38" i="33" s="1"/>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Q14" i="33"/>
  <c r="Z14" i="33" s="1"/>
  <c r="Q13" i="33"/>
  <c r="Z13" i="33" s="1"/>
  <c r="Q12" i="33"/>
  <c r="Z12" i="33" s="1"/>
  <c r="Q11" i="33"/>
  <c r="Z11" i="33"/>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F45" i="21" s="1"/>
  <c r="J45" i="21"/>
  <c r="W45" i="21" s="1"/>
  <c r="B126" i="21"/>
  <c r="B98" i="21"/>
  <c r="H31" i="21"/>
  <c r="B96" i="21"/>
  <c r="B94" i="21"/>
  <c r="J29" i="21" s="1"/>
  <c r="AC29" i="21" s="1"/>
  <c r="B92" i="21"/>
  <c r="H28" i="21" s="1"/>
  <c r="AB28" i="21" s="1"/>
  <c r="B90"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J10" i="21"/>
  <c r="AC10" i="21" s="1"/>
  <c r="H26" i="21"/>
  <c r="AB26" i="21" s="1"/>
  <c r="AB19" i="21"/>
  <c r="J19" i="21"/>
  <c r="W19" i="21" s="1"/>
  <c r="J26" i="21"/>
  <c r="W26" i="21" s="1"/>
  <c r="F26" i="21"/>
  <c r="S26" i="2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W22" i="35"/>
  <c r="S31" i="35"/>
  <c r="U34" i="35"/>
  <c r="F36" i="34"/>
  <c r="S36" i="34" s="1"/>
  <c r="J35" i="34"/>
  <c r="W35" i="34" s="1"/>
  <c r="H39" i="33"/>
  <c r="F26" i="33"/>
  <c r="AA26" i="33" s="1"/>
  <c r="U33" i="33"/>
  <c r="U35" i="33"/>
  <c r="S40" i="33"/>
  <c r="W33" i="33"/>
  <c r="W39" i="33"/>
  <c r="S27" i="35"/>
  <c r="F13" i="40"/>
  <c r="AA13" i="40" s="1"/>
  <c r="H13" i="40"/>
  <c r="AB13" i="40" s="1"/>
  <c r="AA11" i="40"/>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AB32" i="33"/>
  <c r="H11" i="21"/>
  <c r="U11" i="21" s="1"/>
  <c r="J11" i="21"/>
  <c r="W11" i="21" s="1"/>
  <c r="H39" i="40"/>
  <c r="H38" i="40"/>
  <c r="AB38" i="40" s="1"/>
  <c r="F37" i="40"/>
  <c r="AA37" i="40" s="1"/>
  <c r="H25" i="40"/>
  <c r="AB25" i="40" s="1"/>
  <c r="H19" i="40"/>
  <c r="U19" i="40" s="1"/>
  <c r="J17" i="40"/>
  <c r="W17" i="40" s="1"/>
  <c r="J13" i="40"/>
  <c r="W13" i="40" s="1"/>
  <c r="AB10" i="39"/>
  <c r="S46" i="39"/>
  <c r="F39" i="39"/>
  <c r="J34" i="36"/>
  <c r="W34" i="36" s="1"/>
  <c r="U30" i="36"/>
  <c r="J30" i="35"/>
  <c r="W30" i="35" s="1"/>
  <c r="H30" i="35"/>
  <c r="AB30" i="35" s="1"/>
  <c r="F22" i="35"/>
  <c r="H10" i="35"/>
  <c r="U10" i="35" s="1"/>
  <c r="F33" i="36"/>
  <c r="AA33" i="36"/>
  <c r="W30" i="36"/>
  <c r="H16" i="36"/>
  <c r="AB16" i="36" s="1"/>
  <c r="J29" i="36"/>
  <c r="AC29"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H17" i="34"/>
  <c r="F15" i="34"/>
  <c r="AA15" i="34" s="1"/>
  <c r="H15" i="34"/>
  <c r="AB15" i="34" s="1"/>
  <c r="J28" i="34"/>
  <c r="W28"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AB42" i="34"/>
  <c r="J40" i="34"/>
  <c r="AC40" i="34" s="1"/>
  <c r="H38" i="34"/>
  <c r="AB38" i="34" s="1"/>
  <c r="J36" i="34"/>
  <c r="W36" i="34" s="1"/>
  <c r="H37" i="34"/>
  <c r="U37" i="34" s="1"/>
  <c r="H25" i="34"/>
  <c r="AB25" i="34" s="1"/>
  <c r="J25" i="34"/>
  <c r="AC25" i="34" s="1"/>
  <c r="F23" i="34"/>
  <c r="AA23" i="34" s="1"/>
  <c r="F17" i="34"/>
  <c r="AA17" i="34" s="1"/>
  <c r="J17" i="34"/>
  <c r="W17" i="34" s="1"/>
  <c r="H37" i="33"/>
  <c r="AB37" i="33"/>
  <c r="H15" i="33"/>
  <c r="AB15" i="33" s="1"/>
  <c r="H11" i="33"/>
  <c r="AB11" i="33" s="1"/>
  <c r="F30" i="40"/>
  <c r="AA30" i="40" s="1"/>
  <c r="AA42" i="34"/>
  <c r="AC38" i="34"/>
  <c r="J37" i="34"/>
  <c r="AC37" i="34" s="1"/>
  <c r="J11" i="33"/>
  <c r="W11" i="33" s="1"/>
  <c r="I123" i="21"/>
  <c r="J123" i="21" s="1"/>
  <c r="K123" i="21" s="1"/>
  <c r="L123" i="21" s="1"/>
  <c r="M123" i="21" s="1"/>
  <c r="J42" i="21"/>
  <c r="AC42" i="21" s="1"/>
  <c r="H42" i="21"/>
  <c r="U42" i="21" s="1"/>
  <c r="J44" i="34"/>
  <c r="W44" i="34" s="1"/>
  <c r="F44" i="34"/>
  <c r="AA44" i="34" s="1"/>
  <c r="J10" i="35"/>
  <c r="AC10" i="35" s="1"/>
  <c r="F28" i="21"/>
  <c r="AA28" i="21" s="1"/>
  <c r="J28" i="21"/>
  <c r="J30" i="21"/>
  <c r="AC30" i="21" s="1"/>
  <c r="J44" i="21"/>
  <c r="H44" i="21"/>
  <c r="U44" i="21" s="1"/>
  <c r="F44" i="21"/>
  <c r="AA44" i="21" s="1"/>
  <c r="J46" i="21"/>
  <c r="H26" i="33"/>
  <c r="U26" i="33"/>
  <c r="H28" i="33"/>
  <c r="U28" i="33" s="1"/>
  <c r="F28" i="33"/>
  <c r="AA28" i="33" s="1"/>
  <c r="J28" i="33"/>
  <c r="W28" i="33" s="1"/>
  <c r="F33" i="35"/>
  <c r="AA33" i="35" s="1"/>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46" i="33"/>
  <c r="H13" i="34"/>
  <c r="U13" i="34" s="1"/>
  <c r="J13" i="34"/>
  <c r="W13" i="34" s="1"/>
  <c r="F13" i="34"/>
  <c r="J31" i="34"/>
  <c r="H31" i="34"/>
  <c r="F31" i="34"/>
  <c r="S31" i="34" s="1"/>
  <c r="H45" i="34"/>
  <c r="U45" i="34" s="1"/>
  <c r="J45" i="34"/>
  <c r="W45" i="34" s="1"/>
  <c r="F45" i="34"/>
  <c r="S45" i="34" s="1"/>
  <c r="H47" i="34"/>
  <c r="U47" i="34"/>
  <c r="F47" i="34"/>
  <c r="J47" i="34"/>
  <c r="AC47" i="34" s="1"/>
  <c r="J25" i="35"/>
  <c r="W25" i="35"/>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c r="J37" i="40"/>
  <c r="AC37" i="40" s="1"/>
  <c r="J39" i="40"/>
  <c r="AC39" i="40" s="1"/>
  <c r="H15" i="40"/>
  <c r="U15" i="40" s="1"/>
  <c r="J15" i="40"/>
  <c r="F14" i="37"/>
  <c r="F27" i="37"/>
  <c r="AA27" i="37" s="1"/>
  <c r="F15" i="39"/>
  <c r="J15" i="39"/>
  <c r="W15" i="39" s="1"/>
  <c r="H15" i="39"/>
  <c r="H16" i="40"/>
  <c r="U16" i="40" s="1"/>
  <c r="J16" i="40"/>
  <c r="W16" i="40" s="1"/>
  <c r="F16" i="40"/>
  <c r="AA16" i="40"/>
  <c r="J14" i="37"/>
  <c r="J27" i="37"/>
  <c r="AC27" i="37" s="1"/>
  <c r="J36" i="37"/>
  <c r="W36" i="37" s="1"/>
  <c r="AC36" i="37"/>
  <c r="J10" i="36"/>
  <c r="AC10" i="36" s="1"/>
  <c r="AB26" i="33"/>
  <c r="S11" i="36"/>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AZ554" i="3" s="1"/>
  <c r="BL574" i="3"/>
  <c r="BL556" i="3"/>
  <c r="BL552" i="3"/>
  <c r="G533" i="3"/>
  <c r="G493" i="3"/>
  <c r="BA576" i="3"/>
  <c r="BA564" i="3"/>
  <c r="BA560" i="3"/>
  <c r="AZ560" i="3" s="1"/>
  <c r="BA558" i="3"/>
  <c r="AZ558" i="3" s="1"/>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AZ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3" i="40"/>
  <c r="H33" i="40"/>
  <c r="U33" i="40" s="1"/>
  <c r="F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U26" i="37"/>
  <c r="W47" i="34"/>
  <c r="W44" i="33"/>
  <c r="U11" i="33"/>
  <c r="U19" i="21"/>
  <c r="AB38" i="21"/>
  <c r="F43" i="33"/>
  <c r="AA43" i="33" s="1"/>
  <c r="W16" i="35"/>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S16" i="40"/>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AZ308" i="3" s="1"/>
  <c r="BA309" i="3"/>
  <c r="BL309" i="3"/>
  <c r="G310" i="3"/>
  <c r="BA311" i="3"/>
  <c r="G319" i="3"/>
  <c r="BL320" i="3"/>
  <c r="G321" i="3"/>
  <c r="BL322" i="3"/>
  <c r="BA324" i="3"/>
  <c r="AZ324" i="3" s="1"/>
  <c r="BA325" i="3"/>
  <c r="AZ325" i="3" s="1"/>
  <c r="G326" i="3"/>
  <c r="BA327" i="3"/>
  <c r="G335" i="3"/>
  <c r="BL336" i="3"/>
  <c r="G337" i="3"/>
  <c r="BL338" i="3"/>
  <c r="BA340" i="3"/>
  <c r="AZ340" i="3" s="1"/>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204" i="3" s="1"/>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AZ349" i="3" s="1"/>
  <c r="BL352" i="3"/>
  <c r="G353" i="3"/>
  <c r="BA357" i="3"/>
  <c r="BL358" i="3"/>
  <c r="G359" i="3"/>
  <c r="BA361" i="3"/>
  <c r="AZ361" i="3" s="1"/>
  <c r="BL362" i="3"/>
  <c r="AZ362" i="3" s="1"/>
  <c r="G363" i="3"/>
  <c r="BA365" i="3"/>
  <c r="BL366" i="3"/>
  <c r="G367" i="3"/>
  <c r="BA369" i="3"/>
  <c r="BL370" i="3"/>
  <c r="G371" i="3"/>
  <c r="BA373" i="3"/>
  <c r="AZ373" i="3"/>
  <c r="BL374" i="3"/>
  <c r="G375" i="3"/>
  <c r="BA377" i="3"/>
  <c r="BA379" i="3"/>
  <c r="AZ379" i="3" s="1"/>
  <c r="BL380" i="3"/>
  <c r="AZ380" i="3" s="1"/>
  <c r="G381" i="3"/>
  <c r="BA383" i="3"/>
  <c r="BL384" i="3"/>
  <c r="G385" i="3"/>
  <c r="BA387" i="3"/>
  <c r="AZ387" i="3" s="1"/>
  <c r="BL388" i="3"/>
  <c r="G389" i="3"/>
  <c r="BA391" i="3"/>
  <c r="AZ391" i="3" s="1"/>
  <c r="BL392" i="3"/>
  <c r="AZ392" i="3" s="1"/>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F33" i="34"/>
  <c r="H20" i="36"/>
  <c r="J20" i="36"/>
  <c r="W20" i="36" s="1"/>
  <c r="J27" i="36"/>
  <c r="W27" i="36" s="1"/>
  <c r="AB25" i="37"/>
  <c r="AC35" i="40"/>
  <c r="F113" i="40"/>
  <c r="G113" i="40" s="1"/>
  <c r="H113" i="40" s="1"/>
  <c r="I113" i="40" s="1"/>
  <c r="J113" i="40" s="1"/>
  <c r="K113" i="40" s="1"/>
  <c r="L113" i="40" s="1"/>
  <c r="M113" i="40" s="1"/>
  <c r="H37" i="40"/>
  <c r="AB37" i="40" s="1"/>
  <c r="AC29" i="35"/>
  <c r="W29" i="35"/>
  <c r="H35" i="37"/>
  <c r="AC14" i="35"/>
  <c r="H20" i="35"/>
  <c r="U20" i="35"/>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AB33" i="34" s="1"/>
  <c r="F32" i="37"/>
  <c r="AA32" i="37" s="1"/>
  <c r="F20" i="36"/>
  <c r="AA20" i="36" s="1"/>
  <c r="J33" i="34"/>
  <c r="AC33" i="34" s="1"/>
  <c r="H25" i="39"/>
  <c r="U25" i="39" s="1"/>
  <c r="M52" i="9"/>
  <c r="K9" i="1"/>
  <c r="M9" i="1" s="1"/>
  <c r="AC26" i="33"/>
  <c r="W26" i="33"/>
  <c r="W27" i="34"/>
  <c r="AB34" i="36"/>
  <c r="U34" i="36"/>
  <c r="AB33" i="36"/>
  <c r="U33" i="36"/>
  <c r="AC41" i="40"/>
  <c r="W41" i="40"/>
  <c r="W12" i="33"/>
  <c r="BL14" i="3"/>
  <c r="AC13" i="34"/>
  <c r="W28" i="37"/>
  <c r="S21" i="39"/>
  <c r="F12" i="33"/>
  <c r="AA12" i="33" s="1"/>
  <c r="F41" i="40"/>
  <c r="AA41" i="40" s="1"/>
  <c r="BA14" i="3"/>
  <c r="B12" i="1"/>
  <c r="E12" i="1" s="1"/>
  <c r="B10" i="1"/>
  <c r="E10" i="1" s="1"/>
  <c r="K12" i="1"/>
  <c r="M12" i="1" s="1"/>
  <c r="S13" i="1"/>
  <c r="AR13" i="1" s="1"/>
  <c r="R13" i="1"/>
  <c r="J51" i="67"/>
  <c r="S37" i="40"/>
  <c r="AC38" i="40"/>
  <c r="W40" i="40"/>
  <c r="S25" i="40"/>
  <c r="AC19" i="40"/>
  <c r="AC17" i="40"/>
  <c r="S30" i="40"/>
  <c r="U23"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S33" i="36"/>
  <c r="AA26" i="36"/>
  <c r="AA34" i="36"/>
  <c r="AC26" i="36"/>
  <c r="AA22" i="36"/>
  <c r="W14" i="36"/>
  <c r="AB14" i="36"/>
  <c r="U22" i="36"/>
  <c r="S16" i="36"/>
  <c r="U16" i="36"/>
  <c r="S14" i="36"/>
  <c r="W24" i="35"/>
  <c r="U28" i="35"/>
  <c r="AB27" i="35"/>
  <c r="U32" i="35"/>
  <c r="AC30" i="35"/>
  <c r="S32" i="35"/>
  <c r="AA36" i="35"/>
  <c r="S28" i="35"/>
  <c r="U22" i="35"/>
  <c r="S20" i="35"/>
  <c r="AC20" i="35"/>
  <c r="U14" i="35"/>
  <c r="AA11" i="35"/>
  <c r="AC9" i="35"/>
  <c r="W9" i="35"/>
  <c r="F9" i="35"/>
  <c r="S9" i="35" s="1"/>
  <c r="H9" i="35"/>
  <c r="U9" i="35" s="1"/>
  <c r="AB40" i="37"/>
  <c r="S25" i="37"/>
  <c r="W27" i="37"/>
  <c r="AC29" i="37"/>
  <c r="AB31" i="37"/>
  <c r="W30" i="37"/>
  <c r="S36" i="37"/>
  <c r="U32" i="37"/>
  <c r="W38" i="37"/>
  <c r="AC35" i="37"/>
  <c r="S30" i="37"/>
  <c r="S37" i="37"/>
  <c r="J17" i="37"/>
  <c r="W17" i="37" s="1"/>
  <c r="G73" i="37"/>
  <c r="F17" i="37"/>
  <c r="AA17" i="37" s="1"/>
  <c r="AB17" i="37"/>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W43" i="33"/>
  <c r="S43" i="33"/>
  <c r="F91" i="33"/>
  <c r="H27" i="33"/>
  <c r="U27" i="33" s="1"/>
  <c r="F87" i="33"/>
  <c r="H25" i="33"/>
  <c r="F25" i="33"/>
  <c r="AA25" i="33" s="1"/>
  <c r="J23" i="33"/>
  <c r="AC23" i="33" s="1"/>
  <c r="H23" i="33"/>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H120" i="9"/>
  <c r="H121" i="9" s="1"/>
  <c r="D7" i="52" s="1"/>
  <c r="C18" i="9"/>
  <c r="F34" i="67"/>
  <c r="F62" i="67" s="1"/>
  <c r="M20" i="67"/>
  <c r="F19" i="15"/>
  <c r="F70" i="15" s="1"/>
  <c r="G13" i="3"/>
  <c r="BA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AB33" i="40"/>
  <c r="S39" i="40"/>
  <c r="AB30" i="40"/>
  <c r="W30" i="40"/>
  <c r="W36" i="40"/>
  <c r="S38" i="40"/>
  <c r="W39" i="40"/>
  <c r="AC16" i="40"/>
  <c r="S35" i="40"/>
  <c r="AA17" i="40"/>
  <c r="U13" i="40"/>
  <c r="AB15" i="40"/>
  <c r="U17" i="40"/>
  <c r="AB19" i="40"/>
  <c r="S10" i="40"/>
  <c r="U44" i="39"/>
  <c r="W27" i="39"/>
  <c r="U15" i="39"/>
  <c r="AB15" i="39"/>
  <c r="AA15" i="39"/>
  <c r="S15" i="39"/>
  <c r="S16" i="39"/>
  <c r="AA16" i="39"/>
  <c r="U45" i="39"/>
  <c r="AB13" i="39"/>
  <c r="U13" i="39"/>
  <c r="W19" i="39"/>
  <c r="AC19" i="39"/>
  <c r="W33" i="39"/>
  <c r="AC33" i="39"/>
  <c r="S25" i="39"/>
  <c r="W36" i="39"/>
  <c r="U40" i="39"/>
  <c r="S10" i="39"/>
  <c r="W29" i="36"/>
  <c r="AC20" i="36"/>
  <c r="U25" i="36"/>
  <c r="AA13" i="36"/>
  <c r="W9" i="36"/>
  <c r="W22" i="36"/>
  <c r="AB20" i="35"/>
  <c r="AC25" i="35"/>
  <c r="S24" i="35"/>
  <c r="U24" i="35"/>
  <c r="AA16" i="35"/>
  <c r="AA35" i="37"/>
  <c r="S27" i="37"/>
  <c r="S28" i="37"/>
  <c r="W32" i="37"/>
  <c r="S40" i="37"/>
  <c r="AB37" i="37"/>
  <c r="AC34" i="37"/>
  <c r="AA31" i="37"/>
  <c r="U19" i="37"/>
  <c r="AA29" i="37"/>
  <c r="AA30" i="34"/>
  <c r="AB47" i="34"/>
  <c r="AC32" i="34"/>
  <c r="W46" i="34"/>
  <c r="AC46" i="34"/>
  <c r="U30" i="34"/>
  <c r="AB30" i="34"/>
  <c r="U38" i="34"/>
  <c r="AA8" i="34"/>
  <c r="S8" i="34"/>
  <c r="U9" i="34"/>
  <c r="AB32" i="34"/>
  <c r="AC35" i="34"/>
  <c r="AB28" i="33"/>
  <c r="U38" i="33"/>
  <c r="S33" i="33"/>
  <c r="AB34" i="33"/>
  <c r="AB44" i="33"/>
  <c r="S30" i="33"/>
  <c r="AA30" i="33"/>
  <c r="W14" i="33"/>
  <c r="AA31" i="33"/>
  <c r="U15" i="33"/>
  <c r="S11" i="33"/>
  <c r="U37" i="33"/>
  <c r="AC28" i="33"/>
  <c r="S28" i="33"/>
  <c r="W9" i="33"/>
  <c r="S44" i="21"/>
  <c r="AB42" i="21"/>
  <c r="U28" i="21"/>
  <c r="I101" i="21"/>
  <c r="J101" i="21" s="1"/>
  <c r="K101" i="21" s="1"/>
  <c r="L101" i="21" s="1"/>
  <c r="M101" i="21" s="1"/>
  <c r="F33" i="21"/>
  <c r="AA33" i="21" s="1"/>
  <c r="J33" i="21"/>
  <c r="AC33" i="21" s="1"/>
  <c r="H33" i="21"/>
  <c r="AB33" i="21" s="1"/>
  <c r="F37" i="21"/>
  <c r="AA37" i="21" s="1"/>
  <c r="AA26" i="21"/>
  <c r="U40" i="21"/>
  <c r="AB31" i="21"/>
  <c r="U31" i="21"/>
  <c r="U13" i="21"/>
  <c r="AB13" i="21"/>
  <c r="J37" i="21"/>
  <c r="W37" i="21" s="1"/>
  <c r="H15" i="21"/>
  <c r="AB15" i="21" s="1"/>
  <c r="J17" i="21"/>
  <c r="AC17" i="21" s="1"/>
  <c r="AC19" i="21"/>
  <c r="W39" i="21"/>
  <c r="W30" i="21"/>
  <c r="H45" i="21"/>
  <c r="U45" i="21" s="1"/>
  <c r="F29" i="21"/>
  <c r="AA29" i="21" s="1"/>
  <c r="F13" i="21"/>
  <c r="AA13" i="21" s="1"/>
  <c r="AC38" i="21"/>
  <c r="H32" i="21"/>
  <c r="H9" i="21"/>
  <c r="U9" i="21" s="1"/>
  <c r="J9" i="21"/>
  <c r="AC9" i="21" s="1"/>
  <c r="J32" i="21"/>
  <c r="W32" i="21" s="1"/>
  <c r="F32" i="21"/>
  <c r="AA32" i="21" s="1"/>
  <c r="AA31" i="21"/>
  <c r="U17" i="21"/>
  <c r="W29" i="21"/>
  <c r="S19" i="21"/>
  <c r="S9" i="21"/>
  <c r="AA9" i="21"/>
  <c r="K141" i="21"/>
  <c r="K144" i="21"/>
  <c r="K143" i="21"/>
  <c r="AB25" i="21"/>
  <c r="AB44" i="21"/>
  <c r="W13" i="21"/>
  <c r="W42" i="21"/>
  <c r="AC45" i="21"/>
  <c r="F10" i="21"/>
  <c r="AA10" i="21" s="1"/>
  <c r="K145" i="21"/>
  <c r="W25" i="21"/>
  <c r="W31" i="21"/>
  <c r="S17" i="21"/>
  <c r="AA15" i="21"/>
  <c r="AC26" i="21"/>
  <c r="AB29" i="21"/>
  <c r="S28" i="21"/>
  <c r="AC34" i="21"/>
  <c r="AB36" i="21"/>
  <c r="C21" i="39"/>
  <c r="C17" i="40"/>
  <c r="C19" i="40"/>
  <c r="C25" i="40"/>
  <c r="C23" i="40"/>
  <c r="U32" i="40"/>
  <c r="B56" i="43"/>
  <c r="B67" i="43"/>
  <c r="B51" i="43"/>
  <c r="B54" i="43"/>
  <c r="B62" i="43"/>
  <c r="E4" i="4"/>
  <c r="B5" i="62" s="1"/>
  <c r="B73" i="72" s="1"/>
  <c r="C4" i="4"/>
  <c r="S41" i="40"/>
  <c r="S12" i="33"/>
  <c r="J34" i="39"/>
  <c r="AC34" i="39" s="1"/>
  <c r="H34" i="39"/>
  <c r="AB34" i="39" s="1"/>
  <c r="AA34" i="39"/>
  <c r="S17" i="37"/>
  <c r="J19" i="37"/>
  <c r="W19" i="37" s="1"/>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G85" i="33"/>
  <c r="AA19" i="33"/>
  <c r="H19" i="33"/>
  <c r="H17" i="33"/>
  <c r="U17" i="33" s="1"/>
  <c r="F17" i="33"/>
  <c r="S17" i="33" s="1"/>
  <c r="W17" i="33"/>
  <c r="S37" i="21"/>
  <c r="J23" i="21"/>
  <c r="AC23" i="21" s="1"/>
  <c r="F85" i="21"/>
  <c r="G85" i="21" s="1"/>
  <c r="H23" i="21"/>
  <c r="AB23" i="21" s="1"/>
  <c r="S13" i="21"/>
  <c r="AP7" i="1"/>
  <c r="AB45" i="21"/>
  <c r="S32" i="21"/>
  <c r="W9" i="21"/>
  <c r="AB32" i="21"/>
  <c r="U32" i="21"/>
  <c r="AC23" i="37"/>
  <c r="J11" i="37"/>
  <c r="AC11" i="37" s="1"/>
  <c r="H70" i="34"/>
  <c r="I70" i="34" s="1"/>
  <c r="J70" i="34" s="1"/>
  <c r="K70" i="34" s="1"/>
  <c r="L70" i="34" s="1"/>
  <c r="M70" i="34" s="1"/>
  <c r="J11" i="34"/>
  <c r="W11" i="34" s="1"/>
  <c r="AB19" i="33"/>
  <c r="U19" i="33"/>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E9" i="76"/>
  <c r="B10" i="76"/>
  <c r="F7" i="73"/>
  <c r="D6" i="73"/>
  <c r="E12" i="76"/>
  <c r="B11" i="76"/>
  <c r="F3" i="73"/>
  <c r="B8" i="76"/>
  <c r="B12" i="76"/>
  <c r="F4" i="73"/>
  <c r="E2" i="69"/>
  <c r="B13" i="76"/>
  <c r="B9" i="76"/>
  <c r="AO13" i="1"/>
  <c r="E10" i="76"/>
  <c r="E11" i="76"/>
  <c r="E7" i="76"/>
  <c r="E8" i="76"/>
  <c r="B7" i="76"/>
  <c r="F5" i="73"/>
  <c r="F6" i="73"/>
  <c r="F20" i="31"/>
  <c r="W15" i="21" l="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U19" i="34"/>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S19" i="34"/>
  <c r="AA25" i="34"/>
  <c r="S14" i="34"/>
  <c r="AC45" i="34"/>
  <c r="AB45" i="34"/>
  <c r="W41" i="34"/>
  <c r="W40" i="34"/>
  <c r="AA40" i="34"/>
  <c r="AB40" i="34"/>
  <c r="AC39" i="34"/>
  <c r="U39" i="34"/>
  <c r="AA36" i="34"/>
  <c r="AB36" i="34"/>
  <c r="AC36" i="34"/>
  <c r="AB35" i="34"/>
  <c r="U33" i="34"/>
  <c r="W33" i="34"/>
  <c r="U25" i="34"/>
  <c r="W9"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S33" i="34"/>
  <c r="AA33" i="34"/>
  <c r="BL539" i="3"/>
  <c r="BP5" i="3"/>
  <c r="G29" i="6" s="1"/>
  <c r="BL493" i="3"/>
  <c r="AA15" i="33"/>
  <c r="S15" i="33"/>
  <c r="AZ536" i="3"/>
  <c r="BA534" i="3"/>
  <c r="AZ534" i="3" s="1"/>
  <c r="AZ533" i="3"/>
  <c r="AZ530" i="3"/>
  <c r="AZ527"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AZ413" i="3"/>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AZ400" i="3"/>
  <c r="BA419" i="3"/>
  <c r="AZ419" i="3" s="1"/>
  <c r="BL423" i="3"/>
  <c r="BL367" i="3"/>
  <c r="BL211" i="3"/>
  <c r="BL16" i="3"/>
  <c r="AZ16" i="3" s="1"/>
  <c r="G398" i="3"/>
  <c r="BL400" i="3"/>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AZ442" i="3" s="1"/>
  <c r="BL444" i="3"/>
  <c r="AZ444" i="3" s="1"/>
  <c r="G446" i="3"/>
  <c r="G447" i="3"/>
  <c r="BL448" i="3"/>
  <c r="G450" i="3"/>
  <c r="G451" i="3"/>
  <c r="BA454" i="3"/>
  <c r="BA457" i="3"/>
  <c r="AZ457" i="3" s="1"/>
  <c r="BA459" i="3"/>
  <c r="AZ459" i="3" s="1"/>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AZ367" i="3" s="1"/>
  <c r="BA397" i="3"/>
  <c r="BA209" i="3"/>
  <c r="BA211" i="3"/>
  <c r="AZ211" i="3" s="1"/>
  <c r="BL222" i="3"/>
  <c r="BA244" i="3"/>
  <c r="AZ277" i="3"/>
  <c r="BA120" i="3"/>
  <c r="AZ120" i="3" s="1"/>
  <c r="P65" i="71"/>
  <c r="P66" i="71"/>
  <c r="BL408" i="3"/>
  <c r="AZ408" i="3" s="1"/>
  <c r="BL411" i="3"/>
  <c r="AZ411" i="3" s="1"/>
  <c r="BL413" i="3"/>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AZ218" i="3" s="1"/>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AZ401" i="3" s="1"/>
  <c r="BA403" i="3"/>
  <c r="AZ403" i="3" s="1"/>
  <c r="BA404" i="3"/>
  <c r="BA405" i="3"/>
  <c r="BA441" i="3"/>
  <c r="AZ441" i="3" s="1"/>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AZ227" i="3" s="1"/>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AZ271" i="3" s="1"/>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BL282" i="3"/>
  <c r="AZ282" i="3" s="1"/>
  <c r="BA297" i="3"/>
  <c r="AZ297" i="3" s="1"/>
  <c r="BA302" i="3"/>
  <c r="BA130" i="3"/>
  <c r="AZ130" i="3" s="1"/>
  <c r="BA137" i="3"/>
  <c r="AZ137" i="3" s="1"/>
  <c r="BA140" i="3"/>
  <c r="AZ140" i="3" s="1"/>
  <c r="BA148" i="3"/>
  <c r="AZ148" i="3" s="1"/>
  <c r="BL165" i="3"/>
  <c r="BL170" i="3"/>
  <c r="BA181" i="3"/>
  <c r="AZ181" i="3" s="1"/>
  <c r="BA182" i="3"/>
  <c r="BA190" i="3"/>
  <c r="BA198" i="3"/>
  <c r="AZ198" i="3" s="1"/>
  <c r="BL34" i="3"/>
  <c r="BA40" i="3"/>
  <c r="AZ40" i="3" s="1"/>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AZ73" i="3" s="1"/>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AZ63" i="3" s="1"/>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AZ46" i="3"/>
  <c r="BA206" i="3"/>
  <c r="AZ206" i="3" s="1"/>
  <c r="BL22" i="3"/>
  <c r="AZ22" i="3" s="1"/>
  <c r="BL33" i="3"/>
  <c r="AZ33" i="3" s="1"/>
  <c r="BL43" i="3"/>
  <c r="AZ43" i="3" s="1"/>
  <c r="BL46" i="3"/>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9" i="15"/>
  <c r="L56" i="15"/>
  <c r="M9" i="67"/>
  <c r="M34" i="81"/>
  <c r="F27" i="15"/>
  <c r="F21" i="15"/>
  <c r="F6" i="15"/>
  <c r="F36" i="81"/>
  <c r="F31" i="15"/>
  <c r="M6" i="15"/>
  <c r="M25" i="15"/>
  <c r="F29" i="15"/>
  <c r="L48" i="67"/>
  <c r="M21" i="15"/>
  <c r="F6" i="81"/>
  <c r="F27" i="81"/>
  <c r="F16" i="67"/>
  <c r="M29" i="81"/>
  <c r="F50" i="81"/>
  <c r="M29" i="67"/>
  <c r="F8" i="15"/>
  <c r="F47" i="15"/>
  <c r="M30" i="81"/>
  <c r="F31" i="81"/>
  <c r="F46" i="81"/>
  <c r="F29" i="81"/>
  <c r="F13" i="67"/>
  <c r="M27" i="81"/>
  <c r="M28" i="67"/>
  <c r="F38" i="67"/>
  <c r="D5" i="73"/>
  <c r="M9" i="81"/>
  <c r="M23" i="67"/>
  <c r="M30" i="15"/>
  <c r="F8" i="67"/>
  <c r="M8" i="15"/>
  <c r="F40" i="67"/>
  <c r="M21" i="81"/>
  <c r="F9" i="67"/>
  <c r="F37" i="67"/>
  <c r="F25" i="15"/>
  <c r="F8" i="81"/>
  <c r="M29" i="15"/>
  <c r="F21" i="81"/>
  <c r="M24" i="67"/>
  <c r="C76" i="67"/>
  <c r="C85" i="81"/>
  <c r="F51" i="15"/>
  <c r="F37" i="15"/>
  <c r="M8" i="67"/>
  <c r="F25" i="81"/>
  <c r="M8" i="81"/>
  <c r="M9" i="15"/>
  <c r="F7" i="67"/>
  <c r="F23" i="15"/>
  <c r="C69" i="15"/>
  <c r="C86" i="15"/>
  <c r="M23" i="15"/>
  <c r="F36" i="67"/>
  <c r="F6" i="67"/>
  <c r="F42" i="67"/>
  <c r="M6" i="81"/>
  <c r="D3" i="73"/>
  <c r="J15" i="67"/>
  <c r="L55" i="81"/>
  <c r="L54" i="81"/>
  <c r="M23" i="81"/>
  <c r="M35" i="15"/>
  <c r="M25" i="81"/>
  <c r="L47" i="67"/>
  <c r="F26" i="67"/>
  <c r="M27" i="15"/>
  <c r="L55" i="15"/>
  <c r="M22" i="67"/>
  <c r="D7" i="73"/>
  <c r="F9" i="81"/>
  <c r="F23" i="81"/>
  <c r="F43" i="67"/>
  <c r="M6" i="67"/>
  <c r="M26" i="67"/>
  <c r="F7" i="81"/>
  <c r="D4" i="73"/>
  <c r="F7" i="15"/>
  <c r="AZ118" i="3" l="1"/>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61" i="40"/>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C19" i="71"/>
  <c r="T20" i="71"/>
  <c r="D20" i="71"/>
  <c r="U20" i="71"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47" i="69"/>
  <c r="D45" i="69" s="1"/>
  <c r="C9" i="69"/>
  <c r="C15" i="68"/>
  <c r="E72" i="43"/>
  <c r="B70" i="43"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W7" i="36"/>
  <c r="F7" i="37"/>
  <c r="M17" i="67"/>
  <c r="P28" i="43"/>
  <c r="B68" i="40" s="1"/>
  <c r="P25" i="43"/>
  <c r="P29" i="43"/>
  <c r="P27" i="43"/>
  <c r="B72" i="39" s="1"/>
  <c r="M11" i="67"/>
  <c r="J10" i="67" s="1"/>
  <c r="F11" i="15"/>
  <c r="M11" i="15"/>
  <c r="J10" i="15" s="1"/>
  <c r="F11" i="67"/>
  <c r="AE11" i="1"/>
  <c r="AE12" i="1"/>
  <c r="AE10" i="1"/>
  <c r="AE9" i="1"/>
  <c r="AE8" i="1"/>
  <c r="F33" i="12"/>
  <c r="C18" i="12"/>
  <c r="F27" i="68"/>
  <c r="G1" i="73"/>
  <c r="C16" i="67"/>
  <c r="C36" i="81"/>
  <c r="C68" i="81"/>
  <c r="C37" i="15"/>
  <c r="C18" i="81"/>
  <c r="E248" i="3" l="1"/>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H6" i="3" s="1"/>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AC6" i="3" s="1"/>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T36" i="36"/>
  <c r="G36" i="36" s="1"/>
  <c r="Q60" i="15"/>
  <c r="F1" i="15"/>
  <c r="J9" i="81"/>
  <c r="C61" i="15"/>
  <c r="C54" i="80"/>
  <c r="Q83" i="15"/>
  <c r="C29" i="80"/>
  <c r="K16" i="1"/>
  <c r="C10" i="80"/>
  <c r="E53" i="40"/>
  <c r="E58" i="39"/>
  <c r="F69" i="39"/>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57"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C18" i="15"/>
  <c r="F28" i="81"/>
  <c r="F41" i="67"/>
  <c r="M27" i="67"/>
  <c r="M28" i="81"/>
  <c r="M28" i="15"/>
  <c r="AE6" i="1"/>
  <c r="F28" i="15"/>
  <c r="C48" i="67" l="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56" i="15"/>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4" i="6"/>
  <c r="D20" i="6"/>
  <c r="M19" i="9"/>
  <c r="C118" i="9" s="1"/>
  <c r="B2" i="74" s="1"/>
  <c r="D26" i="6"/>
  <c r="D8" i="6"/>
  <c r="D14" i="6"/>
  <c r="D9" i="6"/>
  <c r="D10" i="6"/>
  <c r="D29" i="6"/>
  <c r="H21" i="6"/>
  <c r="D19" i="6"/>
  <c r="C18" i="4"/>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C7" i="68" s="1"/>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7" i="81"/>
  <c r="C34" i="81"/>
  <c r="C14" i="67"/>
  <c r="C38" i="15"/>
  <c r="C49" i="34" l="1"/>
  <c r="C50" i="34"/>
  <c r="C30" i="43"/>
  <c r="E54" i="34"/>
  <c r="F54" i="34" s="1"/>
  <c r="AB12" i="39"/>
  <c r="AA12" i="39"/>
  <c r="U12" i="40"/>
  <c r="D23" i="6"/>
  <c r="D6" i="6"/>
  <c r="H24" i="6"/>
  <c r="R24" i="6" s="1"/>
  <c r="R11" i="1" s="1"/>
  <c r="AC12" i="40"/>
  <c r="W12" i="40"/>
  <c r="AC12" i="39"/>
  <c r="D17" i="80"/>
  <c r="C17" i="80" s="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D18" i="80"/>
  <c r="C18" i="80" s="1"/>
  <c r="C44"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B6" i="76"/>
  <c r="E6" i="76"/>
  <c r="C40" i="80" l="1"/>
  <c r="C47" i="80" s="1"/>
  <c r="C53" i="80" s="1"/>
  <c r="C52" i="80" s="1"/>
  <c r="C36" i="15"/>
  <c r="C43" i="68"/>
  <c r="B3" i="43"/>
  <c r="D4" i="43"/>
  <c r="B4" i="43"/>
  <c r="C16" i="82"/>
  <c r="C23" i="82" s="1"/>
  <c r="C29" i="82" s="1"/>
  <c r="C30" i="83"/>
  <c r="C29" i="83"/>
  <c r="C33" i="81"/>
  <c r="C40" i="81" s="1"/>
  <c r="C46" i="81" s="1"/>
  <c r="C45" i="81" s="1"/>
  <c r="E2" i="70"/>
  <c r="C13" i="80"/>
  <c r="C9" i="80" s="1"/>
  <c r="C21" i="80" s="1"/>
  <c r="C28" i="80" s="1"/>
  <c r="C27" i="80" s="1"/>
  <c r="C5" i="69"/>
  <c r="C23" i="69" s="1"/>
  <c r="C40" i="15"/>
  <c r="C28" i="12"/>
  <c r="C22" i="11"/>
  <c r="C31" i="11" s="1"/>
  <c r="C15" i="71"/>
  <c r="T16" i="71"/>
  <c r="D16" i="71"/>
  <c r="U16" i="7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15"/>
  <c r="M20" i="81"/>
  <c r="F20" i="15"/>
  <c r="F35" i="67"/>
  <c r="F20" i="81"/>
  <c r="C32" i="80" l="1"/>
  <c r="C33" i="80" s="1"/>
  <c r="D3" i="80" s="1"/>
  <c r="B2" i="80" s="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64" i="80" l="1"/>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L58" i="81"/>
  <c r="F2" i="33"/>
  <c r="C89" i="81" l="1"/>
  <c r="C88" i="81" s="1"/>
  <c r="F32" i="81"/>
  <c r="J35" i="15"/>
  <c r="J36" i="15" s="1"/>
  <c r="M22" i="15"/>
  <c r="J68" i="15"/>
  <c r="Q56" i="15" s="1"/>
  <c r="C27"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F2" i="34"/>
  <c r="F2" i="37"/>
  <c r="D2" i="34" l="1"/>
  <c r="B2" i="34" s="1"/>
  <c r="J23" i="15"/>
  <c r="J17" i="15" s="1"/>
  <c r="M24" i="15"/>
  <c r="C23" i="15"/>
  <c r="C17" i="15" s="1"/>
  <c r="F24" i="15"/>
  <c r="C53" i="81"/>
  <c r="C30" i="81"/>
  <c r="C31" i="81" s="1"/>
  <c r="Q72" i="81"/>
  <c r="Q63" i="81"/>
  <c r="Q54" i="81"/>
  <c r="Q60" i="81" s="1"/>
  <c r="Q73" i="81"/>
  <c r="Q64" i="81"/>
  <c r="L53" i="81"/>
  <c r="D3" i="81" s="1"/>
  <c r="F74" i="15"/>
  <c r="C74" i="15" s="1"/>
  <c r="C68"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C20" i="9"/>
  <c r="AO12" i="1"/>
  <c r="AO11" i="1"/>
  <c r="AO10" i="1"/>
  <c r="C66" i="15" l="1"/>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32" i="15" l="1"/>
  <c r="C27" i="15"/>
  <c r="C30" i="15" s="1"/>
  <c r="Q79" i="15"/>
  <c r="Q78" i="15" s="1"/>
  <c r="C90" i="15"/>
  <c r="C89" i="15" s="1"/>
  <c r="C49" i="39"/>
  <c r="B2" i="81"/>
  <c r="B3" i="81"/>
  <c r="L65" i="15"/>
  <c r="L68" i="15" s="1"/>
  <c r="Q76" i="15"/>
  <c r="C82" i="15"/>
  <c r="Q64" i="15"/>
  <c r="Q55" i="15"/>
  <c r="Q61" i="15" s="1"/>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73" i="15" l="1"/>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AO6" i="1"/>
  <c r="AO9" i="1"/>
  <c r="AO8" i="1"/>
  <c r="B9" i="70" l="1"/>
  <c r="B8" i="70"/>
  <c r="B6" i="70"/>
  <c r="B3" i="15"/>
  <c r="D34" i="9"/>
  <c r="D20" i="9"/>
  <c r="D35" i="9"/>
  <c r="D103" i="9" l="1"/>
  <c r="G20" i="9"/>
  <c r="C32" i="9" s="1"/>
  <c r="B2" i="70"/>
  <c r="B3" i="70" s="1"/>
  <c r="N119" i="9" l="1"/>
  <c r="H118" i="9" s="1"/>
  <c r="D14" i="74" s="1"/>
  <c r="G14" i="74" s="1"/>
  <c r="B6" i="74" s="1"/>
  <c r="N117" i="9"/>
  <c r="I118" i="9" s="1"/>
  <c r="C35" i="9"/>
  <c r="C34" i="9" s="1"/>
  <c r="M49" i="9"/>
  <c r="D6" i="74" l="1"/>
  <c r="C6" i="74"/>
  <c r="E14" i="74"/>
  <c r="F14" i="74"/>
  <c r="B5" i="74"/>
  <c r="M117" i="9"/>
  <c r="M119" i="9"/>
  <c r="F118" i="9" s="1"/>
  <c r="G118" i="9" s="1"/>
  <c r="L117" i="9"/>
  <c r="L119" i="9"/>
  <c r="I4" i="52"/>
  <c r="C105" i="9"/>
  <c r="H102" i="9"/>
  <c r="D7" i="53" s="1"/>
  <c r="B21" i="72" s="1"/>
  <c r="C104" i="9"/>
  <c r="H119" i="9"/>
  <c r="H5" i="52" s="1"/>
  <c r="H101" i="9"/>
  <c r="H4" i="52"/>
  <c r="L67" i="9"/>
  <c r="M67" i="9" s="1"/>
  <c r="L66" i="9"/>
  <c r="M66" i="9" s="1"/>
  <c r="L65" i="9"/>
  <c r="M65" i="9" s="1"/>
  <c r="L63" i="9"/>
  <c r="M63" i="9" s="1"/>
  <c r="L68" i="9"/>
  <c r="M68" i="9" s="1"/>
  <c r="L64" i="9"/>
  <c r="M64" i="9" s="1"/>
  <c r="D118" i="9" l="1"/>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97" i="9"/>
  <c r="D58" i="9" s="1"/>
  <c r="M54" i="9" s="1"/>
  <c r="N57" i="9" s="1"/>
  <c r="C80" i="9"/>
  <c r="E80" i="9" s="1"/>
  <c r="E81" i="9" s="1"/>
  <c r="C81" i="9" l="1"/>
  <c r="N58" i="9"/>
  <c r="N59"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600-000002000000}">
      <text>
        <r>
          <rPr>
            <sz val="9"/>
            <color indexed="81"/>
            <rFont val="宋体"/>
            <family val="3"/>
            <charset val="134"/>
          </rPr>
          <t>依据一般经验，应比建筑物资本化率高0.5%</t>
        </r>
      </text>
    </comment>
    <comment ref="L60"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600-000005000000}">
      <text>
        <r>
          <rPr>
            <sz val="9"/>
            <color indexed="81"/>
            <rFont val="宋体"/>
            <family val="3"/>
            <charset val="134"/>
          </rPr>
          <t>在建项目均选择“是”</t>
        </r>
      </text>
    </comment>
    <comment ref="F65"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600-000007000000}">
      <text>
        <r>
          <rPr>
            <sz val="10"/>
            <color indexed="81"/>
            <rFont val="宋体"/>
            <family val="3"/>
            <charset val="134"/>
          </rPr>
          <t xml:space="preserve">在建
</t>
        </r>
      </text>
    </comment>
    <comment ref="N67"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700-000007000000}">
      <text>
        <r>
          <rPr>
            <sz val="10"/>
            <color indexed="81"/>
            <rFont val="宋体"/>
            <family val="3"/>
            <charset val="134"/>
          </rPr>
          <t xml:space="preserve">在建
</t>
        </r>
      </text>
    </comment>
    <comment ref="N66"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<sst xmlns="http://schemas.openxmlformats.org/spreadsheetml/2006/main" count="9116" uniqueCount="3995">
  <si>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</si>
  <si>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</si>
  <si>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</si>
  <si>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</si>
  <si>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</si>
  <si>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</si>
  <si>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</si>
  <si>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</si>
  <si>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</si>
  <si>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</si>
  <si>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</si>
  <si>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</si>
  <si>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</si>
  <si>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</si>
  <si>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</si>
  <si>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</si>
  <si>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</si>
  <si>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</si>
  <si>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</si>
  <si>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</si>
  <si>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</si>
  <si>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</si>
  <si>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</si>
  <si>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</si>
  <si>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</si>
  <si>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</si>
  <si>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</si>
  <si>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</si>
  <si>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</si>
  <si>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</si>
  <si>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</si>
  <si>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</si>
  <si>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</si>
  <si>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</si>
  <si>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</si>
  <si>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</si>
  <si>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</si>
  <si>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</si>
  <si>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</si>
  <si>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</si>
  <si>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</si>
  <si>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</si>
  <si>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</si>
  <si>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</si>
  <si>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</si>
  <si>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</si>
  <si>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</si>
  <si>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</si>
  <si>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</si>
  <si>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</si>
  <si>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</si>
  <si>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</si>
  <si>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</si>
  <si>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</si>
  <si>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</si>
  <si>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</si>
  <si>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</si>
  <si>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</si>
  <si>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</si>
  <si>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</si>
  <si>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</si>
  <si>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</si>
  <si>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</si>
  <si>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</si>
  <si>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</si>
  <si>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</si>
  <si>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</si>
  <si>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</si>
  <si>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</si>
  <si>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</si>
  <si>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</si>
  <si>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</si>
  <si>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</si>
  <si>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</si>
  <si>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</si>
  <si>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</si>
  <si>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</si>
  <si>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</si>
  <si>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</si>
  <si>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</si>
  <si>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</si>
  <si>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</si>
  <si>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</si>
  <si>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</si>
  <si>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</si>
  <si>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</si>
  <si>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</si>
  <si>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</si>
  <si>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</si>
  <si>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</si>
  <si>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</si>
  <si>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</si>
  <si>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</si>
  <si>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</si>
  <si>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</si>
  <si>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</si>
  <si>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</si>
  <si>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</si>
  <si>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</si>
  <si>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</si>
  <si>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</si>
  <si>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</si>
  <si>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</si>
  <si>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</si>
  <si>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</si>
  <si>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</si>
  <si>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</si>
  <si>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</si>
  <si>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</si>
  <si>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</si>
  <si>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</si>
  <si>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</si>
  <si>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</si>
  <si>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</si>
  <si>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</si>
  <si>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</si>
  <si>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</si>
  <si>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</si>
  <si>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</si>
  <si>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</si>
  <si>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</si>
  <si>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</si>
  <si>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</si>
  <si>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</si>
  <si>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</si>
  <si>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</si>
  <si>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</si>
  <si>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</si>
  <si>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</si>
  <si>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</si>
  <si>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</si>
  <si>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</si>
  <si>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</si>
  <si>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</si>
  <si>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</si>
  <si>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</si>
  <si>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</si>
  <si>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</si>
  <si>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</si>
  <si>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</si>
  <si>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</si>
  <si>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</si>
  <si>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</si>
  <si>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</si>
  <si>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</si>
  <si>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</si>
  <si>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</si>
  <si>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</si>
  <si>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</si>
  <si>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</si>
  <si>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</si>
  <si>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</si>
  <si>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</si>
  <si>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</si>
  <si>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</si>
  <si>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</si>
  <si>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</si>
  <si>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</si>
  <si>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</si>
  <si>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</si>
  <si>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</si>
  <si>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</si>
  <si>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</si>
  <si>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</si>
  <si>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</si>
  <si>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</si>
  <si>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</si>
  <si>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</si>
  <si>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</si>
  <si>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</si>
  <si>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</si>
  <si>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</si>
  <si>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</si>
  <si>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</si>
  <si>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</si>
  <si>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</si>
  <si>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</si>
  <si>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</si>
  <si>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</si>
  <si>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</si>
  <si>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</si>
  <si>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</si>
  <si>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</si>
  <si>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</si>
  <si>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</si>
  <si>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</si>
  <si>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</si>
  <si>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</si>
  <si>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</si>
  <si>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</si>
  <si>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</si>
  <si>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</si>
  <si>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</si>
  <si>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</si>
  <si>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</si>
  <si>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</si>
  <si>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</si>
  <si>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</si>
  <si>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</si>
  <si>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</si>
  <si>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</si>
  <si>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</si>
  <si>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</si>
  <si>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</si>
  <si>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</si>
  <si>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</si>
  <si>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</si>
  <si>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</si>
  <si>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</si>
  <si>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</si>
  <si>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</si>
  <si>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</si>
  <si>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</si>
  <si>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</si>
  <si>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</si>
  <si>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</si>
  <si>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</si>
  <si>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</si>
  <si>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</si>
  <si>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</si>
  <si>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</si>
  <si>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</si>
  <si>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</si>
  <si>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</si>
  <si>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</si>
  <si>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</si>
  <si>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</si>
  <si>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</si>
  <si>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</si>
  <si>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</si>
  <si>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</si>
  <si>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</si>
  <si>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</si>
  <si>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</si>
  <si>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</si>
  <si>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</si>
  <si>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</si>
  <si>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</si>
  <si>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</si>
  <si>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</si>
  <si>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</si>
  <si>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</si>
  <si>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</si>
  <si>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</si>
  <si>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</si>
  <si>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</si>
  <si>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</si>
  <si>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</si>
  <si>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</si>
  <si>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</si>
  <si>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</si>
  <si>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</si>
  <si>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</si>
  <si>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</si>
  <si>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</si>
  <si>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</si>
  <si>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</si>
  <si>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</si>
  <si>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</si>
  <si>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</si>
  <si>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</si>
  <si>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</si>
  <si>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</si>
  <si>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</si>
  <si>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</si>
  <si>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</si>
  <si>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</si>
  <si>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</si>
  <si>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</si>
  <si>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</si>
  <si>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</si>
  <si>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</si>
  <si>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</si>
  <si>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</si>
  <si>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</si>
  <si>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</si>
  <si>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</si>
  <si>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</si>
  <si>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</si>
  <si>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</si>
  <si>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</si>
  <si>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</si>
  <si>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</si>
  <si>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</si>
  <si>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</si>
  <si>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</si>
  <si>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</si>
  <si>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</si>
  <si>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</si>
  <si>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</si>
  <si>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</si>
  <si>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</si>
  <si>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</si>
  <si>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</si>
  <si>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</si>
  <si>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</si>
  <si>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</si>
  <si>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</si>
  <si>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</si>
  <si>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</si>
  <si>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</si>
  <si>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</si>
  <si>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</si>
  <si>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</si>
  <si>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</si>
  <si>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</si>
  <si>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</si>
  <si>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</si>
  <si>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</si>
  <si>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</si>
  <si>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</si>
  <si>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</si>
  <si>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</si>
  <si>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</si>
  <si>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</si>
  <si>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</si>
  <si>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</si>
  <si>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</si>
  <si>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</si>
  <si>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</si>
  <si>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</si>
  <si>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</si>
  <si>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</si>
  <si>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</si>
  <si>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</si>
  <si>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</si>
  <si>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</si>
  <si>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</si>
  <si>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</si>
  <si>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</si>
  <si>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</si>
  <si>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</si>
  <si>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</si>
  <si>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</si>
  <si>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</si>
  <si>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</si>
  <si>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</si>
  <si>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</si>
  <si>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</si>
  <si>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</si>
  <si>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</si>
  <si>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</si>
  <si>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</si>
  <si>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</si>
  <si>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</si>
  <si>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</si>
  <si>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</si>
  <si>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</si>
  <si>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</si>
  <si>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</si>
  <si>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</si>
  <si>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</si>
  <si>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</si>
  <si>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</si>
  <si>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</si>
  <si>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</si>
  <si>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</si>
  <si>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</si>
  <si>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</si>
  <si>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</si>
  <si>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</si>
  <si>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</si>
  <si>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</si>
  <si>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</si>
  <si>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</si>
  <si>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</si>
  <si>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</si>
  <si>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</si>
  <si>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</si>
  <si>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</si>
  <si>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</si>
  <si>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</si>
  <si>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</si>
  <si>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</si>
  <si>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</si>
  <si>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</si>
  <si>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</si>
  <si>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</si>
  <si>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</si>
  <si>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</si>
  <si>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</si>
  <si>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</si>
  <si>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</si>
  <si>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</si>
  <si>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</si>
  <si>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</si>
  <si>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</si>
  <si>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</si>
  <si>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</si>
  <si>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</si>
  <si>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</si>
  <si>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</si>
  <si>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</si>
  <si>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</si>
  <si>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</si>
  <si>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</si>
  <si>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</si>
  <si>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</si>
  <si>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</si>
  <si>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</si>
  <si>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</si>
  <si>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</si>
  <si>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</si>
  <si>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</si>
  <si>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</si>
  <si>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</si>
  <si>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</si>
  <si>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</si>
  <si>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</si>
  <si>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</si>
  <si>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</si>
  <si>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</si>
  <si>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</si>
  <si>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</si>
  <si>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</si>
  <si>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</si>
  <si>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</si>
  <si>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</si>
  <si>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</si>
  <si>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</si>
  <si>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</si>
  <si>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</si>
  <si>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</si>
  <si>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</si>
  <si>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</si>
  <si>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</si>
  <si>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</si>
  <si>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</si>
  <si>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</si>
  <si>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</si>
  <si>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</si>
  <si>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</si>
  <si>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</si>
  <si>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</si>
  <si>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</si>
  <si>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</si>
  <si>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</si>
  <si>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</si>
  <si>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</si>
  <si>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</si>
  <si>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</si>
  <si>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</si>
  <si>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</si>
  <si>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</si>
  <si>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</si>
  <si>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</si>
  <si>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</si>
  <si>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</si>
  <si>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</si>
  <si>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</si>
  <si>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</si>
  <si>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</si>
  <si>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</si>
  <si>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</si>
  <si>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</si>
  <si>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</si>
  <si>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</si>
  <si>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</si>
  <si>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</si>
  <si>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</si>
  <si>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</si>
  <si>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</si>
  <si>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</si>
  <si>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</si>
  <si>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</si>
  <si>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</si>
  <si>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</si>
  <si>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</si>
  <si>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</si>
  <si>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</si>
  <si>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</si>
  <si>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</si>
  <si>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</si>
  <si>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</si>
  <si>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</si>
  <si>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</si>
  <si>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</si>
  <si>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</si>
  <si>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</si>
  <si>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</si>
  <si>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</si>
  <si>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</si>
  <si>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</si>
  <si>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</si>
  <si>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</si>
  <si>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</si>
  <si>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</si>
  <si>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</si>
  <si>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</si>
  <si>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</si>
  <si>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</si>
  <si>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</si>
  <si>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</si>
  <si>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</si>
  <si>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</si>
  <si>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</si>
  <si>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</si>
  <si>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</si>
  <si>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</si>
  <si>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</si>
  <si>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</si>
  <si>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</si>
  <si>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</si>
  <si>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</si>
  <si>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</si>
  <si>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</si>
  <si>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</si>
  <si>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</si>
  <si>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</si>
  <si>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</si>
  <si>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</si>
  <si>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</si>
  <si>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</si>
  <si>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</si>
  <si>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</si>
  <si>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</si>
  <si>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</si>
  <si>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</si>
  <si>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</si>
  <si>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</si>
  <si>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</si>
  <si>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</si>
  <si>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</si>
  <si>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</si>
  <si>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</si>
  <si>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</si>
  <si>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</si>
  <si>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</si>
  <si>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</si>
  <si>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</si>
  <si>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</si>
  <si>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</si>
  <si>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</si>
  <si>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</si>
  <si>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</si>
  <si>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</si>
  <si>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</si>
  <si>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</si>
  <si>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</si>
  <si>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</si>
  <si>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</si>
  <si>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</si>
  <si>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</si>
  <si>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</si>
  <si>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</si>
  <si>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</si>
  <si>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</si>
  <si>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</si>
  <si>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</si>
  <si>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</si>
  <si>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</si>
  <si>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</si>
  <si>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</si>
  <si>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</si>
  <si>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</si>
  <si>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</si>
  <si>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</si>
  <si>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</si>
  <si>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</si>
  <si>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</si>
  <si>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</si>
  <si>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</si>
  <si>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</si>
  <si>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</si>
  <si>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</si>
  <si>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</si>
  <si>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</si>
  <si>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</si>
  <si>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</si>
  <si>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</si>
  <si>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</si>
  <si>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</si>
  <si>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</si>
  <si>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</si>
  <si>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</si>
  <si>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</si>
  <si>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</si>
  <si>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</si>
  <si>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</si>
  <si>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</si>
  <si>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</si>
  <si>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</si>
  <si>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</si>
  <si>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</si>
  <si>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</si>
  <si>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</si>
  <si>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</si>
  <si>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</si>
  <si>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</si>
  <si>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</si>
  <si>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</si>
  <si>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</si>
  <si>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</si>
  <si>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</si>
  <si>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</si>
  <si>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</si>
  <si>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</si>
  <si>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</si>
  <si>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</si>
  <si>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</si>
  <si>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</si>
  <si>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</si>
  <si>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</si>
  <si>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</si>
  <si>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</si>
  <si>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</si>
  <si>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</si>
  <si>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</si>
  <si>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</si>
  <si>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</si>
  <si>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</si>
  <si>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</si>
  <si>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</si>
  <si>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</si>
  <si>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</si>
  <si>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</si>
  <si>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</si>
  <si>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</si>
  <si>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</si>
  <si>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</si>
  <si>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</si>
  <si>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</si>
  <si>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</si>
  <si>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</si>
  <si>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</si>
  <si>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</si>
  <si>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</si>
  <si>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</si>
  <si>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</si>
  <si>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</si>
  <si>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</si>
  <si>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</si>
  <si>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</si>
  <si>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</si>
  <si>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</si>
  <si>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</si>
  <si>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</si>
  <si>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</si>
  <si>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</si>
  <si>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</si>
  <si>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</si>
  <si>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</si>
  <si>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</si>
  <si>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</si>
  <si>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</si>
  <si>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</si>
  <si>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</si>
  <si>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</si>
  <si>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</si>
  <si>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</si>
  <si>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</si>
  <si>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</si>
  <si>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</si>
  <si>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</si>
  <si>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</si>
  <si>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</si>
  <si>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</si>
  <si>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</si>
  <si>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</si>
  <si>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</si>
  <si>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</si>
  <si>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</si>
  <si>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</si>
  <si>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</si>
  <si>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</si>
  <si>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</si>
  <si>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</si>
  <si>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</si>
  <si>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</si>
  <si>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</si>
  <si>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</si>
  <si>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</si>
  <si>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</si>
  <si>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</si>
  <si>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</si>
  <si>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</si>
  <si>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</si>
  <si>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</si>
  <si>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</si>
  <si>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</si>
  <si>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</si>
  <si>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</si>
  <si>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</si>
  <si>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</si>
  <si>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</si>
  <si>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</si>
  <si>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</si>
  <si>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</si>
  <si>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</si>
  <si>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</si>
  <si>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</si>
  <si>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</si>
  <si>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</si>
  <si>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</si>
  <si>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</si>
  <si>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</si>
  <si>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</si>
  <si>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</si>
  <si>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</si>
  <si>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</si>
  <si>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</si>
  <si>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</si>
  <si>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</si>
  <si>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</si>
  <si>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</si>
  <si>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</si>
  <si>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</si>
  <si>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</si>
  <si>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</si>
  <si>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</si>
  <si>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</si>
  <si>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</si>
  <si>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</si>
  <si>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</si>
  <si>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</si>
  <si>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</si>
  <si>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</si>
  <si>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</si>
  <si>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</si>
  <si>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</si>
  <si>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</si>
  <si>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</si>
  <si>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</si>
  <si>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</si>
  <si>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</si>
  <si>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</si>
  <si>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</si>
  <si>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</si>
  <si>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</si>
  <si>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</si>
  <si>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</si>
  <si>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</si>
  <si>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</si>
  <si>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</si>
  <si>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</si>
  <si>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</si>
  <si>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</si>
  <si>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</si>
  <si>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</si>
  <si>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</si>
  <si>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</si>
  <si>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</si>
  <si>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</si>
  <si>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</si>
  <si>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</si>
  <si>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</si>
  <si>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</si>
  <si>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</si>
  <si>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</si>
  <si>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</si>
  <si>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</si>
  <si>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</si>
  <si>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</si>
  <si>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</si>
  <si>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</si>
  <si>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</si>
  <si>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</si>
  <si>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</si>
  <si>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</si>
  <si>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</si>
  <si>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</si>
  <si>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</si>
  <si>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</si>
  <si>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</si>
  <si>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</si>
  <si>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</si>
  <si>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</si>
  <si>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</si>
  <si>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</si>
  <si>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</si>
  <si>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</si>
  <si>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</si>
  <si>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</si>
  <si>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</si>
  <si>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</si>
  <si>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</si>
  <si>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</si>
  <si>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</si>
  <si>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</si>
  <si>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</si>
  <si>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</si>
  <si>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</si>
  <si>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</si>
  <si>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</si>
  <si>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</si>
  <si>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</si>
  <si>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</si>
  <si>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</si>
  <si>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</si>
  <si>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</si>
  <si>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</si>
  <si>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</si>
  <si>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</si>
  <si>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</si>
  <si>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</si>
  <si>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</si>
  <si>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</si>
  <si>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</si>
  <si>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</si>
  <si>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</si>
  <si>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</si>
  <si>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</si>
  <si>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</si>
  <si>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</si>
  <si>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</si>
  <si>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</si>
  <si>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</si>
  <si>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</si>
  <si>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</si>
  <si>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</si>
  <si>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</si>
  <si>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</si>
  <si>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</si>
  <si>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</si>
  <si>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</si>
  <si>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</si>
  <si>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</si>
  <si>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</si>
  <si>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</si>
  <si>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</si>
  <si>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</si>
  <si>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</si>
  <si>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</si>
  <si>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</si>
  <si>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</si>
  <si>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</si>
  <si>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</si>
  <si>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</si>
  <si>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</si>
  <si>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</si>
  <si>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</si>
  <si>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</si>
  <si>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</si>
  <si>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</si>
  <si>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</si>
  <si>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</si>
  <si>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</si>
  <si>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</si>
  <si>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</si>
  <si>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</si>
  <si>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</si>
  <si>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</si>
  <si>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</si>
  <si>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</si>
  <si>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</si>
  <si>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</si>
  <si>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</si>
  <si>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</si>
  <si>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</si>
  <si>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</si>
  <si>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</si>
  <si>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</si>
  <si>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</si>
  <si>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</si>
  <si>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</si>
  <si>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</si>
  <si>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</si>
  <si>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</si>
  <si>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</si>
  <si>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</si>
  <si>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</si>
  <si>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</si>
  <si>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</si>
  <si>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</si>
  <si>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</si>
  <si>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</si>
  <si>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</si>
  <si>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</si>
  <si>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</si>
  <si>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</si>
  <si>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</si>
  <si>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</si>
  <si>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</si>
  <si>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</si>
  <si>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</si>
  <si>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</si>
  <si>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</si>
  <si>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</si>
  <si>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</si>
  <si>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</si>
  <si>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</si>
  <si>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</si>
  <si>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</si>
  <si>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</si>
  <si>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</si>
  <si>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</si>
  <si>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</si>
  <si>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</si>
  <si>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</si>
  <si>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</si>
  <si>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</si>
  <si>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</si>
  <si>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</si>
  <si>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</si>
  <si>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</si>
  <si>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</si>
  <si>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</si>
  <si>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</si>
  <si>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</si>
  <si>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</si>
  <si>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</si>
  <si>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</si>
  <si>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</si>
  <si>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</si>
  <si>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</si>
  <si>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</si>
  <si>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</si>
  <si>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</si>
  <si>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</si>
  <si>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</si>
  <si>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</si>
  <si>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</si>
  <si>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</si>
  <si>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</si>
  <si>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</si>
  <si>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</si>
  <si>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</si>
  <si>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</si>
  <si>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</si>
  <si>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</si>
  <si>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</si>
  <si>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</si>
  <si>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</si>
  <si>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</si>
  <si>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</si>
  <si>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</si>
  <si>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</si>
  <si>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</si>
  <si>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</si>
  <si>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</si>
  <si>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</si>
  <si>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</si>
  <si>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</si>
  <si>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</si>
  <si>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</si>
  <si>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</si>
  <si>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</si>
  <si>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</si>
  <si>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</si>
  <si>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</si>
  <si>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</si>
  <si>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</si>
  <si>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</si>
  <si>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</si>
  <si>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</si>
  <si>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</si>
  <si>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</si>
  <si>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</si>
  <si>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</si>
  <si>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</si>
  <si>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</si>
  <si>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</si>
  <si>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</si>
  <si>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</si>
  <si>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</si>
  <si>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</si>
  <si>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</si>
  <si>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</si>
  <si>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</si>
  <si>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</si>
  <si>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</si>
  <si>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</si>
  <si>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</si>
  <si>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</si>
  <si>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</si>
  <si>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</si>
  <si>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</si>
  <si>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</si>
  <si>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</si>
  <si>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</si>
  <si>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</si>
  <si>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</si>
  <si>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</si>
  <si>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</si>
  <si>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</si>
  <si>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</si>
  <si>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</si>
  <si>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</si>
  <si>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</si>
  <si>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</si>
  <si>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</si>
  <si>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</si>
  <si>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</si>
  <si>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</si>
  <si>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</si>
  <si>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</si>
  <si>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</si>
  <si>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</si>
  <si>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</si>
  <si>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</si>
  <si>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</si>
  <si>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</si>
  <si>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</si>
  <si>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</si>
  <si>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</si>
  <si>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</si>
  <si>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</si>
  <si>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</si>
  <si>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</si>
  <si>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</si>
  <si>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</si>
  <si>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</si>
  <si>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</si>
  <si>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</si>
  <si>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</si>
  <si>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</si>
  <si>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</si>
  <si>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</si>
  <si>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</si>
  <si>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</si>
  <si>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</si>
  <si>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</si>
  <si>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</si>
  <si>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</si>
  <si>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</si>
  <si>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</si>
  <si>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</si>
  <si>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</si>
  <si>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</si>
  <si>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</si>
  <si>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</si>
  <si>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</si>
  <si>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</si>
  <si>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</si>
  <si>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</si>
  <si>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</si>
  <si>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</si>
  <si>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</si>
  <si>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</si>
  <si>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</si>
  <si>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</si>
  <si>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</si>
  <si>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</si>
  <si>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</si>
  <si>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</si>
  <si>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</si>
  <si>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</si>
  <si>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</si>
  <si>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</si>
  <si>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</si>
  <si>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</si>
  <si>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</si>
  <si>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</si>
  <si>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</si>
  <si>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</si>
  <si>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</si>
  <si>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</si>
  <si>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</si>
  <si>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</si>
  <si>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</si>
  <si>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</si>
  <si>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</si>
  <si>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</si>
  <si>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</si>
  <si>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</si>
  <si>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</si>
  <si>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</si>
  <si>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</si>
  <si>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</si>
  <si>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</si>
  <si>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</si>
  <si>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</si>
  <si>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</si>
  <si>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</si>
  <si>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</si>
  <si>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</si>
  <si>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</si>
  <si>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</si>
  <si>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</si>
  <si>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</si>
  <si>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</si>
  <si>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</si>
  <si>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</si>
  <si>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</si>
  <si>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</si>
  <si>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</si>
  <si>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</si>
  <si>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</si>
  <si>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</si>
  <si>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</si>
  <si>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</si>
  <si>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</si>
  <si>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</si>
  <si>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</si>
  <si>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</si>
  <si>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</si>
  <si>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</si>
  <si>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</si>
  <si>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</si>
  <si>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</si>
  <si>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</si>
  <si>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</si>
  <si>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</si>
  <si>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</si>
  <si>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</si>
  <si>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</si>
  <si>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</si>
  <si>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</si>
  <si>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</si>
  <si>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</si>
  <si>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</si>
  <si>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</si>
  <si>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</si>
  <si>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</si>
  <si>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</si>
  <si>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</si>
  <si>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</si>
  <si>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</si>
  <si>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</si>
  <si>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</si>
  <si>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</si>
  <si>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</si>
  <si>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</si>
  <si>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</si>
  <si>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</si>
  <si>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</si>
  <si>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</si>
  <si>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</si>
  <si>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</si>
  <si>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</si>
  <si>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</si>
  <si>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</si>
  <si>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</si>
  <si>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</si>
  <si>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</si>
  <si>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</si>
  <si>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</si>
  <si>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</si>
  <si>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</si>
  <si>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</si>
  <si>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</si>
  <si>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</si>
  <si>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</si>
  <si>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</si>
  <si>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</si>
  <si>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</si>
  <si>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</si>
  <si>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</si>
  <si>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</si>
  <si>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</si>
  <si>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</si>
  <si>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</si>
  <si>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</si>
  <si>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</si>
  <si>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</si>
  <si>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</si>
  <si>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</si>
  <si>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</si>
  <si>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</si>
  <si>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</si>
  <si>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</si>
  <si>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</si>
  <si>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</si>
  <si>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</si>
  <si>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</si>
  <si>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</si>
  <si>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</si>
  <si>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</si>
  <si>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</si>
  <si>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</si>
  <si>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</si>
  <si>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</si>
  <si>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</si>
  <si>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</si>
  <si>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</si>
  <si>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</si>
  <si>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</si>
  <si>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</si>
  <si>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</si>
  <si>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</si>
  <si>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</si>
  <si>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</si>
  <si>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</si>
  <si>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</si>
  <si>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</si>
  <si>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</si>
  <si>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</si>
  <si>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</si>
  <si>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</si>
  <si>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</si>
  <si>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</si>
  <si>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</si>
  <si>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</si>
  <si>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</si>
  <si>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</si>
  <si>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</si>
  <si>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</si>
  <si>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</si>
  <si>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</si>
  <si>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</si>
  <si>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</si>
  <si>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</si>
  <si>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</si>
  <si>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</si>
  <si>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</si>
  <si>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</si>
  <si>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</si>
  <si>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</si>
  <si>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</si>
  <si>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</si>
  <si>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</si>
  <si>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</si>
  <si>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</si>
  <si>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</si>
  <si>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</si>
  <si>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</si>
  <si>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</si>
  <si>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</si>
  <si>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</si>
  <si>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</si>
  <si>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</si>
  <si>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</si>
  <si>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</si>
  <si>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</si>
  <si>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</si>
  <si>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</si>
  <si>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</si>
  <si>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</si>
  <si>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</si>
  <si>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</si>
  <si>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</si>
  <si>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</si>
  <si>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</si>
  <si>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</si>
  <si>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</si>
  <si>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</si>
  <si>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</si>
  <si>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</si>
  <si>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</si>
  <si>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</si>
  <si>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</si>
  <si>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</si>
  <si>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</si>
  <si>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</si>
  <si>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</si>
  <si>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</si>
  <si>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</si>
  <si>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</si>
  <si>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</si>
  <si>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</si>
  <si>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</si>
  <si>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</si>
  <si>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</si>
  <si>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</si>
  <si>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</si>
  <si>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</si>
  <si>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</si>
  <si>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</si>
  <si>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</si>
  <si>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</si>
  <si>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</si>
  <si>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</si>
  <si>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</si>
  <si>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</si>
  <si>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</si>
  <si>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</si>
  <si>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</si>
  <si>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</si>
  <si>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</si>
  <si>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</si>
  <si>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</si>
  <si>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</si>
  <si>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</si>
  <si>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</si>
  <si>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</si>
  <si>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</si>
  <si>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</si>
  <si>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</si>
  <si>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</si>
  <si>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</si>
  <si>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</si>
  <si>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</si>
  <si>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</si>
  <si>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</si>
  <si>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</si>
  <si>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</si>
  <si>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</si>
  <si>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</si>
  <si>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</si>
  <si>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</si>
  <si>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</si>
  <si>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</si>
  <si>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</si>
  <si>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</si>
  <si>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</si>
  <si>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</si>
  <si>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</si>
  <si>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</si>
  <si>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</si>
  <si>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</si>
  <si>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</si>
  <si>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</si>
  <si>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</si>
  <si>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</si>
  <si>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</si>
  <si>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</si>
  <si>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</si>
  <si>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</si>
  <si>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</si>
  <si>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</si>
  <si>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</si>
  <si>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</si>
  <si>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</si>
  <si>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</si>
  <si>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</si>
  <si>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</si>
  <si>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</si>
  <si>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</si>
  <si>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</si>
  <si>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</si>
  <si>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</si>
  <si>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</si>
  <si>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</si>
  <si>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</si>
  <si>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</si>
  <si>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</si>
  <si>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</si>
  <si>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</si>
  <si>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</si>
  <si>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</si>
  <si>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</si>
  <si>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</si>
  <si>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</si>
  <si>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</si>
  <si>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</si>
  <si>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</si>
  <si>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</si>
  <si>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</si>
  <si>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</si>
  <si>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</si>
  <si>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</si>
  <si>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</si>
  <si>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</si>
  <si>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</si>
  <si>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</si>
  <si>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</si>
  <si>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</si>
  <si>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</si>
  <si>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</si>
  <si>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</si>
  <si>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</si>
  <si>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</si>
  <si>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</si>
  <si>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</si>
  <si>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</si>
  <si>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</si>
  <si>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</si>
  <si>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</si>
  <si>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</si>
  <si>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</si>
  <si>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</si>
  <si>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</si>
  <si>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</si>
  <si>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</si>
  <si>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</si>
  <si>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</si>
  <si>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</si>
  <si>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</si>
  <si>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</si>
  <si>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</si>
  <si>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</si>
  <si>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</si>
  <si>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</si>
  <si>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</si>
  <si>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</si>
  <si>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</si>
  <si>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</si>
  <si>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</si>
  <si>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</si>
  <si>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</si>
  <si>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</si>
  <si>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</si>
  <si>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</si>
  <si>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</si>
  <si>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</si>
  <si>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</si>
  <si>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</si>
  <si>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</si>
  <si>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</si>
  <si>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</si>
  <si>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</si>
  <si>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</si>
  <si>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</si>
  <si>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</si>
  <si>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</si>
  <si>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</si>
  <si>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</si>
  <si>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</si>
  <si>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</si>
  <si>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</si>
  <si>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</si>
  <si>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</si>
  <si>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</si>
  <si>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</si>
  <si>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</si>
  <si>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</si>
  <si>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</si>
  <si>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</si>
  <si>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</si>
  <si>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</si>
  <si>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</si>
  <si>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</si>
  <si>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</si>
  <si>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</si>
  <si>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</si>
  <si>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</si>
  <si>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</si>
  <si>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</si>
  <si>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</si>
  <si>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</si>
  <si>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</si>
  <si>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</si>
  <si>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</si>
  <si>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</si>
  <si>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</si>
  <si>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</si>
  <si>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</si>
  <si>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</si>
  <si>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</si>
  <si>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</si>
  <si>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</si>
  <si>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</si>
  <si>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</si>
  <si>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</si>
  <si>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</si>
  <si>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</si>
  <si>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</si>
  <si>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</si>
  <si>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</si>
  <si>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</si>
  <si>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</si>
  <si>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</si>
  <si>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</si>
  <si>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</si>
  <si>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</si>
  <si>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</si>
  <si>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</si>
  <si>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</si>
  <si>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</si>
  <si>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</si>
  <si>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</si>
  <si>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</si>
  <si>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</si>
  <si>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</si>
  <si>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</si>
  <si>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</si>
  <si>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</si>
  <si>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</si>
  <si>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</si>
  <si>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</si>
  <si>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</si>
  <si>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</si>
  <si>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</si>
  <si>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</si>
  <si>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</si>
  <si>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</si>
  <si>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</si>
  <si>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</si>
  <si>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</si>
  <si>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</si>
  <si>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</si>
  <si>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</si>
  <si>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</si>
  <si>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</si>
  <si>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</si>
  <si>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</si>
  <si>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</si>
  <si>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</si>
  <si>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</si>
  <si>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</si>
  <si>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</si>
  <si>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</si>
  <si>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</si>
  <si>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</si>
  <si>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</si>
  <si>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</si>
  <si>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</si>
  <si>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</si>
  <si>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</si>
  <si>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</si>
  <si>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</si>
  <si>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</si>
  <si>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</si>
  <si>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</si>
  <si>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</si>
  <si>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</si>
  <si>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</si>
  <si>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</si>
  <si>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</si>
  <si>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</si>
  <si>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</si>
  <si>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</si>
  <si>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</si>
  <si>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</si>
  <si>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</si>
  <si>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</si>
  <si>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</si>
  <si>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</si>
  <si>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</si>
  <si>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</si>
  <si>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</si>
  <si>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</si>
  <si>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</si>
  <si>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</si>
  <si>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</si>
  <si>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</si>
  <si>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</si>
  <si>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</si>
  <si>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</si>
  <si>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</si>
  <si>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</si>
  <si>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</si>
  <si>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</si>
  <si>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</si>
  <si>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</si>
  <si>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</si>
  <si>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</si>
  <si>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</si>
  <si>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</si>
  <si>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</si>
  <si>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</si>
  <si>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</si>
  <si>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</si>
  <si>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</si>
  <si>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</si>
  <si>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</si>
  <si>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</si>
  <si>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</si>
  <si>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</si>
  <si>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</si>
  <si>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</si>
  <si>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</si>
  <si>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</si>
  <si>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</si>
  <si>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</si>
  <si>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</si>
  <si>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</si>
  <si>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</si>
  <si>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</si>
  <si>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</si>
  <si>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</si>
  <si>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</si>
  <si>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</si>
  <si>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</si>
  <si>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</si>
  <si>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</si>
  <si>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</si>
  <si>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</si>
  <si>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</si>
  <si>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</si>
  <si>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</si>
  <si>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</si>
  <si>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</si>
  <si>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</si>
  <si>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</si>
  <si>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</si>
  <si>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</si>
  <si>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</si>
  <si>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</si>
  <si>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</si>
  <si>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</si>
  <si>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</si>
  <si>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</si>
  <si>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</si>
  <si>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</si>
  <si>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</si>
  <si>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</si>
  <si>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</si>
  <si>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</si>
  <si>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</si>
  <si>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</si>
  <si>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</si>
  <si>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</si>
  <si>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</si>
  <si>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</si>
  <si>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</si>
  <si>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</si>
  <si>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</si>
  <si>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</si>
  <si>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</si>
  <si>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</si>
  <si>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</si>
  <si>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</si>
  <si>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</si>
  <si>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</si>
  <si>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</si>
  <si>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</si>
  <si>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</si>
  <si>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</si>
  <si>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</si>
  <si>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</si>
  <si>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</si>
  <si>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</si>
  <si>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</si>
  <si>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</si>
  <si>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</si>
  <si>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</si>
  <si>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</si>
  <si>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</si>
  <si>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</si>
  <si>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</si>
  <si>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</si>
  <si>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</si>
  <si>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</si>
  <si>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</si>
  <si>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</si>
  <si>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</si>
  <si>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</si>
  <si>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</si>
  <si>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</si>
  <si>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</si>
  <si>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</si>
  <si>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</si>
  <si>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</si>
  <si>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</si>
  <si>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</si>
  <si>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</si>
  <si>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</si>
  <si>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</si>
  <si>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</si>
  <si>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</si>
  <si>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</si>
  <si>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</si>
  <si>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</si>
  <si>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</si>
  <si>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</si>
  <si>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</si>
  <si>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</si>
  <si>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</si>
  <si>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</si>
  <si>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</si>
  <si>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</si>
  <si>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</si>
  <si>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</si>
  <si>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</si>
  <si>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</si>
  <si>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</si>
  <si>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</si>
  <si>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</si>
  <si>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</si>
  <si>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</si>
  <si>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</si>
  <si>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</si>
  <si>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</si>
  <si>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</si>
  <si>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</si>
  <si>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</si>
  <si>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</si>
  <si>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</si>
  <si>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</si>
  <si>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</si>
  <si>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</si>
  <si>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</si>
  <si>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</si>
  <si>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</si>
  <si>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</si>
  <si>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</si>
  <si>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</si>
  <si>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</si>
  <si>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</si>
  <si>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</si>
  <si>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</si>
  <si>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</si>
  <si>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</si>
  <si>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</si>
  <si>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</si>
  <si>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</si>
  <si>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</si>
  <si>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</si>
  <si>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</si>
  <si>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</si>
  <si>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</si>
  <si>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</si>
  <si>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</si>
  <si>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</si>
  <si>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</si>
  <si>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</si>
  <si>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</si>
  <si>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</si>
  <si>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</si>
  <si>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</si>
  <si>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</si>
  <si>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</si>
  <si>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</si>
  <si>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</si>
  <si>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</si>
  <si>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</si>
  <si>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</si>
  <si>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</si>
  <si>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</si>
  <si>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</si>
  <si>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</si>
  <si>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</si>
  <si>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</si>
  <si>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</si>
  <si>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</si>
  <si>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</si>
  <si>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</si>
  <si>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</si>
  <si>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</si>
  <si>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</si>
  <si>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</si>
  <si>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</si>
  <si>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</si>
  <si>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</si>
  <si>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</si>
  <si>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</si>
  <si>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</si>
  <si>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</si>
  <si>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</si>
  <si>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</si>
  <si>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</si>
  <si>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</si>
  <si>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</si>
  <si>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</si>
  <si>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</si>
  <si>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</si>
  <si>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</si>
  <si>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</si>
  <si>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</si>
  <si>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</si>
  <si>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</si>
  <si>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</si>
  <si>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</si>
  <si>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</si>
  <si>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</si>
  <si>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</si>
  <si>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</si>
  <si>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</si>
  <si>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</si>
  <si>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</si>
  <si>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</si>
  <si>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</si>
  <si>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</si>
  <si>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</si>
  <si>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</si>
  <si>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</si>
  <si>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</si>
  <si>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</si>
  <si>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</si>
  <si>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</si>
  <si>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</si>
  <si>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</si>
  <si>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</si>
  <si>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</si>
  <si>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</si>
  <si>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</si>
  <si>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</si>
  <si>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</si>
  <si>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</si>
  <si>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</si>
  <si>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</si>
  <si>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</si>
  <si>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</si>
  <si>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</si>
  <si>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</si>
  <si>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</si>
  <si>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</si>
  <si>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</si>
  <si>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</si>
  <si>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</si>
  <si>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</si>
  <si>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</si>
  <si>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</si>
  <si>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</si>
  <si>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</si>
  <si>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</si>
  <si>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</si>
  <si>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</si>
  <si>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</si>
  <si>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</si>
  <si>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</si>
  <si>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</si>
  <si>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</si>
  <si>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</si>
  <si>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</si>
  <si>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</si>
  <si>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</si>
  <si>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</si>
  <si>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</si>
  <si>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</si>
  <si>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</si>
  <si>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</si>
  <si>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</si>
  <si>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</si>
  <si>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</si>
  <si>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</si>
  <si>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</si>
  <si>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</si>
  <si>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</si>
  <si>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</si>
  <si>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</si>
  <si>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</si>
  <si>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</si>
  <si>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</si>
  <si>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</si>
  <si>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</si>
  <si>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</si>
  <si>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</si>
  <si>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</si>
  <si>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</si>
  <si>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</si>
  <si>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</si>
  <si>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</si>
  <si>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</si>
  <si>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</si>
  <si>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</si>
  <si>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</si>
  <si>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</si>
  <si>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</si>
  <si>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</si>
  <si>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</si>
  <si>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</si>
  <si>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</si>
  <si>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</si>
  <si>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</si>
  <si>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</si>
  <si>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</si>
  <si>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</si>
  <si>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</si>
  <si>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</si>
  <si>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</si>
  <si>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</si>
  <si>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</si>
  <si>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</si>
  <si>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</si>
  <si>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</si>
  <si>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</si>
  <si>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</si>
  <si>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</si>
  <si>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</si>
  <si>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</si>
  <si>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</si>
  <si>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</si>
  <si>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</si>
  <si>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</si>
  <si>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</si>
  <si>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</si>
  <si>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</si>
  <si>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</si>
  <si>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</si>
  <si>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</si>
  <si>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</si>
  <si>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</si>
  <si>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</si>
  <si>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</si>
  <si>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</si>
  <si>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</si>
  <si>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</si>
  <si>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</si>
  <si>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</si>
  <si>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</si>
  <si>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</si>
  <si>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</si>
  <si>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</si>
  <si>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</si>
  <si>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</si>
  <si>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</si>
  <si>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</si>
  <si>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</si>
  <si>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</si>
  <si>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</si>
  <si>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</si>
  <si>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</si>
  <si>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</si>
  <si>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</si>
  <si>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</si>
  <si>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</si>
  <si>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</si>
  <si>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</si>
  <si>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</si>
  <si>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</si>
  <si>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</si>
  <si>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</si>
  <si>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</si>
  <si>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</si>
  <si>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</si>
  <si>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</si>
  <si>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</si>
  <si>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</si>
  <si>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</si>
  <si>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</si>
  <si>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</si>
  <si>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</si>
  <si>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</si>
  <si>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</si>
  <si>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</si>
  <si>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</si>
  <si>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</si>
  <si>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</si>
  <si>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</si>
  <si>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</si>
  <si>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</si>
  <si>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</si>
  <si>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</si>
  <si>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</si>
  <si>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</si>
  <si>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</si>
  <si>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</si>
  <si>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</si>
  <si>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</si>
  <si>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</si>
  <si>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</si>
  <si>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</si>
  <si>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</si>
  <si>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</si>
  <si>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</si>
  <si>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</si>
  <si>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</si>
  <si>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</si>
  <si>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</si>
  <si>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</si>
  <si>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</si>
  <si>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</si>
  <si>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</si>
  <si>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</si>
  <si>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</si>
  <si>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</si>
  <si>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</si>
  <si>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</si>
  <si>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</si>
  <si>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</si>
  <si>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</si>
  <si>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</si>
  <si>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</si>
  <si>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</si>
  <si>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</si>
  <si>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</si>
  <si>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</si>
  <si>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</si>
  <si>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</si>
  <si>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</si>
  <si>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</si>
  <si>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</si>
  <si>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</si>
  <si>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</si>
  <si>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</si>
  <si>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</si>
  <si>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</si>
  <si>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</si>
  <si>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</si>
  <si>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</si>
  <si>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</si>
  <si>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</si>
  <si>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</si>
  <si>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</si>
  <si>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</si>
  <si>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</si>
  <si>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</si>
  <si>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</si>
  <si>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</si>
  <si>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</si>
  <si>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</si>
  <si>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</si>
  <si>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</si>
  <si>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</si>
  <si>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</si>
  <si>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</si>
  <si>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</si>
  <si>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</si>
  <si>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</si>
  <si>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</si>
  <si>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</si>
  <si>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</si>
  <si>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</si>
  <si>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</si>
  <si>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</si>
  <si>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</si>
  <si>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</si>
  <si>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</si>
  <si>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</si>
  <si>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</si>
  <si>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</si>
  <si>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</si>
  <si>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</si>
  <si>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</si>
  <si>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</si>
  <si>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</si>
  <si>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</si>
  <si>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</si>
  <si>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</si>
  <si>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</si>
  <si>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</si>
  <si>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</si>
  <si>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</si>
  <si>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</si>
  <si>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</si>
  <si>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</si>
  <si>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</si>
  <si>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</si>
  <si>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</si>
  <si>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</si>
  <si>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</si>
  <si>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</si>
  <si>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</si>
  <si>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</si>
  <si>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</si>
  <si>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</si>
  <si>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</si>
  <si>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</si>
  <si>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</si>
  <si>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</si>
  <si>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</si>
  <si>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</si>
  <si>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</si>
  <si>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</si>
  <si>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</si>
  <si>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</si>
  <si>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</si>
  <si>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</si>
  <si>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</si>
  <si>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</si>
  <si>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</si>
  <si>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</si>
  <si>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</si>
  <si>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</si>
  <si>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</si>
  <si>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</si>
  <si>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</si>
  <si>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</si>
  <si>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</si>
  <si>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</si>
  <si>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</si>
  <si>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</si>
  <si>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</si>
  <si>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</si>
  <si>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</si>
  <si>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</si>
  <si>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</si>
  <si>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</si>
  <si>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</si>
  <si>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</si>
  <si>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</si>
  <si>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</si>
  <si>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</si>
  <si>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</si>
  <si>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</si>
  <si>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</si>
  <si>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</si>
  <si>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</si>
  <si>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</si>
  <si>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</si>
  <si>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</si>
  <si>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</si>
  <si>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</si>
  <si>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</si>
  <si>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</si>
  <si>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</si>
  <si>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</si>
  <si>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</si>
  <si>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</si>
  <si>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</si>
  <si>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</si>
  <si>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</si>
  <si>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</si>
  <si>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</si>
  <si>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</si>
  <si>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</si>
  <si>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</si>
  <si>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</si>
  <si>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</si>
  <si>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</si>
  <si>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</si>
  <si>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</si>
  <si>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</si>
  <si>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</si>
  <si>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</si>
  <si>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</si>
  <si>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</si>
  <si>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</si>
  <si>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</si>
  <si>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</si>
  <si>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</si>
  <si>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</si>
  <si>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</si>
  <si>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</si>
  <si>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</si>
  <si>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</si>
  <si>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</si>
  <si>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</si>
  <si>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</si>
  <si>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</si>
  <si>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</si>
  <si>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</si>
  <si>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</si>
  <si>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</si>
  <si>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</si>
  <si>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</si>
  <si>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</si>
  <si>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</si>
  <si>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</si>
  <si>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</si>
  <si>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</si>
  <si>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</si>
  <si>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</si>
  <si>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</si>
  <si>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</si>
  <si>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</si>
  <si>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</si>
  <si>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</si>
  <si>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</si>
  <si>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</si>
  <si>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</si>
  <si>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</si>
  <si>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</si>
  <si>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</si>
  <si>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</si>
  <si>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</si>
  <si>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</si>
  <si>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</si>
  <si>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</si>
  <si>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</si>
  <si>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</si>
  <si>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</si>
  <si>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</si>
  <si>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</si>
  <si>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</si>
  <si>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</si>
  <si>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</si>
  <si>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</si>
  <si>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</si>
  <si>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</si>
  <si>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</si>
  <si>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</si>
  <si>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</si>
  <si>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</si>
  <si>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</si>
  <si>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</si>
  <si>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</si>
  <si>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</si>
  <si>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</si>
  <si>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</si>
  <si>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</si>
  <si>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</si>
  <si>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</si>
  <si>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</si>
  <si>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</si>
  <si>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</si>
  <si>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</si>
  <si>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</si>
  <si>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</si>
  <si>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</si>
  <si>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</si>
  <si>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</si>
  <si>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</si>
  <si>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</si>
  <si>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</si>
  <si>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</si>
  <si>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</si>
  <si>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</si>
  <si>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</si>
  <si>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</si>
  <si>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</si>
  <si>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</si>
  <si>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</si>
  <si>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</si>
  <si>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</si>
  <si>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</si>
  <si>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</si>
  <si>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</si>
  <si>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</si>
  <si>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</si>
  <si>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</si>
  <si>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</si>
  <si>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</si>
  <si>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</si>
  <si>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</si>
  <si>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</si>
  <si>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</si>
  <si>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</si>
  <si>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</si>
  <si>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</si>
  <si>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</si>
  <si>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</si>
  <si>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</si>
  <si>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</si>
  <si>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</si>
  <si>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</si>
  <si>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</si>
  <si>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</si>
  <si>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</si>
  <si>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</si>
  <si>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</si>
  <si>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</si>
  <si>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</si>
  <si>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</si>
  <si>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</si>
  <si>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</si>
  <si>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</si>
  <si>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</si>
  <si>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</si>
  <si>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</si>
  <si>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</si>
  <si>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</si>
  <si>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</si>
  <si>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</si>
  <si>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</si>
  <si>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</si>
  <si>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</si>
  <si>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</si>
  <si>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</si>
  <si>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</si>
  <si>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</si>
  <si>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</si>
  <si>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</si>
  <si>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</si>
  <si>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</si>
  <si>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</si>
  <si>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</si>
  <si>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</si>
  <si>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</si>
  <si>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</si>
  <si>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</si>
  <si>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</si>
  <si>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</si>
  <si>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</si>
  <si>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</si>
  <si>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</si>
  <si>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</si>
  <si>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</si>
  <si>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</si>
  <si>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</si>
  <si>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</si>
  <si>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</si>
  <si>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</si>
  <si>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</si>
  <si>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</si>
  <si>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</si>
  <si>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</si>
  <si>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</si>
  <si>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</si>
  <si>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</si>
  <si>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</si>
  <si>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</si>
  <si>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</si>
  <si>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</si>
  <si>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</si>
  <si>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</si>
  <si>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</si>
  <si>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</si>
  <si>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</si>
  <si>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</si>
  <si>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</si>
  <si>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</si>
  <si>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</si>
  <si>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</si>
  <si>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</si>
  <si>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</si>
  <si>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</si>
  <si>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</si>
  <si>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</si>
  <si>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</si>
  <si>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</si>
  <si>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</si>
  <si>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</si>
  <si>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</si>
  <si>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</si>
  <si>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</si>
  <si>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</si>
  <si>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</si>
  <si>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</si>
  <si>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</si>
  <si>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</si>
  <si>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</si>
  <si>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</si>
  <si>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</si>
  <si>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</si>
  <si>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</si>
  <si>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</si>
  <si>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</si>
  <si>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</si>
  <si>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</si>
  <si>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</si>
  <si>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</si>
  <si>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</si>
  <si>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</si>
  <si>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</si>
  <si>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</si>
  <si>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</si>
  <si>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</si>
  <si>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</si>
  <si>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</si>
  <si>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</si>
  <si>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</si>
  <si>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</si>
  <si>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</si>
  <si>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</si>
  <si>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</si>
  <si>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</si>
  <si>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</si>
  <si>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</si>
  <si>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</si>
  <si>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</si>
  <si>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</si>
  <si>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</si>
  <si>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</si>
  <si>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</si>
  <si>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</si>
  <si>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</si>
  <si>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</si>
  <si>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</si>
  <si>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</si>
  <si>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</si>
  <si>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</si>
  <si>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</si>
  <si>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</si>
  <si>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</si>
  <si>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</si>
  <si>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</si>
  <si>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</si>
  <si>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</si>
  <si>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</si>
  <si>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</si>
  <si>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</si>
  <si>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</si>
  <si>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</si>
  <si>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</si>
  <si>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</si>
  <si>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</si>
  <si>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</si>
  <si>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</si>
  <si>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</si>
  <si>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</si>
  <si>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</si>
  <si>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</si>
  <si>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</si>
  <si>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</si>
  <si>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</si>
  <si>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</si>
  <si>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</si>
  <si>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</si>
  <si>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</si>
  <si>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</si>
  <si>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</si>
  <si>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</si>
  <si>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</si>
  <si>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</si>
  <si>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</si>
  <si>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</si>
  <si>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</si>
  <si>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</si>
  <si>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</si>
  <si>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</si>
  <si>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</si>
  <si>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</si>
  <si>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</si>
  <si>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</si>
  <si>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</si>
  <si>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</si>
  <si>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</si>
  <si>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</si>
  <si>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</si>
  <si>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</si>
  <si>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</si>
  <si>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</si>
  <si>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</si>
  <si>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</si>
  <si>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</si>
  <si>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</si>
  <si>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</si>
  <si>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</si>
  <si>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</si>
  <si>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</si>
  <si>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</si>
  <si>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</si>
  <si>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</si>
  <si>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</si>
  <si>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</si>
  <si>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</si>
  <si>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</si>
  <si>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</si>
  <si>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</si>
  <si>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</si>
  <si>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</si>
  <si>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</si>
  <si>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</si>
  <si>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</si>
  <si>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</si>
  <si>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</si>
  <si>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</si>
  <si>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</si>
  <si>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</si>
  <si>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</si>
  <si>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</si>
  <si>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</si>
  <si>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</si>
  <si>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</si>
  <si>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</si>
  <si>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</si>
  <si>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</si>
  <si>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</si>
  <si>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</si>
  <si>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</si>
  <si>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</si>
  <si>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</si>
  <si>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</si>
  <si>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</si>
  <si>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</si>
  <si>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</si>
  <si>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</si>
  <si>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</si>
  <si>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</si>
  <si>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</si>
  <si>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</si>
  <si>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</si>
  <si>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</si>
  <si>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</si>
  <si>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</si>
  <si>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</si>
  <si>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</si>
  <si>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</si>
  <si>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</si>
  <si>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</si>
  <si>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</si>
  <si>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</si>
  <si>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</si>
  <si>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</si>
  <si>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</si>
  <si>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</si>
  <si>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</si>
  <si>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</si>
  <si>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</si>
  <si>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</si>
  <si>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</si>
  <si>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</si>
  <si>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</si>
  <si>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</si>
  <si>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</si>
  <si>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</si>
  <si>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</si>
  <si>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</si>
  <si>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</si>
  <si>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</si>
  <si>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</si>
  <si>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</si>
  <si>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</si>
  <si>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</si>
  <si>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</si>
  <si>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</si>
  <si>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</si>
  <si>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</si>
  <si>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</si>
  <si>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</si>
  <si>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</si>
  <si>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</si>
  <si>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</si>
  <si>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</si>
  <si>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</si>
  <si>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</si>
  <si>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</si>
  <si>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</si>
  <si>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</si>
  <si>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</si>
  <si>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</si>
  <si>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</si>
  <si>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</si>
  <si>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</si>
  <si>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</si>
  <si>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</si>
  <si>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</si>
  <si>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</si>
  <si>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</si>
  <si>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</si>
  <si>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</si>
  <si>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</si>
  <si>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</si>
  <si>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</si>
  <si>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</si>
  <si>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</si>
  <si>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</si>
  <si>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</si>
  <si>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</si>
  <si>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</si>
  <si>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</si>
  <si>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</si>
  <si>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</si>
  <si>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</si>
  <si>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</si>
  <si>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</si>
  <si>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</si>
  <si>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</si>
  <si>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</si>
  <si>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</si>
  <si>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</si>
  <si>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</si>
  <si>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</si>
  <si>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</si>
  <si>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</si>
  <si>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</si>
  <si>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</si>
  <si>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</si>
  <si>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</si>
  <si>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</si>
  <si>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</si>
  <si>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</si>
  <si>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</si>
  <si>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</si>
  <si>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</si>
  <si>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</si>
  <si>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</si>
  <si>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</si>
  <si>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</si>
  <si>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</si>
  <si>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</si>
  <si>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</si>
  <si>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</si>
  <si>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</si>
  <si>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</si>
  <si>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</si>
  <si>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</si>
  <si>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</si>
  <si>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</si>
  <si>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</si>
  <si>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</si>
  <si>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</si>
  <si>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</si>
  <si>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</si>
  <si>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</si>
  <si>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</si>
  <si>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</si>
  <si>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</si>
  <si>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</si>
  <si>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</si>
  <si>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</si>
  <si>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</si>
  <si>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</si>
  <si>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</si>
  <si>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</si>
  <si>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</si>
  <si>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</si>
  <si>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</si>
  <si>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</si>
  <si>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</si>
  <si>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</si>
  <si>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</si>
  <si>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</si>
  <si>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</si>
  <si>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</si>
  <si>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</si>
  <si>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</si>
  <si>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</si>
  <si>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</si>
  <si>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</si>
  <si>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</si>
  <si>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</si>
  <si>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</si>
  <si>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</si>
  <si>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</si>
  <si>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</si>
  <si>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</si>
  <si>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</si>
  <si>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</si>
  <si>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</si>
  <si>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</si>
  <si>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</si>
  <si>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</si>
  <si>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</si>
  <si>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</si>
  <si>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</si>
  <si>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</si>
  <si>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</si>
  <si>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</si>
  <si>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</si>
  <si>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</si>
  <si>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</si>
  <si>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</si>
  <si>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</si>
  <si>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</si>
  <si>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</si>
  <si>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</si>
  <si>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</si>
  <si>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</si>
  <si>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</si>
  <si>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</si>
  <si>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</si>
  <si>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</si>
  <si>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</si>
  <si>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</si>
  <si>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</si>
  <si>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</si>
  <si>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</si>
  <si>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</si>
  <si>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</si>
  <si>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</si>
  <si>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</si>
  <si>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</si>
  <si>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</si>
  <si>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</si>
  <si>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</si>
  <si>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</si>
  <si>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</si>
  <si>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</si>
  <si>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</si>
  <si>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</si>
  <si>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</si>
  <si>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</si>
  <si>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</si>
  <si>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</si>
  <si>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</si>
  <si>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</si>
  <si>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</si>
  <si>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</si>
  <si>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</si>
  <si>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</si>
  <si>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</si>
  <si>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</si>
  <si>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</si>
  <si>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</si>
  <si>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</si>
  <si>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</si>
  <si>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</si>
  <si>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</si>
  <si>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</si>
  <si>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</si>
  <si>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</si>
  <si>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</si>
  <si>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</si>
  <si>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</si>
  <si>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</si>
  <si>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</si>
  <si>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</si>
  <si>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</si>
  <si>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</si>
  <si>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</si>
  <si>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</si>
  <si>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</si>
  <si>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</si>
  <si>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</si>
  <si>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</si>
  <si>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</si>
  <si>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</si>
  <si>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</si>
  <si>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</si>
  <si>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</si>
  <si>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</si>
  <si>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</si>
  <si>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</si>
  <si>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</si>
  <si>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</si>
  <si>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</si>
  <si>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</si>
  <si>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</si>
  <si>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</si>
  <si>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</si>
  <si>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</si>
  <si>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</si>
  <si>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</si>
  <si>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</si>
  <si>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</si>
  <si>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</si>
  <si>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</si>
  <si>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</si>
  <si>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</si>
  <si>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</si>
  <si>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</si>
  <si>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</si>
  <si>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</si>
  <si>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</si>
  <si>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</si>
  <si>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</si>
  <si>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</si>
  <si>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</si>
  <si>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</si>
  <si>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</si>
  <si>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</si>
  <si>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</si>
  <si>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</si>
  <si>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</si>
  <si>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</si>
  <si>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</si>
  <si>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</si>
  <si>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</si>
  <si>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</si>
  <si>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</si>
  <si>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</si>
  <si>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</si>
  <si>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</si>
  <si>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</si>
  <si>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</si>
  <si>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</si>
  <si>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</si>
  <si>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</si>
  <si>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</si>
  <si>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</si>
  <si>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</si>
  <si>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</si>
  <si>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</si>
  <si>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</si>
  <si>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</si>
  <si>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</si>
  <si>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</si>
  <si>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</si>
  <si>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</si>
  <si>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</si>
  <si>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</si>
  <si>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</si>
  <si>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</si>
  <si>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</si>
  <si>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</si>
  <si>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</si>
  <si>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</si>
  <si>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</si>
  <si>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</si>
  <si>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</si>
  <si>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</si>
  <si>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</si>
  <si>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</si>
  <si>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</si>
  <si>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</si>
  <si>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</si>
  <si>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</si>
  <si>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</si>
  <si>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</si>
  <si>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</si>
  <si>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</si>
  <si>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</si>
  <si>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</si>
  <si>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</si>
  <si>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</si>
  <si>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</si>
  <si>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</si>
  <si>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</si>
  <si>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</si>
  <si>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</si>
  <si>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</si>
  <si>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</si>
  <si>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</si>
  <si>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</si>
  <si>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</si>
  <si>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</si>
  <si>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</si>
  <si>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</si>
  <si>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</si>
  <si>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</si>
  <si>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</si>
  <si>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</si>
  <si>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</si>
  <si>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</si>
  <si>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</si>
  <si>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</si>
  <si>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</si>
  <si>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</si>
  <si>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</si>
  <si>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</si>
  <si>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</si>
  <si>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</si>
  <si>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</si>
  <si>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</si>
  <si>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</si>
  <si>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</si>
  <si>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</si>
  <si>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</si>
  <si>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</si>
  <si>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</si>
  <si>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</si>
  <si>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</si>
  <si>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</si>
  <si>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</si>
  <si>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</si>
  <si>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</si>
  <si>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</si>
  <si>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</si>
  <si>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</si>
  <si>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</si>
  <si>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</si>
  <si>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</si>
  <si>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</si>
  <si>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</si>
  <si>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</si>
  <si>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</si>
  <si>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</si>
  <si>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</si>
  <si>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</si>
  <si>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</si>
  <si>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</si>
  <si>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</si>
  <si>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</si>
  <si>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</si>
  <si>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</si>
  <si>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</si>
  <si>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</si>
  <si>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</si>
  <si>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</si>
  <si>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</si>
  <si>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</si>
  <si>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</si>
  <si>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</si>
  <si>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</si>
  <si>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</si>
  <si>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</si>
  <si>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</si>
  <si>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</si>
  <si>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</si>
  <si>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</si>
  <si>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</si>
  <si>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</si>
  <si>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</si>
  <si>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</si>
  <si>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</si>
  <si>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</si>
  <si>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</si>
  <si>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</si>
  <si>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</si>
  <si>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</si>
  <si>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</si>
  <si>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</si>
  <si>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</si>
  <si>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</si>
  <si>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</si>
  <si>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</si>
  <si>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</si>
  <si>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</si>
  <si>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</si>
  <si>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</si>
  <si>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</si>
  <si>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</si>
  <si>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</si>
  <si>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</si>
  <si>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</si>
  <si>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</si>
  <si>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</si>
  <si>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</si>
  <si>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</si>
  <si>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</si>
  <si>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</si>
  <si>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</si>
  <si>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</si>
  <si>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</si>
  <si>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</si>
  <si>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</si>
  <si>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</si>
  <si>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</si>
  <si>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</si>
  <si>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</si>
  <si>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</si>
  <si>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</si>
  <si>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</si>
  <si>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</si>
  <si>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</si>
  <si>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</si>
  <si>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</si>
  <si>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</si>
  <si>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</si>
  <si>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</si>
  <si>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</si>
  <si>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</si>
  <si>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</si>
  <si>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</si>
  <si>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</si>
  <si>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</si>
  <si>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</si>
  <si>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</si>
  <si>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</si>
  <si>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</si>
  <si>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</si>
  <si>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</si>
  <si>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</si>
  <si>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</si>
  <si>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</si>
  <si>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</si>
  <si>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</si>
  <si>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</si>
  <si>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</si>
  <si>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</si>
  <si>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</si>
  <si>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</si>
  <si>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</si>
  <si>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</si>
  <si>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</si>
  <si>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</si>
  <si>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</si>
  <si>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</si>
  <si>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</si>
  <si>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</si>
  <si>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</si>
  <si>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</si>
  <si>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</si>
  <si>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</si>
  <si>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</si>
  <si>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</si>
  <si>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</si>
  <si>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</si>
  <si>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</si>
  <si>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</si>
  <si>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</si>
  <si>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</si>
  <si>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</si>
  <si>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</si>
  <si>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</si>
  <si>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</si>
  <si>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</si>
  <si>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</si>
  <si>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</si>
  <si>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</si>
  <si>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</si>
  <si>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</si>
  <si>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</si>
  <si>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</si>
  <si>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</si>
  <si>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</si>
  <si>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</si>
  <si>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</si>
  <si>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</si>
  <si>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</si>
  <si>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</si>
  <si>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</si>
  <si>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</si>
  <si>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</si>
  <si>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</si>
  <si>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</si>
  <si>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</si>
  <si>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</si>
  <si>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</si>
  <si>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</si>
  <si>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</si>
  <si>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</si>
  <si>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</si>
  <si>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</si>
  <si>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</si>
  <si>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</si>
  <si>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</si>
  <si>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</si>
  <si>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</si>
  <si>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</si>
  <si>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</si>
  <si>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</si>
  <si>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</si>
  <si>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</si>
  <si>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</si>
  <si>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</si>
  <si>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</si>
  <si>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</si>
  <si>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</si>
  <si>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</si>
  <si>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</si>
  <si>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</si>
  <si>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</si>
  <si>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</si>
  <si>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</si>
  <si>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</si>
  <si>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</si>
  <si>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</si>
  <si>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</si>
  <si>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</si>
  <si>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</si>
  <si>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</si>
  <si>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</si>
  <si>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</si>
  <si>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</si>
  <si>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</si>
  <si>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</si>
  <si>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</si>
  <si>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</si>
  <si>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</si>
  <si>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</si>
  <si>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</si>
  <si>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</si>
  <si>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</si>
  <si>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</si>
  <si>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</si>
  <si>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</si>
  <si>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</si>
  <si>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</si>
  <si>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</si>
  <si>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</si>
  <si>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</si>
  <si>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</si>
  <si>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</si>
  <si>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</si>
  <si>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</si>
  <si>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</si>
  <si>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</si>
  <si>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</si>
  <si>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</si>
  <si>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</si>
  <si>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</si>
  <si>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</si>
  <si>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</si>
  <si>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</si>
  <si>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</si>
  <si>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</si>
  <si>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</si>
  <si>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</si>
  <si>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</si>
  <si>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</si>
  <si>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</si>
  <si>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</si>
  <si>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</si>
  <si>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</si>
  <si>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</si>
  <si>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</si>
  <si>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</si>
  <si>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</si>
  <si>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</si>
  <si>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</si>
  <si>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</si>
  <si>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</si>
  <si>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</si>
  <si>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</si>
  <si>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</si>
  <si>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</si>
  <si>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</si>
  <si>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</si>
  <si>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</si>
  <si>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</si>
  <si>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</si>
  <si>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</si>
  <si>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</si>
  <si>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</si>
  <si>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</si>
  <si>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</si>
  <si>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</si>
  <si>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</si>
  <si>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</si>
  <si>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</si>
  <si>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</si>
  <si>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</si>
  <si>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</si>
  <si>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</si>
  <si>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</si>
  <si>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</si>
  <si>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</si>
  <si>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</si>
  <si>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</si>
  <si>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</si>
  <si>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</si>
  <si>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</si>
  <si>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</si>
  <si>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</si>
  <si>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</si>
  <si>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</si>
  <si>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</si>
  <si>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</si>
  <si>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</si>
  <si>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</si>
  <si>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</si>
  <si>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</si>
  <si>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</si>
  <si>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</si>
  <si>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</si>
  <si>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</si>
  <si>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</si>
  <si>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</si>
  <si>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</si>
  <si>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</si>
  <si>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</si>
  <si>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</si>
  <si>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</si>
  <si>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</si>
  <si>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</si>
  <si>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</si>
  <si>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</si>
  <si>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</si>
  <si>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</si>
  <si>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</si>
  <si>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</si>
  <si>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</si>
  <si>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</si>
  <si>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</si>
  <si>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</si>
  <si>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</si>
  <si>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</si>
  <si>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</si>
  <si>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</si>
  <si>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</si>
  <si>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</si>
  <si>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</si>
  <si>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</si>
  <si>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</si>
  <si>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</si>
  <si>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</si>
  <si>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</si>
  <si>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</si>
  <si>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</si>
  <si>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</si>
  <si>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</si>
  <si>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</si>
  <si>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</si>
  <si>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</si>
  <si>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</si>
  <si>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</si>
  <si>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</si>
  <si>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</si>
  <si>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</si>
  <si>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</si>
  <si>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</si>
  <si>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</si>
  <si>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</si>
  <si>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</si>
  <si>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</si>
  <si>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</si>
  <si>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</si>
  <si>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</si>
  <si>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</si>
  <si>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</si>
  <si>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</si>
  <si>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</si>
  <si>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</si>
  <si>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</si>
  <si>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</si>
  <si>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</si>
  <si>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</si>
  <si>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</si>
  <si>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</si>
  <si>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</si>
  <si>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</si>
  <si>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</si>
  <si>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</si>
  <si>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</si>
  <si>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</si>
  <si>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</si>
  <si>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</si>
  <si>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</si>
  <si>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</si>
  <si>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</si>
  <si>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</si>
  <si>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</si>
  <si>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</si>
  <si>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</si>
  <si>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</si>
  <si>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</si>
  <si>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</si>
  <si>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</si>
  <si>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</si>
  <si>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</si>
  <si>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</si>
  <si>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</si>
  <si>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</si>
  <si>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</si>
  <si>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</si>
  <si>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</si>
  <si>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</si>
  <si>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</si>
  <si>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</si>
  <si>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</si>
  <si>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</si>
  <si>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</si>
  <si>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</si>
  <si>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</si>
  <si>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</si>
  <si>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</si>
  <si>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</si>
  <si>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</si>
  <si>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</si>
  <si>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</si>
  <si>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</si>
  <si>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</si>
  <si>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</si>
  <si>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</si>
  <si>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</si>
  <si>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</si>
  <si>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</si>
  <si>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</si>
  <si>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</si>
  <si>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</si>
  <si>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</si>
  <si>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</si>
  <si>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</si>
  <si>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</si>
  <si>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</si>
  <si>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</si>
  <si>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</si>
  <si>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</si>
  <si>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</si>
  <si>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</si>
  <si>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</si>
  <si>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</si>
  <si>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</si>
  <si>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</si>
  <si>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</si>
  <si>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</si>
  <si>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</si>
  <si>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</si>
  <si>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</si>
  <si>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</si>
  <si>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</si>
  <si>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</si>
  <si>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</si>
  <si>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</si>
  <si>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</si>
  <si>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</si>
  <si>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</si>
  <si>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</si>
  <si>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</si>
  <si>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</si>
  <si>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</si>
  <si>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</si>
  <si>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</si>
  <si>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</si>
  <si>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</si>
  <si>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</si>
  <si>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</si>
  <si>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</si>
  <si>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</si>
  <si>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</si>
  <si>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</si>
  <si>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</si>
  <si>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</si>
  <si>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</si>
  <si>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</si>
  <si>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</si>
  <si>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</si>
  <si>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</si>
  <si>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</si>
  <si>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</si>
  <si>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</si>
  <si>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</si>
  <si>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</si>
  <si>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</si>
  <si>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</si>
  <si>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</si>
  <si>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</si>
  <si>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</si>
  <si>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</si>
  <si>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</si>
  <si>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</si>
  <si>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</si>
  <si>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</si>
  <si>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</si>
  <si>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</si>
  <si>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</si>
  <si>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</si>
  <si>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</si>
  <si>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</si>
  <si>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</si>
  <si>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</si>
  <si>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</si>
  <si>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</si>
  <si>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</si>
  <si>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</si>
  <si>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</si>
  <si>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</si>
  <si>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</si>
  <si>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</si>
  <si>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</si>
  <si>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</si>
  <si>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</si>
  <si>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</si>
  <si>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</si>
  <si>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</si>
  <si>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</si>
  <si>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</si>
  <si>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</si>
  <si>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</si>
  <si>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</si>
  <si>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</si>
  <si>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</si>
  <si>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</si>
  <si>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</si>
  <si>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</si>
  <si>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</si>
  <si>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</si>
  <si>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</si>
  <si>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</si>
  <si>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</si>
  <si>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</si>
  <si>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</si>
  <si>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</si>
  <si>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</si>
  <si>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</si>
  <si>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</si>
  <si>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</si>
  <si>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</si>
  <si>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</si>
  <si>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</si>
  <si>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</si>
  <si>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</si>
  <si>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</si>
  <si>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</si>
  <si>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</si>
  <si>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</si>
  <si>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</si>
  <si>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</si>
  <si>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</si>
  <si>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</si>
  <si>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</si>
  <si>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</si>
  <si>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</si>
  <si>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</si>
  <si>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</si>
  <si>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</si>
  <si>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</si>
  <si>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</si>
  <si>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</si>
  <si>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</si>
  <si>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</si>
  <si>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</si>
  <si>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</si>
  <si>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</si>
  <si>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</si>
  <si>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</si>
  <si>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</si>
  <si>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</si>
  <si>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</si>
  <si>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</si>
  <si>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</si>
  <si>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</si>
  <si>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</si>
  <si>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</si>
  <si>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</si>
  <si>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</si>
  <si>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</si>
  <si>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</si>
  <si>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</si>
  <si>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</si>
  <si>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</si>
  <si>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</si>
  <si>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</si>
  <si>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</si>
  <si>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</si>
  <si>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</si>
  <si>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</si>
  <si>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</si>
  <si>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</si>
  <si>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</si>
  <si>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</si>
  <si>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</si>
  <si>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</si>
  <si>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</si>
  <si>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</si>
  <si>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</si>
  <si>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</si>
  <si>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</si>
  <si>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</si>
  <si>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</si>
  <si>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</si>
  <si>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</si>
  <si>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</si>
  <si>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</si>
  <si>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</si>
  <si>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</si>
  <si>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</si>
  <si>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</si>
  <si>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</si>
  <si>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</si>
  <si>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</si>
  <si>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</si>
  <si>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</si>
  <si>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</si>
  <si>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</si>
  <si>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</si>
  <si>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</si>
  <si>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</si>
  <si>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</si>
  <si>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</si>
  <si>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</si>
  <si>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</si>
  <si>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</si>
  <si>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</si>
  <si>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</si>
  <si>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</si>
  <si>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</si>
  <si>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</si>
  <si>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</si>
  <si>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</si>
  <si>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</si>
  <si>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</si>
  <si>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</si>
  <si>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</si>
  <si>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</si>
  <si>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</si>
  <si>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</si>
  <si>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</si>
  <si>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</si>
  <si>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</si>
  <si>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</si>
  <si>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</si>
  <si>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</si>
  <si>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</si>
  <si>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</si>
  <si>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</si>
  <si>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</si>
  <si>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</si>
  <si>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</si>
  <si>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</si>
  <si>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</si>
  <si>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</si>
  <si>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</si>
  <si>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</si>
  <si>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</si>
  <si>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</si>
  <si>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</si>
  <si>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</si>
  <si>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</si>
  <si>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</si>
  <si>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</si>
  <si>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</si>
  <si>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</si>
  <si>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</si>
  <si>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</si>
  <si>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</si>
  <si>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</si>
  <si>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</si>
  <si>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</si>
  <si>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</si>
  <si>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</si>
  <si>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</si>
  <si>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</si>
  <si>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</si>
  <si>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</si>
  <si>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</si>
  <si>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</si>
  <si>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</si>
  <si>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</si>
  <si>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</si>
  <si>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</si>
  <si>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</si>
  <si>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</si>
  <si>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</si>
  <si>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</si>
  <si>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</si>
  <si>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</si>
  <si>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</si>
  <si>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</si>
  <si>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</si>
  <si>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</si>
  <si>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</si>
  <si>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</si>
  <si>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</si>
  <si>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</si>
  <si>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</si>
  <si>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</si>
  <si>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</si>
  <si>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</si>
  <si>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</si>
  <si>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</si>
  <si>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</si>
  <si>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</si>
  <si>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</si>
  <si>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</si>
  <si>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</si>
  <si>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</si>
  <si>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</si>
  <si>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</si>
  <si>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</si>
  <si>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</si>
  <si>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</si>
  <si>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</si>
  <si>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</si>
  <si>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</si>
  <si>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</si>
  <si>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</si>
  <si>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</si>
  <si>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</si>
  <si>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</si>
  <si>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</si>
  <si>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</si>
  <si>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</si>
  <si>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</si>
  <si>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</si>
  <si>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</si>
  <si>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</si>
  <si>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</si>
  <si>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</si>
  <si>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</si>
  <si>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</si>
  <si>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</si>
  <si>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</si>
  <si>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</si>
  <si>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</si>
  <si>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</si>
  <si>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</si>
  <si>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</si>
  <si>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</si>
  <si>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</si>
  <si>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</si>
  <si>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</si>
  <si>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</si>
  <si>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</si>
  <si>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</si>
  <si>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</si>
  <si>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</si>
  <si>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</si>
  <si>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</si>
  <si>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</si>
  <si>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</si>
  <si>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</si>
  <si>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</si>
  <si>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</si>
  <si>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</si>
  <si>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</si>
  <si>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</si>
  <si>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</si>
  <si>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</si>
  <si>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</si>
  <si>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</si>
  <si>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</si>
  <si>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</si>
  <si>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</si>
  <si>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</si>
  <si>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</si>
  <si>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</si>
  <si>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</si>
  <si>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</si>
  <si>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</si>
  <si>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</si>
  <si>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</si>
  <si>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</si>
  <si>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</si>
  <si>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</si>
  <si>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</si>
  <si>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</si>
  <si>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</si>
  <si>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</si>
  <si>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</si>
  <si>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</si>
  <si>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</si>
  <si>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</si>
  <si>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</si>
  <si>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</si>
  <si>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</si>
  <si>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</si>
  <si>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</si>
  <si>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</si>
  <si>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</si>
  <si>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</si>
  <si>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</si>
  <si>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</si>
  <si>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</si>
  <si>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</si>
  <si>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</si>
  <si>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</si>
  <si>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</si>
  <si>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</si>
  <si>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</si>
  <si>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</si>
  <si>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</si>
  <si>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</si>
  <si>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</si>
  <si>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</si>
  <si>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</si>
  <si>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</si>
  <si>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</si>
  <si>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</si>
  <si>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</si>
  <si>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</si>
  <si>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</si>
  <si>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</si>
  <si>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</si>
  <si>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</si>
  <si>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</si>
  <si>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</si>
  <si>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</si>
  <si>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</si>
  <si>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</si>
  <si>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</si>
  <si>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</si>
  <si>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</si>
  <si>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</si>
  <si>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</si>
  <si>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</si>
  <si>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</si>
  <si>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</si>
  <si>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</si>
  <si>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</si>
  <si>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</si>
  <si>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</si>
  <si>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</si>
  <si>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</si>
  <si>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</si>
  <si>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</si>
  <si>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</si>
  <si>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</si>
  <si>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</si>
  <si>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</si>
  <si>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</si>
  <si>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</si>
  <si>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</si>
  <si>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</si>
  <si>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</si>
  <si>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</si>
  <si>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</si>
  <si>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</si>
  <si>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</si>
  <si>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</si>
  <si>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</si>
  <si>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</si>
  <si>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</si>
  <si>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</si>
  <si>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</si>
  <si>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</si>
  <si>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</si>
  <si>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</si>
  <si>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</si>
  <si>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</si>
  <si>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</si>
  <si>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</si>
  <si>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</si>
  <si>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</si>
  <si>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</si>
  <si>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</si>
  <si>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</si>
  <si>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</si>
  <si>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</si>
  <si>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</si>
  <si>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</si>
  <si>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</si>
  <si>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</si>
  <si>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</si>
  <si>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</si>
  <si>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</si>
  <si>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</si>
  <si>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</si>
  <si>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</si>
  <si>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</si>
  <si>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</si>
  <si>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</si>
  <si>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</si>
  <si>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</si>
  <si>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</si>
  <si>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</si>
  <si>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</si>
  <si>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</si>
  <si>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</si>
  <si>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</si>
  <si>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</si>
  <si>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</si>
  <si>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</si>
  <si>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</si>
  <si>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</si>
  <si>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</si>
  <si>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</si>
  <si>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</si>
  <si>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</si>
  <si>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</si>
  <si>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</si>
  <si>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</si>
  <si>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</si>
  <si>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</si>
  <si>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</si>
  <si>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</si>
  <si>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</si>
  <si>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</si>
  <si>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</si>
  <si>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</si>
  <si>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</si>
  <si>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</si>
  <si>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</si>
  <si>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</si>
  <si>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</si>
  <si>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</si>
  <si>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</si>
  <si>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</si>
  <si>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</si>
  <si>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</si>
  <si>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</si>
  <si>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</si>
  <si>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</si>
  <si>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</si>
  <si>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</si>
  <si>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</si>
  <si>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</si>
  <si>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</si>
  <si>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</si>
  <si>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</si>
  <si>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</si>
  <si>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</si>
  <si>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</si>
  <si>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</si>
  <si>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</si>
  <si>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</si>
  <si>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</si>
  <si>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</si>
  <si>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</si>
  <si>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</si>
  <si>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</si>
  <si>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</si>
  <si>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</si>
  <si>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</si>
  <si>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</si>
  <si>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</si>
  <si>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</si>
  <si>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</si>
  <si>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</si>
  <si>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</si>
  <si>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</si>
  <si>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</si>
  <si>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</si>
  <si>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</si>
  <si>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</si>
  <si>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</si>
  <si>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</si>
  <si>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</si>
  <si>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</si>
  <si>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</si>
  <si>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</si>
  <si>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</si>
  <si>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</si>
  <si>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</si>
  <si>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</si>
  <si>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</si>
  <si>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</si>
  <si>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</si>
  <si>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</si>
  <si>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</si>
  <si>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</si>
  <si>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</si>
  <si>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</si>
  <si>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</si>
  <si>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</si>
  <si>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</si>
  <si>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</si>
  <si>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</si>
  <si>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</si>
  <si>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</si>
  <si>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</si>
  <si>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</si>
  <si>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</si>
  <si>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</si>
  <si>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</si>
  <si>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</si>
  <si>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</si>
  <si>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</si>
  <si>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</si>
  <si>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</si>
  <si>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</si>
  <si>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</si>
  <si>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</si>
  <si>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</si>
  <si>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</si>
  <si>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</si>
  <si>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</si>
  <si>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</si>
  <si>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</si>
  <si>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</si>
  <si>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</si>
  <si>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</si>
  <si>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</si>
  <si>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</si>
  <si>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</si>
  <si>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</si>
  <si>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</si>
  <si>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</si>
  <si>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</si>
  <si>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</si>
  <si>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</si>
  <si>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</si>
  <si>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</si>
  <si>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</si>
  <si>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</si>
  <si>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</si>
  <si>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</si>
  <si>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</si>
  <si>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</si>
  <si>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</si>
  <si>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</si>
  <si>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</si>
  <si>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</si>
  <si>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</si>
  <si>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</si>
  <si>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</si>
  <si>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</si>
  <si>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</si>
  <si>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</si>
  <si>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</si>
  <si>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</si>
  <si>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</si>
  <si>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</si>
  <si>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</si>
  <si>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</si>
  <si>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</si>
  <si>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</si>
  <si>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</si>
  <si>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</si>
  <si>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</si>
  <si>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</si>
  <si>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</si>
  <si>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</si>
  <si>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</si>
  <si>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</si>
  <si>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</si>
  <si>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</si>
  <si>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</si>
  <si>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</si>
  <si>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</si>
  <si>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</si>
  <si>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</si>
  <si>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</si>
  <si>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</si>
  <si>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</si>
  <si>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</si>
  <si>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</si>
  <si>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</si>
  <si>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</si>
  <si>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</si>
  <si>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</si>
  <si>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</si>
  <si>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</si>
  <si>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</si>
  <si>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</si>
  <si>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</si>
  <si>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</si>
  <si>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</si>
  <si>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</si>
  <si>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</si>
  <si>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</si>
  <si>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</si>
  <si>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</si>
  <si>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</si>
  <si>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</si>
  <si>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</si>
  <si>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</si>
  <si>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</si>
  <si>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</si>
  <si>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</si>
  <si>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</si>
  <si>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</si>
  <si>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</si>
  <si>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</si>
  <si>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</si>
  <si>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</si>
  <si>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</si>
  <si>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</si>
  <si>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</si>
  <si>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</si>
  <si>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</si>
  <si>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</si>
  <si>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</si>
  <si>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</si>
  <si>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</si>
  <si>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</si>
  <si>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</si>
  <si>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</si>
  <si>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</si>
  <si>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</si>
  <si>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</si>
  <si>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</si>
  <si>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</si>
  <si>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</si>
  <si>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</si>
  <si>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</si>
  <si>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</si>
  <si>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</si>
  <si>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</si>
  <si>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</si>
  <si>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</si>
  <si>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</si>
  <si>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</si>
  <si>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</si>
  <si>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</si>
  <si>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</si>
  <si>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</si>
  <si>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</si>
  <si>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</si>
  <si>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</si>
  <si>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</si>
  <si>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</si>
  <si>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</si>
  <si>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</si>
  <si>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</si>
  <si>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</si>
  <si>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</si>
  <si>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</si>
  <si>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</si>
  <si>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</si>
  <si>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</si>
  <si>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</si>
  <si>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</si>
  <si>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</si>
  <si>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</si>
  <si>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</si>
  <si>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</si>
  <si>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</si>
  <si>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</si>
  <si>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</si>
  <si>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</si>
  <si>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</si>
  <si>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</si>
  <si>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</si>
  <si>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</si>
  <si>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</si>
  <si>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</si>
  <si>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</si>
  <si>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</si>
  <si>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</si>
  <si>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</si>
  <si>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</si>
  <si>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</si>
  <si>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</si>
  <si>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</si>
  <si>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</si>
  <si>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</si>
  <si>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</si>
  <si>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</si>
  <si>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</si>
  <si>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</si>
  <si>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</si>
  <si>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</si>
  <si>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</si>
  <si>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</si>
  <si>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</si>
  <si>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</si>
  <si>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</si>
  <si>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</si>
  <si>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</si>
  <si>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</si>
  <si>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</si>
  <si>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</si>
  <si>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</si>
  <si>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</si>
  <si>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</si>
  <si>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</si>
  <si>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</si>
  <si>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</si>
  <si>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sz val="10"/>
        <color theme="9" tint="-0.249977111117893"/>
        <rFont val="宋体"/>
        <family val="3"/>
        <charset val="134"/>
      </rPr>
      <t>北京市海淀区建材城东路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</si>
  <si>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抵押</t>
  </si>
  <si>
    <t>房地产抵押价值</t>
  </si>
  <si>
    <t>北京市</t>
  </si>
  <si>
    <t>企业</t>
  </si>
  <si>
    <t>地上</t>
  </si>
  <si>
    <t>地下</t>
  </si>
  <si>
    <t>科研用房</t>
  </si>
  <si>
    <t>科研用房</t>
    <phoneticPr fontId="7" type="noConversion"/>
  </si>
  <si>
    <t>是</t>
  </si>
  <si>
    <t>成新度</t>
  </si>
  <si>
    <t>建成年代</t>
  </si>
  <si>
    <t>产权方介绍</t>
  </si>
  <si>
    <t>直线</t>
  </si>
  <si>
    <t>收益法</t>
  </si>
  <si>
    <t>区域自然环境：新都公园、翡丽公园、兰观绿洲体育公园；无人文环境；综合评价环境状况较好</t>
    <phoneticPr fontId="24"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</si>
  <si>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</si>
  <si>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首特钢大厦2号楼</t>
  </si>
  <si>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</si>
  <si>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</si>
  <si>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</si>
  <si>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</si>
  <si>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</si>
  <si>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</si>
  <si>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</si>
  <si>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</si>
  <si>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</si>
  <si>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</si>
  <si>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</si>
  <si>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</si>
  <si>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</si>
  <si>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</si>
  <si>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</si>
  <si>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</si>
  <si>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</si>
  <si>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</si>
  <si>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</si>
  <si>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</si>
  <si>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</si>
  <si>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</si>
  <si>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</si>
  <si>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</si>
  <si>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</si>
  <si>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</si>
  <si>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</si>
  <si>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</si>
  <si>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</si>
  <si>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</si>
  <si>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</si>
  <si>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</si>
  <si>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</si>
  <si>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</si>
  <si>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</si>
  <si>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</si>
  <si>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</si>
  <si>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</si>
  <si>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</si>
  <si>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</si>
  <si>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</si>
  <si>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</si>
  <si>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较好</t>
    <phoneticPr fontId="31" type="noConversion"/>
  </si>
  <si>
    <t>项目模式</t>
  </si>
  <si>
    <t>售价</t>
  </si>
  <si>
    <t>含税</t>
  </si>
  <si>
    <t>押一</t>
  </si>
  <si>
    <t>按不含税租金收入（有效毛租金收入）计税</t>
  </si>
  <si>
    <t>非生产用房</t>
  </si>
  <si>
    <t>现房</t>
  </si>
  <si>
    <t>项目局部</t>
  </si>
  <si>
    <t>比较法-办公</t>
  </si>
  <si>
    <t>Ⅵ-01</t>
  </si>
  <si>
    <t>自定义容积率</t>
  </si>
  <si>
    <t>与级别开发程度一致</t>
  </si>
  <si>
    <t>按公示增长率计算</t>
  </si>
  <si>
    <t>中心城区</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</si>
  <si>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</si>
  <si>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</si>
  <si>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</si>
  <si>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</si>
  <si>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</si>
  <si>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</si>
  <si>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</si>
  <si>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30-40%（含）</t>
  </si>
  <si>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</si>
  <si>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20-30%（含）</t>
  </si>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</sst>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北京市北京市海淀区建材城东路26号院4号楼房地产抵押价值预评估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受贵公司委托，我公司对北京市北京市海淀区建材城东路26号院4号楼房地产抵押价值进行了预评估。</v>
      </c>
    </row>
    <row r="7" spans="1:2">
      <c r="A7" s="817" t="s">
        <v>560</v>
      </c>
      <c r="B7" s="818" t="str">
        <f>'预评函-1'!A7</f>
        <v>估价对象为北京市北京市海淀区建材城东路26号院4号楼房地产，为所有。根据《国有土地使用证》[]，估价对象（分摊）出让国有建设用地使用权面积为0平方米，建筑面积为6216.26平方米。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北京市海淀区建材城东路26号院4号楼房地产,属开发建设的，该项目尚在开发建设中。根据《国有土地使用证》[]，估价对象（分摊）出让国有建设用地使用权面积为0平方米，规划建筑面积为6216.26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2026年1月26日（评估专业人员实地查勘之日）</v>
      </c>
    </row>
    <row r="13" spans="1:2">
      <c r="A13" s="817" t="s">
        <v>523</v>
      </c>
      <c r="B13" s="818"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本次评估采用的主估价方法为比较法和收益法。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18236</v>
      </c>
    </row>
    <row r="21" spans="1:2">
      <c r="A21" s="817" t="s">
        <v>531</v>
      </c>
      <c r="B21" s="818">
        <f ca="1">'预评函-2'!D7</f>
        <v>29336</v>
      </c>
    </row>
    <row r="22" spans="1:2">
      <c r="A22" s="817" t="s">
        <v>532</v>
      </c>
      <c r="B22" s="818" t="str">
        <f ca="1">'预评函-2'!D6</f>
        <v>壹亿捌仟贰佰叁拾陆万元整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18236</v>
      </c>
    </row>
    <row r="31" spans="1:2">
      <c r="A31" s="817" t="s">
        <v>570</v>
      </c>
      <c r="B31" s="818">
        <f ca="1">'预评函-2'!D15</f>
        <v>29336</v>
      </c>
    </row>
    <row r="32" spans="1:2">
      <c r="A32" s="817" t="s">
        <v>537</v>
      </c>
      <c r="B32" s="818" t="str">
        <f ca="1">'预评函-2'!D14</f>
        <v>壹亿捌仟贰佰叁拾陆万元整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北京市北京市海淀区建材城东路26号院4号楼房地产</v>
      </c>
    </row>
    <row r="42" spans="1:2" ht="31.2">
      <c r="A42" s="817" t="s">
        <v>584</v>
      </c>
      <c r="B42" s="818" t="str">
        <f>'预评函-3'!B2</f>
        <v>建筑面积</v>
      </c>
    </row>
    <row r="43" spans="1:2">
      <c r="A43" s="817" t="s">
        <v>585</v>
      </c>
      <c r="B43" s="818">
        <f>'预评函-3'!B4</f>
        <v>6216.26</v>
      </c>
    </row>
    <row r="44" spans="1:2" ht="31.2">
      <c r="A44" s="817" t="s">
        <v>569</v>
      </c>
      <c r="B44" s="818" t="str">
        <f>'预评函-3'!C2</f>
        <v>(分摊)土地面积</v>
      </c>
    </row>
    <row r="45" spans="1:2">
      <c r="A45" s="817" t="s">
        <v>541</v>
      </c>
      <c r="B45" s="818">
        <f>'预评函-3'!C4</f>
        <v>0</v>
      </c>
    </row>
    <row r="46" spans="1:2">
      <c r="A46" s="817" t="s">
        <v>567</v>
      </c>
      <c r="B46" s="818" t="str">
        <f>'预评函-3'!D2</f>
        <v>出让国有建设用地使用权价值</v>
      </c>
    </row>
    <row r="47" spans="1:2">
      <c r="A47" s="817" t="s">
        <v>542</v>
      </c>
      <c r="B47" s="818">
        <f ca="1">'预评函-3'!D4</f>
        <v>13112</v>
      </c>
    </row>
    <row r="48" spans="1:2">
      <c r="A48" s="817" t="s">
        <v>543</v>
      </c>
      <c r="B48" s="818">
        <f ca="1">'预评函-3'!E4</f>
        <v>21093</v>
      </c>
    </row>
    <row r="49" spans="1:2">
      <c r="A49" s="817" t="s">
        <v>544</v>
      </c>
      <c r="B49" s="818" t="str">
        <f ca="1">'预评函-3'!D5</f>
        <v>壹亿叁仟壹佰壹拾贰万元整</v>
      </c>
    </row>
    <row r="50" spans="1:2">
      <c r="A50" s="817" t="s">
        <v>568</v>
      </c>
      <c r="B50" s="818">
        <f>'预评函-3'!F2</f>
        <v>0</v>
      </c>
    </row>
    <row r="51" spans="1:2">
      <c r="A51" s="817" t="s">
        <v>545</v>
      </c>
      <c r="B51" s="818">
        <f ca="1">'预评函-3'!F4</f>
        <v>5124</v>
      </c>
    </row>
    <row r="52" spans="1:2">
      <c r="A52" s="817" t="s">
        <v>546</v>
      </c>
      <c r="B52" s="818">
        <f ca="1">'预评函-3'!G4</f>
        <v>8243</v>
      </c>
    </row>
    <row r="53" spans="1:2">
      <c r="A53" s="817" t="s">
        <v>574</v>
      </c>
      <c r="B53" s="818" t="str">
        <f ca="1">'预评函-3'!F5</f>
        <v>伍仟壹佰贰拾肆万元整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Q31" sqref="Q31"/>
    </sheetView>
  </sheetViews>
  <sheetFormatPr defaultColWidth="15.21875" defaultRowHeight="14.4"/>
  <cols>
    <col min="1" max="7" width="15.21875" style="2224"/>
    <col min="8" max="8" width="15" style="2224" customWidth="1"/>
    <col min="9" max="13" width="11.44140625" style="2255" customWidth="1"/>
    <col min="14" max="15" width="11.44140625" style="2224" customWidth="1"/>
    <col min="16" max="18" width="9.44140625" style="2224" customWidth="1"/>
    <col min="19" max="19" width="3.77734375" style="2224" customWidth="1"/>
    <col min="20" max="16384" width="15.2187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46048</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0.89</v>
      </c>
      <c r="D5" s="3662">
        <f>IF(ISERROR(ROUND(POWER(1+E5,A5-C5)*(POWER(1+E5,C5)-1)/(POWER(1+E5,A5)-1),3)),0,ROUND(POWER(1+E5,A5-C5)*(POWER(1+E5,C5)-1)/(POWER(1+E5,A5)-1),4))</f>
        <v>4.3299999999999998E-2</v>
      </c>
      <c r="E5" s="3663">
        <v>0.04</v>
      </c>
      <c r="F5" s="2227"/>
      <c r="I5" s="2234" t="s">
        <v>2471</v>
      </c>
      <c r="J5" s="4151">
        <v>70</v>
      </c>
      <c r="K5" s="4151">
        <v>60</v>
      </c>
      <c r="L5" s="4151">
        <v>15</v>
      </c>
      <c r="M5" s="4151">
        <v>25</v>
      </c>
      <c r="N5" s="3661">
        <v>40</v>
      </c>
      <c r="O5" s="3661">
        <v>50</v>
      </c>
      <c r="P5" s="3661">
        <v>40</v>
      </c>
      <c r="Q5" s="3661">
        <v>15</v>
      </c>
      <c r="R5" s="4152">
        <v>315</v>
      </c>
    </row>
    <row r="6" spans="1:19" ht="15" thickBot="1">
      <c r="A6" s="3660">
        <v>50</v>
      </c>
      <c r="B6" s="2229">
        <v>50028</v>
      </c>
      <c r="C6" s="3661">
        <f>ROUNDDOWN(MIN((B6-B3)/365,A6),2)</f>
        <v>10.9</v>
      </c>
      <c r="D6" s="3662">
        <f>IF(ISERROR(ROUND(POWER(1+E6,A6-C6)*(POWER(1+E6,C6)-1)/(POWER(1+E6,A6)-1),3)),0,ROUND(POWER(1+E6,A6-C6)*(POWER(1+E6,C6)-1)/(POWER(1+E6,A6)-1),4))</f>
        <v>0.40479999999999999</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30.91</v>
      </c>
      <c r="D7" s="3662">
        <f>IF(ISERROR(ROUND(POWER(1+E7,A7-C7)*(POWER(1+E7,C7)-1)/(POWER(1+E7,A7)-1),3)),0,ROUND(POWER(1+E7,A7-C7)*(POWER(1+E7,C7)-1)/(POWER(1+E7,A7)-1),4))</f>
        <v>0.75070000000000003</v>
      </c>
      <c r="E7" s="3663">
        <v>0.04</v>
      </c>
      <c r="F7" s="2227"/>
      <c r="I7" s="3646" t="s">
        <v>3683</v>
      </c>
      <c r="J7" s="3647" t="s">
        <v>3685</v>
      </c>
      <c r="K7" s="3648">
        <v>3.5</v>
      </c>
      <c r="L7" s="3649"/>
      <c r="M7" s="3643"/>
      <c r="N7" s="2222"/>
      <c r="O7" s="2222"/>
      <c r="P7" s="2222"/>
      <c r="Q7" s="2222"/>
      <c r="R7" s="2223"/>
    </row>
    <row r="8" spans="1:19" ht="1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23</v>
      </c>
      <c r="K10" s="4151">
        <f t="shared" ref="K10:Q12" si="0">ROUND(K4/$K$7,0)</f>
        <v>20</v>
      </c>
      <c r="L10" s="4151">
        <f t="shared" si="0"/>
        <v>6</v>
      </c>
      <c r="M10" s="4151">
        <f t="shared" si="0"/>
        <v>9</v>
      </c>
      <c r="N10" s="4151">
        <f t="shared" si="0"/>
        <v>13</v>
      </c>
      <c r="O10" s="4151">
        <f t="shared" si="0"/>
        <v>17</v>
      </c>
      <c r="P10" s="4151">
        <f t="shared" si="0"/>
        <v>14</v>
      </c>
      <c r="Q10" s="4151">
        <f t="shared" si="0"/>
        <v>6</v>
      </c>
      <c r="R10" s="4156">
        <f>SUM(J10:Q10)</f>
        <v>108</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20</v>
      </c>
      <c r="K11" s="4151">
        <f t="shared" si="0"/>
        <v>17</v>
      </c>
      <c r="L11" s="4151">
        <f t="shared" si="0"/>
        <v>4</v>
      </c>
      <c r="M11" s="4151">
        <f t="shared" si="0"/>
        <v>7</v>
      </c>
      <c r="N11" s="4151">
        <f t="shared" si="0"/>
        <v>11</v>
      </c>
      <c r="O11" s="4151">
        <f t="shared" si="0"/>
        <v>14</v>
      </c>
      <c r="P11" s="4151">
        <f t="shared" si="0"/>
        <v>11</v>
      </c>
      <c r="Q11" s="4151">
        <f t="shared" si="0"/>
        <v>4</v>
      </c>
      <c r="R11" s="4156">
        <f t="shared" ref="R11:R12" si="1">SUM(J11:Q11)</f>
        <v>88</v>
      </c>
      <c r="S11" s="4219"/>
    </row>
    <row r="12" spans="1:19" ht="15" thickBot="1">
      <c r="A12" s="3666" t="s">
        <v>2401</v>
      </c>
      <c r="B12" s="3664">
        <v>40</v>
      </c>
      <c r="C12" s="3667" t="s">
        <v>2402</v>
      </c>
      <c r="D12" s="3663">
        <v>4.4999999999999998E-2</v>
      </c>
      <c r="E12" s="3667" t="s">
        <v>2403</v>
      </c>
      <c r="F12" s="3665">
        <f>ROUND(1-(1/(POWER(1+D12,B12))),4)</f>
        <v>0.82809999999999995</v>
      </c>
      <c r="I12" s="3650" t="s">
        <v>2472</v>
      </c>
      <c r="J12" s="4151">
        <f>ROUND(J6/$K$7,0)</f>
        <v>17</v>
      </c>
      <c r="K12" s="4151">
        <f t="shared" si="0"/>
        <v>14</v>
      </c>
      <c r="L12" s="4151">
        <f t="shared" si="0"/>
        <v>3</v>
      </c>
      <c r="M12" s="4151">
        <f t="shared" si="0"/>
        <v>6</v>
      </c>
      <c r="N12" s="4151">
        <f t="shared" si="0"/>
        <v>10</v>
      </c>
      <c r="O12" s="4151">
        <f t="shared" si="0"/>
        <v>11</v>
      </c>
      <c r="P12" s="4151">
        <f t="shared" si="0"/>
        <v>9</v>
      </c>
      <c r="Q12" s="4151">
        <f t="shared" si="0"/>
        <v>3</v>
      </c>
      <c r="R12" s="4156">
        <f t="shared" si="1"/>
        <v>73</v>
      </c>
      <c r="S12" s="4219"/>
    </row>
    <row r="13" spans="1:19">
      <c r="A13" s="2228" t="s">
        <v>2404</v>
      </c>
      <c r="B13" s="2230"/>
      <c r="C13" s="2230"/>
      <c r="D13" s="2226"/>
      <c r="E13" s="2226"/>
      <c r="F13" s="2227"/>
      <c r="I13" s="3642" t="s">
        <v>3686</v>
      </c>
      <c r="J13" s="3651">
        <v>2.5</v>
      </c>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21</v>
      </c>
      <c r="K15" s="4151">
        <f t="shared" ref="K15:Q15" si="2">ROUND(K10*$L$13,0)</f>
        <v>19</v>
      </c>
      <c r="L15" s="4151">
        <f t="shared" si="2"/>
        <v>6</v>
      </c>
      <c r="M15" s="4151">
        <f t="shared" si="2"/>
        <v>8</v>
      </c>
      <c r="N15" s="4151">
        <f t="shared" si="2"/>
        <v>12</v>
      </c>
      <c r="O15" s="4151">
        <f t="shared" si="2"/>
        <v>16</v>
      </c>
      <c r="P15" s="4151">
        <f t="shared" si="2"/>
        <v>13</v>
      </c>
      <c r="Q15" s="4151">
        <f t="shared" si="2"/>
        <v>6</v>
      </c>
      <c r="R15" s="4157">
        <f>SUM(J15:Q15)</f>
        <v>101</v>
      </c>
      <c r="S15" s="4219"/>
    </row>
    <row r="16" spans="1:19">
      <c r="A16" s="2228" t="s">
        <v>2407</v>
      </c>
      <c r="B16" s="2669"/>
      <c r="C16" s="2669"/>
      <c r="D16" s="2226"/>
      <c r="E16" s="2226"/>
      <c r="F16" s="2227"/>
      <c r="I16" s="2234" t="s">
        <v>2471</v>
      </c>
      <c r="J16" s="4151">
        <f t="shared" ref="J16:Q16" si="3">ROUND(J11*$L$13,0)</f>
        <v>19</v>
      </c>
      <c r="K16" s="4151">
        <f t="shared" si="3"/>
        <v>16</v>
      </c>
      <c r="L16" s="4151">
        <f t="shared" si="3"/>
        <v>4</v>
      </c>
      <c r="M16" s="4151">
        <f t="shared" si="3"/>
        <v>6</v>
      </c>
      <c r="N16" s="4151">
        <f t="shared" si="3"/>
        <v>10</v>
      </c>
      <c r="O16" s="4151">
        <f t="shared" si="3"/>
        <v>13</v>
      </c>
      <c r="P16" s="4151">
        <f t="shared" si="3"/>
        <v>10</v>
      </c>
      <c r="Q16" s="4151">
        <f t="shared" si="3"/>
        <v>4</v>
      </c>
      <c r="R16" s="4157">
        <f t="shared" ref="R16:R17" si="4">SUM(J16:Q16)</f>
        <v>82</v>
      </c>
      <c r="S16" s="4219"/>
    </row>
    <row r="17" spans="1:19" ht="15" thickBot="1">
      <c r="A17" s="3666" t="s">
        <v>2406</v>
      </c>
      <c r="B17" s="3668">
        <v>4810</v>
      </c>
      <c r="C17" s="3669"/>
      <c r="D17" s="2226"/>
      <c r="E17" s="2226"/>
      <c r="F17" s="2227"/>
      <c r="I17" s="3645" t="s">
        <v>2472</v>
      </c>
      <c r="J17" s="4151">
        <f t="shared" ref="J17:Q17" si="5">ROUND(J12*$L$13,0)</f>
        <v>16</v>
      </c>
      <c r="K17" s="4151">
        <f t="shared" si="5"/>
        <v>13</v>
      </c>
      <c r="L17" s="4151">
        <f t="shared" si="5"/>
        <v>3</v>
      </c>
      <c r="M17" s="4151">
        <f t="shared" si="5"/>
        <v>6</v>
      </c>
      <c r="N17" s="4151">
        <f t="shared" si="5"/>
        <v>9</v>
      </c>
      <c r="O17" s="4151">
        <f t="shared" si="5"/>
        <v>10</v>
      </c>
      <c r="P17" s="4151">
        <f t="shared" si="5"/>
        <v>8</v>
      </c>
      <c r="Q17" s="4151">
        <f t="shared" si="5"/>
        <v>3</v>
      </c>
      <c r="R17" s="4157">
        <f t="shared" si="4"/>
        <v>68</v>
      </c>
      <c r="S17" s="4220"/>
    </row>
    <row r="18" spans="1:19" ht="15" thickBot="1">
      <c r="A18" s="3671" t="s">
        <v>2405</v>
      </c>
      <c r="B18" s="3672">
        <f>ROUND(B17*F11/F12,2)</f>
        <v>5541.87</v>
      </c>
      <c r="C18" s="3673">
        <f>ROUND(F11/F12,4)</f>
        <v>1.1521999999999999</v>
      </c>
      <c r="D18" s="2232"/>
      <c r="E18" s="2232"/>
      <c r="F18" s="2233"/>
    </row>
    <row r="19" spans="1:19" s="3654" customFormat="1" ht="1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5" thickBot="1"/>
    <row r="49" spans="1:15" s="4150" customFormat="1" ht="15.6" thickTop="1" thickBot="1">
      <c r="A49" s="4148" t="s">
        <v>3352</v>
      </c>
      <c r="B49" s="4149"/>
      <c r="C49" s="4149"/>
      <c r="D49" s="4149"/>
      <c r="E49" s="4149"/>
      <c r="I49" s="4216" t="s">
        <v>3364</v>
      </c>
      <c r="J49" s="4216"/>
      <c r="K49" s="4216"/>
      <c r="L49" s="4216"/>
      <c r="M49" s="4216"/>
    </row>
    <row r="50" spans="1:1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c r="A54" s="1916" t="s">
        <v>3358</v>
      </c>
      <c r="B54" s="2686">
        <f>B51</f>
        <v>90701.11</v>
      </c>
      <c r="C54" s="2686">
        <f>E54/B54</f>
        <v>433.09735128930618</v>
      </c>
      <c r="D54" s="4112"/>
      <c r="E54" s="2698">
        <f>E55+E56</f>
        <v>39282410.5</v>
      </c>
      <c r="F54" s="4111">
        <f>E54/$E$62</f>
        <v>8.9974404409744455E-2</v>
      </c>
      <c r="G54" s="2674"/>
      <c r="H54" s="2674"/>
    </row>
    <row r="55" spans="1:15">
      <c r="A55" s="2683" t="s">
        <v>3848</v>
      </c>
      <c r="B55" s="4110">
        <f>B52</f>
        <v>70688</v>
      </c>
      <c r="C55" s="2686"/>
      <c r="D55" s="4113">
        <v>400</v>
      </c>
      <c r="E55" s="2697">
        <f>D55*B55</f>
        <v>28275200</v>
      </c>
      <c r="F55" s="2692"/>
      <c r="G55" s="2674" t="s">
        <v>3853</v>
      </c>
      <c r="H55" s="2674"/>
    </row>
    <row r="56" spans="1:15">
      <c r="A56" s="2683" t="s">
        <v>3849</v>
      </c>
      <c r="B56" s="4110">
        <f>B53</f>
        <v>20013.11</v>
      </c>
      <c r="C56" s="2686"/>
      <c r="D56" s="4113">
        <v>550</v>
      </c>
      <c r="E56" s="2697">
        <f>D56*B56</f>
        <v>11007210.5</v>
      </c>
      <c r="F56" s="2692"/>
      <c r="G56" s="2674" t="s">
        <v>3854</v>
      </c>
      <c r="H56" s="2674"/>
    </row>
    <row r="57" spans="1: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c r="A61" s="1916" t="s">
        <v>3359</v>
      </c>
      <c r="B61" s="4114">
        <f>B51</f>
        <v>90701.11</v>
      </c>
      <c r="C61" s="2686">
        <f>E61/B61</f>
        <v>185.1369902749812</v>
      </c>
      <c r="D61" s="2678">
        <v>0.04</v>
      </c>
      <c r="E61" s="2698">
        <f>(E51+E54+E57+E60)*D61</f>
        <v>16792130.52</v>
      </c>
      <c r="F61" s="2692">
        <f>E61/$E$62</f>
        <v>3.8461538461538464E-2</v>
      </c>
      <c r="G61" s="2674" t="s">
        <v>3855</v>
      </c>
    </row>
    <row r="62" spans="1:15" ht="1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37" sqref="B37"/>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2080</v>
      </c>
      <c r="B1" s="4228" t="str">
        <f>IF(B10="北京市","北京市",C10)&amp;F10&amp;IF(结果表!G1="在建","出让国有建设用地使用权及在建建筑物",IF(结果表!G1="土地","出让国有建设用地使用权",))&amp;B9&amp;"预评估"</f>
        <v>北京市北京市海淀区建材城东路26号院4号楼房地产抵押价值预评估</v>
      </c>
      <c r="C1" s="4229"/>
      <c r="D1" s="4229"/>
      <c r="E1" s="4229"/>
      <c r="F1" s="4229"/>
      <c r="G1" s="4229"/>
      <c r="H1" s="4229"/>
      <c r="I1" s="4230"/>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北京市北京市海淀区建材城东路26号院4号楼房地产抵押价值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北京市北京市海淀区建材城东路26号院4号楼房地产</v>
      </c>
      <c r="T2" s="1277"/>
      <c r="U2" s="1277"/>
      <c r="V2" s="1277"/>
      <c r="W2" s="1277"/>
      <c r="X2" s="1277"/>
      <c r="Y2" s="1277"/>
      <c r="Z2" s="1277"/>
      <c r="AA2" s="1277"/>
      <c r="AB2" s="1277"/>
    </row>
    <row r="3" spans="1:30">
      <c r="A3" s="187" t="s">
        <v>2082</v>
      </c>
      <c r="B3" s="1764">
        <v>46048</v>
      </c>
      <c r="C3" s="1765" t="s">
        <v>2083</v>
      </c>
      <c r="D3" s="1764">
        <f>B3</f>
        <v>46048</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3905</v>
      </c>
      <c r="C8" s="1780"/>
      <c r="D8" s="4231" t="s">
        <v>2089</v>
      </c>
      <c r="E8" s="1781"/>
      <c r="F8" s="1782"/>
      <c r="G8" s="1965"/>
      <c r="H8" s="1965"/>
      <c r="I8" s="1965"/>
      <c r="J8" s="1819"/>
      <c r="K8" s="1924"/>
      <c r="L8" s="1923"/>
      <c r="M8" s="1923"/>
      <c r="N8" s="1819"/>
      <c r="O8" s="1324"/>
      <c r="P8" s="1819"/>
      <c r="Q8" s="1819"/>
      <c r="R8" s="1819"/>
    </row>
    <row r="9" spans="1:30" ht="13.8" thickBot="1">
      <c r="A9" s="1783" t="s">
        <v>2090</v>
      </c>
      <c r="B9" s="1784" t="s">
        <v>3906</v>
      </c>
      <c r="C9" s="1785"/>
      <c r="D9" s="4232"/>
      <c r="E9" s="1784"/>
      <c r="F9" s="1786"/>
      <c r="G9" s="1966"/>
      <c r="H9" s="1966"/>
      <c r="I9" s="1966"/>
      <c r="J9" s="1819"/>
      <c r="K9" s="1926"/>
      <c r="L9" s="1923"/>
      <c r="M9" s="1923"/>
      <c r="N9" s="1819"/>
      <c r="O9" s="1324"/>
      <c r="P9" s="1819"/>
      <c r="Q9" s="1819"/>
      <c r="R9" s="1819"/>
    </row>
    <row r="10" spans="1:30" ht="13.8" thickTop="1">
      <c r="A10" s="1787" t="s">
        <v>2091</v>
      </c>
      <c r="B10" s="3552" t="s">
        <v>3907</v>
      </c>
      <c r="C10" s="1788"/>
      <c r="D10" s="1772"/>
      <c r="E10" s="1789" t="s">
        <v>2092</v>
      </c>
      <c r="F10" s="1967" t="s">
        <v>3904</v>
      </c>
      <c r="G10" s="1968"/>
      <c r="H10" s="1969"/>
      <c r="I10" s="1970"/>
      <c r="J10" s="1819"/>
      <c r="K10" s="1926"/>
      <c r="L10" s="1923"/>
      <c r="M10" s="1923"/>
      <c r="N10" s="1819"/>
      <c r="O10" s="1324"/>
      <c r="P10" s="1819"/>
      <c r="Q10" s="1819"/>
      <c r="R10" s="1819"/>
    </row>
    <row r="11" spans="1:30">
      <c r="A11" s="1790" t="s">
        <v>2093</v>
      </c>
      <c r="B11" s="2536" t="s">
        <v>3908</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53792</v>
      </c>
      <c r="F13" s="565"/>
      <c r="G13" s="565"/>
      <c r="H13" s="565">
        <v>53792</v>
      </c>
      <c r="I13" s="565">
        <v>53792</v>
      </c>
      <c r="J13" s="2258"/>
      <c r="K13" s="1923"/>
      <c r="L13" s="1923"/>
      <c r="M13" s="1819"/>
      <c r="N13" s="1324"/>
      <c r="O13" s="1819"/>
      <c r="P13" s="1819"/>
      <c r="Q13" s="1819"/>
      <c r="AD13" s="1277"/>
    </row>
    <row r="14" spans="1:30">
      <c r="A14" s="741"/>
      <c r="B14" s="1795" t="s">
        <v>2103</v>
      </c>
      <c r="C14" s="1796"/>
      <c r="D14" s="1796"/>
      <c r="E14" s="1796">
        <v>50</v>
      </c>
      <c r="F14" s="1796"/>
      <c r="G14" s="1796"/>
      <c r="H14" s="1796">
        <v>50</v>
      </c>
      <c r="I14" s="1796">
        <v>50</v>
      </c>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21.21</v>
      </c>
      <c r="F15" s="6" t="str">
        <f>IF(A13="出让",IF(F13="","",ROUNDDOWN(MIN((F13-$D$3)/365,F14),2)),F14)</f>
        <v/>
      </c>
      <c r="G15" s="6" t="str">
        <f>IF(A13="出让",IF(G13="","",ROUNDDOWN(MIN((G13-$D$3)/365,G14),2)),G14)</f>
        <v/>
      </c>
      <c r="H15" s="6">
        <f>IF(A13="出让",IF(H13="","",ROUNDDOWN(MIN((H13-$D$3)/365,H14),2)),H14)</f>
        <v>21.21</v>
      </c>
      <c r="I15" s="6">
        <f>IF(A13="出让",IF(I13="","",ROUNDDOWN(MIN((I13-$D$3)/365,I14),2)),I14)</f>
        <v>21.21</v>
      </c>
      <c r="J15" s="2260"/>
      <c r="K15" s="1324"/>
      <c r="L15" s="1324"/>
      <c r="M15" s="1819"/>
      <c r="N15" s="1324"/>
      <c r="O15" s="1819"/>
      <c r="P15" s="1819"/>
      <c r="Q15" s="1819"/>
      <c r="AD15" s="1277"/>
    </row>
    <row r="16" spans="1:30">
      <c r="A16" s="1789" t="s">
        <v>2105</v>
      </c>
      <c r="B16" s="4238"/>
      <c r="C16" s="4239"/>
      <c r="D16" s="4240"/>
      <c r="E16" s="1798" t="s">
        <v>2106</v>
      </c>
      <c r="F16" s="4241"/>
      <c r="G16" s="4242"/>
      <c r="H16" s="4242"/>
      <c r="I16" s="4243"/>
      <c r="J16" s="1819"/>
      <c r="K16" s="1927"/>
      <c r="L16" s="1324"/>
      <c r="M16" s="1324"/>
      <c r="N16" s="1819"/>
      <c r="O16" s="1324"/>
      <c r="P16" s="1819"/>
      <c r="Q16" s="1819"/>
      <c r="R16" s="1819"/>
    </row>
    <row r="17" spans="1:28">
      <c r="A17" s="198" t="s">
        <v>2107</v>
      </c>
      <c r="B17" s="187" t="s">
        <v>2108</v>
      </c>
      <c r="C17" s="9">
        <f>'数据-汇总表'!E3</f>
        <v>6216.26</v>
      </c>
      <c r="D17" s="927" t="s">
        <v>2109</v>
      </c>
      <c r="E17" s="4244" t="s">
        <v>2110</v>
      </c>
      <c r="F17" s="4245"/>
      <c r="G17" s="4245"/>
      <c r="H17" s="4245"/>
      <c r="I17" s="4246"/>
      <c r="J17" s="1819"/>
      <c r="K17" s="1928"/>
      <c r="L17" s="1324"/>
      <c r="M17" s="1324"/>
      <c r="N17" s="1819"/>
      <c r="O17" s="1324"/>
      <c r="P17" s="1819"/>
      <c r="Q17" s="1819"/>
      <c r="R17" s="1819"/>
      <c r="S17" s="1819"/>
      <c r="T17" s="1819"/>
      <c r="U17" s="1819"/>
      <c r="V17" s="1819"/>
    </row>
    <row r="18" spans="1:28" ht="24.6" thickBot="1">
      <c r="A18" s="1799" t="s">
        <v>2111</v>
      </c>
      <c r="B18" s="750" t="s">
        <v>2112</v>
      </c>
      <c r="C18" s="2668">
        <f>'数据-汇总表'!D3</f>
        <v>0</v>
      </c>
      <c r="D18" s="752" t="s">
        <v>2113</v>
      </c>
      <c r="E18" s="4247" t="s">
        <v>2114</v>
      </c>
      <c r="F18" s="4248"/>
      <c r="G18" s="4248"/>
      <c r="H18" s="4248"/>
      <c r="I18" s="4249"/>
      <c r="J18" s="1819"/>
      <c r="K18" s="1928"/>
      <c r="L18" s="1324"/>
      <c r="M18" s="1324"/>
      <c r="N18" s="1819"/>
      <c r="O18" s="1324"/>
      <c r="P18" s="1819"/>
      <c r="Q18" s="1819"/>
      <c r="R18" s="1819"/>
      <c r="S18" s="1819"/>
      <c r="T18" s="1819"/>
      <c r="U18" s="1819"/>
      <c r="V18" s="1819"/>
    </row>
    <row r="19" spans="1:28" ht="37.200000000000003"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34" t="s">
        <v>2118</v>
      </c>
      <c r="C20" s="4235"/>
      <c r="D20" s="4236" t="s">
        <v>2119</v>
      </c>
      <c r="E20" s="4237"/>
      <c r="F20" s="1954" t="s">
        <v>1042</v>
      </c>
      <c r="G20" s="1965"/>
      <c r="H20" s="1965"/>
      <c r="I20" s="1965"/>
      <c r="J20" s="1819"/>
      <c r="K20" s="4233"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1"/>
      <c r="B21" s="1942" t="s">
        <v>2121</v>
      </c>
      <c r="C21" s="1870" t="s">
        <v>1043</v>
      </c>
      <c r="D21" s="1131" t="s">
        <v>2122</v>
      </c>
      <c r="E21" s="1943" t="s">
        <v>1043</v>
      </c>
      <c r="F21" s="1955"/>
      <c r="G21" s="1965"/>
      <c r="H21" s="1965"/>
      <c r="I21" s="1965"/>
      <c r="J21" s="1819"/>
      <c r="K21" s="4233"/>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1"/>
      <c r="B22" s="1944" t="s">
        <v>2123</v>
      </c>
      <c r="C22" s="1870" t="s">
        <v>1044</v>
      </c>
      <c r="D22" s="1965"/>
      <c r="E22" s="1965"/>
      <c r="F22" s="1965"/>
      <c r="G22" s="1965"/>
      <c r="H22" s="1965"/>
      <c r="I22" s="1965"/>
      <c r="J22" s="1819"/>
      <c r="K22" s="4233"/>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8"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8" thickTop="1">
      <c r="A27" s="4222"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22"/>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22"/>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23"/>
      <c r="B30" s="187" t="s">
        <v>2130</v>
      </c>
      <c r="C30" s="4224"/>
      <c r="D30" s="4225"/>
      <c r="E30" s="1965"/>
      <c r="F30" s="1965"/>
      <c r="G30" s="1965"/>
      <c r="H30" s="1965"/>
      <c r="I30" s="1965"/>
      <c r="J30" s="1819"/>
      <c r="K30" s="1926"/>
      <c r="L30" s="1923"/>
      <c r="M30" s="1923"/>
      <c r="N30" s="1819"/>
      <c r="O30" s="1324"/>
      <c r="P30" s="1819"/>
      <c r="Q30" s="1819"/>
      <c r="R30" s="1819"/>
      <c r="S30" s="1819"/>
      <c r="T30" s="1819"/>
      <c r="U30" s="1819"/>
      <c r="V30" s="1819"/>
    </row>
    <row r="31" spans="1:28">
      <c r="A31" s="4226"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27"/>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27"/>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21" t="s">
        <v>2140</v>
      </c>
      <c r="T34" s="207" t="str">
        <f>NUMBERSTRING(7-K34,1)&amp;"通"</f>
        <v>七通</v>
      </c>
      <c r="U34" s="1819"/>
      <c r="V34" s="1819"/>
    </row>
    <row r="35" spans="1:30">
      <c r="A35" s="1810"/>
      <c r="B35" s="4221" t="s">
        <v>2141</v>
      </c>
      <c r="C35" s="4221"/>
      <c r="D35" s="4221"/>
      <c r="E35" s="4221"/>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1"/>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27</v>
      </c>
      <c r="D37" s="1811"/>
      <c r="E37" s="1811"/>
      <c r="F37" s="1811" t="s">
        <v>27</v>
      </c>
      <c r="G37" s="1965"/>
      <c r="H37" s="1965"/>
      <c r="I37" s="1965"/>
      <c r="J37" s="1819"/>
      <c r="K37" s="1926"/>
      <c r="L37" s="1923"/>
      <c r="M37" s="1923"/>
      <c r="N37" s="1819"/>
      <c r="O37" s="1324"/>
      <c r="P37" s="1819"/>
      <c r="Q37" s="1819"/>
      <c r="R37" s="1819"/>
      <c r="S37" s="1819"/>
      <c r="T37" s="1819"/>
      <c r="U37" s="1819"/>
      <c r="V37" s="1819"/>
    </row>
    <row r="38" spans="1:30" ht="13.8" thickBot="1">
      <c r="A38" s="1940" t="s">
        <v>2143</v>
      </c>
      <c r="B38" s="1812"/>
      <c r="C38" s="1812" t="s">
        <v>3974</v>
      </c>
      <c r="D38" s="1812"/>
      <c r="E38" s="1812"/>
      <c r="F38" s="1812" t="s">
        <v>3974</v>
      </c>
      <c r="G38" s="1966"/>
      <c r="H38" s="1966"/>
      <c r="I38" s="1966"/>
      <c r="J38" s="1819"/>
      <c r="K38" s="1926"/>
      <c r="L38" s="1923"/>
      <c r="M38" s="1923"/>
      <c r="N38" s="1819"/>
      <c r="O38" s="1324"/>
      <c r="P38" s="1819"/>
      <c r="Q38" s="1819"/>
      <c r="R38" s="1819"/>
      <c r="S38" s="1819"/>
      <c r="T38" s="1819"/>
      <c r="U38" s="1819"/>
      <c r="V38" s="1819"/>
    </row>
    <row r="39" spans="1:30" s="1815" customFormat="1" ht="14.4"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2">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
  <sheetViews>
    <sheetView workbookViewId="0">
      <selection activeCell="F10" sqref="F10"/>
    </sheetView>
  </sheetViews>
  <sheetFormatPr defaultRowHeight="14.4"/>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2" sqref="AL12"/>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c r="B3" s="933">
        <f>IF(C3="否",G5-AT5,G5)</f>
        <v>6216.26</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1056</v>
      </c>
      <c r="B5" s="930"/>
      <c r="C5" s="930"/>
      <c r="D5" s="931"/>
      <c r="E5" s="6" t="s">
        <v>0</v>
      </c>
      <c r="F5" s="6">
        <f>SUM(F13:F587)</f>
        <v>0</v>
      </c>
      <c r="G5" s="6">
        <f>SUM(G13:G587)</f>
        <v>6216.26</v>
      </c>
      <c r="H5" s="6">
        <f t="shared" ref="H5:AT5" si="0">SUM(H13:H656)</f>
        <v>6216.26</v>
      </c>
      <c r="I5" s="6">
        <f t="shared" si="0"/>
        <v>4265.7700000000004</v>
      </c>
      <c r="J5" s="6">
        <f t="shared" si="0"/>
        <v>0</v>
      </c>
      <c r="K5" s="6">
        <f t="shared" si="0"/>
        <v>1950.49</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6216.26</v>
      </c>
      <c r="BA5" s="456">
        <f t="shared" si="1"/>
        <v>6216.26</v>
      </c>
      <c r="BB5" s="456">
        <f t="shared" si="1"/>
        <v>4265.7700000000004</v>
      </c>
      <c r="BC5" s="456">
        <f t="shared" si="1"/>
        <v>1950.49</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3.2">
      <c r="A6" s="8" t="s">
        <v>1057</v>
      </c>
      <c r="B6" s="930"/>
      <c r="C6" s="930"/>
      <c r="D6" s="931"/>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5.2">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1076</v>
      </c>
      <c r="I9" s="1159" t="s">
        <v>3909</v>
      </c>
      <c r="J9" s="547"/>
      <c r="K9" s="1159" t="s">
        <v>3910</v>
      </c>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3.2">
      <c r="A10" s="1150"/>
      <c r="B10" s="1150"/>
      <c r="C10" s="1150"/>
      <c r="D10" s="1150"/>
      <c r="E10" s="1150"/>
      <c r="F10" s="1150"/>
      <c r="G10" s="731"/>
      <c r="H10" s="16"/>
      <c r="I10" s="1159" t="s">
        <v>3</v>
      </c>
      <c r="J10" s="547"/>
      <c r="K10" s="1159" t="s">
        <v>3</v>
      </c>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t="str">
        <f>K9</f>
        <v>地下</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工业</v>
      </c>
      <c r="BC11" s="1155" t="str">
        <f>K10</f>
        <v>工业</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c r="D13" s="1181" t="s">
        <v>3913</v>
      </c>
      <c r="E13" s="6">
        <f>IF($C$3="是",ROUND($A$3*G13/$B$3,2),ROUND($A$3*(G13-AT13)/$B$3,2))</f>
        <v>0</v>
      </c>
      <c r="F13" s="598"/>
      <c r="G13" s="18">
        <f>H13+AC13+AT13</f>
        <v>6216.26</v>
      </c>
      <c r="H13" s="11">
        <f>SUMIF(I$12:AB$12,"总值",I13:AB13)</f>
        <v>6216.26</v>
      </c>
      <c r="I13" s="1133">
        <f>6216.26-K13</f>
        <v>4265.7700000000004</v>
      </c>
      <c r="J13" s="1133"/>
      <c r="K13" s="1133">
        <v>1950.49</v>
      </c>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0</v>
      </c>
      <c r="AZ13" s="9">
        <f>BA13+BL13</f>
        <v>6216.26</v>
      </c>
      <c r="BA13" s="9">
        <f>SUM(BB13:BK13)</f>
        <v>6216.26</v>
      </c>
      <c r="BB13" s="9">
        <f>IF($D13="是",I13-J13,0)</f>
        <v>4265.7700000000004</v>
      </c>
      <c r="BC13" s="9">
        <f>IF($D13="是",K13-L13,0)</f>
        <v>1950.49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3.2">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1115</v>
      </c>
      <c r="B1" s="787"/>
      <c r="C1" s="787"/>
      <c r="D1" s="787"/>
      <c r="E1" s="787"/>
      <c r="F1" s="787"/>
      <c r="G1" s="787"/>
      <c r="H1" s="787"/>
      <c r="I1" s="787"/>
      <c r="J1" s="787"/>
      <c r="K1" s="787"/>
      <c r="L1" s="787"/>
      <c r="M1" s="787"/>
      <c r="N1" s="787"/>
      <c r="O1" s="787"/>
      <c r="P1" s="787"/>
    </row>
    <row r="2" spans="1:16" ht="14.4">
      <c r="A2" s="4259" t="s">
        <v>1116</v>
      </c>
      <c r="B2" s="4259"/>
      <c r="C2" s="4259"/>
      <c r="D2" s="539" t="s">
        <v>1092</v>
      </c>
      <c r="E2" s="1190" t="s">
        <v>1093</v>
      </c>
      <c r="F2" s="1962"/>
      <c r="G2" s="1956"/>
      <c r="H2" s="1957"/>
      <c r="I2" s="1728" t="s">
        <v>1117</v>
      </c>
      <c r="J2" s="1962"/>
      <c r="K2" s="1962"/>
      <c r="L2" s="1962"/>
      <c r="M2" s="1962"/>
      <c r="N2" s="1963"/>
      <c r="O2" s="1962"/>
      <c r="P2" s="1962"/>
    </row>
    <row r="3" spans="1:16" ht="15" thickBot="1">
      <c r="A3" s="4260" t="s">
        <v>1090</v>
      </c>
      <c r="B3" s="4260"/>
      <c r="C3" s="4260"/>
      <c r="D3" s="3952">
        <f>'数据-基础表'!AY6</f>
        <v>0</v>
      </c>
      <c r="E3" s="3952">
        <f>'数据-基础表'!AZ5</f>
        <v>6216.26</v>
      </c>
      <c r="F3" s="1962"/>
      <c r="G3" s="24"/>
      <c r="H3" s="25" t="s">
        <v>1091</v>
      </c>
      <c r="I3" s="2663" t="e">
        <f>ROUND('数据-基础表'!B3/'数据-基础表'!A3,2)</f>
        <v>#DIV/0!</v>
      </c>
      <c r="J3" s="1962"/>
      <c r="K3" s="1962"/>
      <c r="L3" s="1962"/>
      <c r="M3" s="1962"/>
      <c r="N3" s="1963"/>
      <c r="O3" s="1962"/>
      <c r="P3" s="1962"/>
    </row>
    <row r="4" spans="1:16" ht="14.4">
      <c r="A4" s="4261"/>
      <c r="B4" s="4262"/>
      <c r="C4" s="4263"/>
      <c r="D4" s="1192" t="s">
        <v>1092</v>
      </c>
      <c r="E4" s="1193" t="s">
        <v>1093</v>
      </c>
      <c r="F4" s="1962"/>
      <c r="G4" s="1958" t="s">
        <v>1118</v>
      </c>
      <c r="H4" s="25" t="s">
        <v>1098</v>
      </c>
      <c r="I4" s="2663" t="e">
        <f>ROUND(SUMIF('数据-基础表'!I9:AS9,"地上",'数据-基础表'!I5:AS5)/'数据-基础表'!A3,2)</f>
        <v>#DIV/0!</v>
      </c>
      <c r="J4" s="1962"/>
      <c r="K4" s="1962"/>
      <c r="L4" s="1962"/>
      <c r="M4" s="1962"/>
      <c r="N4" s="1963"/>
      <c r="O4" s="1962"/>
      <c r="P4" s="1962"/>
    </row>
    <row r="5" spans="1:16" ht="14.4">
      <c r="A5" s="24" t="s">
        <v>1094</v>
      </c>
      <c r="B5" s="4264" t="s">
        <v>1095</v>
      </c>
      <c r="C5" s="4264"/>
      <c r="D5" s="3934">
        <f>ROUND($D$3*E5/$E$3,2)</f>
        <v>0</v>
      </c>
      <c r="E5" s="3825">
        <f>SUMIF('数据-基础表'!$11:$11,"住宅",'数据-基础表'!$5:$5)</f>
        <v>0</v>
      </c>
      <c r="F5" s="1962"/>
      <c r="G5" s="24"/>
      <c r="H5" s="25" t="s">
        <v>1091</v>
      </c>
      <c r="I5" s="2663" t="e">
        <f>ROUND(E31/D31,2)</f>
        <v>#DIV/0!</v>
      </c>
      <c r="J5" s="1962"/>
      <c r="K5" s="1962"/>
      <c r="L5" s="1962"/>
      <c r="M5" s="1962"/>
      <c r="N5" s="1962"/>
      <c r="O5" s="1962"/>
      <c r="P5" s="1962"/>
    </row>
    <row r="6" spans="1:16" ht="15" thickBot="1">
      <c r="A6" s="1195"/>
      <c r="B6" s="4264" t="s">
        <v>1096</v>
      </c>
      <c r="C6" s="4264"/>
      <c r="D6" s="3934">
        <f>ROUND($D$3*E6/$E$3,2)</f>
        <v>0</v>
      </c>
      <c r="E6" s="3825">
        <f>E3-E5</f>
        <v>6216.26</v>
      </c>
      <c r="F6" s="1962"/>
      <c r="G6" s="1197" t="s">
        <v>1097</v>
      </c>
      <c r="H6" s="26" t="s">
        <v>1098</v>
      </c>
      <c r="I6" s="2664" t="e">
        <f>ROUND(F31/D31,2)</f>
        <v>#DIV/0!</v>
      </c>
      <c r="J6" s="1962"/>
      <c r="K6" s="1962"/>
      <c r="L6" s="1962"/>
      <c r="M6" s="1962"/>
      <c r="N6" s="1962"/>
      <c r="O6" s="1962"/>
      <c r="P6" s="1962"/>
    </row>
    <row r="7" spans="1:16" ht="15" thickBot="1">
      <c r="A7" s="4256"/>
      <c r="B7" s="4257"/>
      <c r="C7" s="4258"/>
      <c r="D7" s="1192" t="s">
        <v>1092</v>
      </c>
      <c r="E7" s="1196" t="s">
        <v>1099</v>
      </c>
      <c r="F7" s="1962"/>
      <c r="G7" s="1959" t="s">
        <v>1100</v>
      </c>
      <c r="H7" s="1960"/>
      <c r="I7" s="2665">
        <v>2</v>
      </c>
      <c r="J7" s="1962"/>
      <c r="K7" s="1962"/>
      <c r="L7" s="1962"/>
      <c r="M7" s="1962"/>
      <c r="N7" s="1962"/>
      <c r="O7" s="1962"/>
      <c r="P7" s="1962"/>
    </row>
    <row r="8" spans="1:16" ht="14.4">
      <c r="A8" s="24" t="s">
        <v>1101</v>
      </c>
      <c r="B8" s="26" t="s">
        <v>1102</v>
      </c>
      <c r="C8" s="25" t="s">
        <v>1103</v>
      </c>
      <c r="D8" s="3934">
        <f t="shared" ref="D8:D15" si="0">ROUND($D$3*E8/$E$3,2)</f>
        <v>0</v>
      </c>
      <c r="E8" s="3825">
        <f>SUMIF('数据-基础表'!BB10:BK10,"地上",'数据-基础表'!BB5:BK5)</f>
        <v>4265.7700000000004</v>
      </c>
      <c r="F8" s="1962"/>
      <c r="G8" s="1962"/>
      <c r="H8" s="1962"/>
      <c r="I8" s="1962"/>
      <c r="J8" s="1962"/>
      <c r="K8" s="1962"/>
      <c r="L8" s="1962"/>
      <c r="M8" s="1962"/>
      <c r="N8" s="1962"/>
      <c r="O8" s="1962"/>
      <c r="P8" s="1962"/>
    </row>
    <row r="9" spans="1:16" ht="14.4">
      <c r="A9" s="1197"/>
      <c r="B9" s="1198"/>
      <c r="C9" s="25" t="s">
        <v>1104</v>
      </c>
      <c r="D9" s="3934">
        <f t="shared" si="0"/>
        <v>0</v>
      </c>
      <c r="E9" s="3953"/>
      <c r="F9" s="1962"/>
      <c r="G9" s="1962"/>
      <c r="H9" s="1962"/>
      <c r="I9" s="1962"/>
      <c r="J9" s="1962"/>
      <c r="K9" s="1962"/>
      <c r="L9" s="1962"/>
      <c r="M9" s="1962"/>
      <c r="N9" s="1962"/>
      <c r="O9" s="1962"/>
      <c r="P9" s="1962"/>
    </row>
    <row r="10" spans="1:16" ht="14.4">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ht="14.4">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ht="14.4">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ht="14.4">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ht="14.4">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 thickBot="1">
      <c r="A16" s="1195"/>
      <c r="B16" s="1198"/>
      <c r="C16" s="26" t="s">
        <v>1108</v>
      </c>
      <c r="D16" s="3779">
        <f>SUM(D8:D15)</f>
        <v>0</v>
      </c>
      <c r="E16" s="3944">
        <f>SUM(E8:E15)</f>
        <v>4265.7700000000004</v>
      </c>
      <c r="F16" s="1962"/>
      <c r="G16" s="1962"/>
      <c r="H16" s="1199" t="s">
        <v>1120</v>
      </c>
      <c r="I16" s="1200"/>
      <c r="J16" s="787"/>
      <c r="K16" s="4253" t="s">
        <v>1120</v>
      </c>
      <c r="L16" s="4254"/>
      <c r="M16" s="4254"/>
      <c r="N16" s="4254"/>
      <c r="O16" s="4254"/>
      <c r="P16" s="4255"/>
    </row>
    <row r="17" spans="1:19" ht="14.4">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4.4">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ht="14.4">
      <c r="A19" s="1217"/>
      <c r="B19" s="26" t="s">
        <v>1110</v>
      </c>
      <c r="C19" s="2530" t="s">
        <v>3912</v>
      </c>
      <c r="D19" s="3934">
        <f>ROUND($D$3*E19/$E$3,2)</f>
        <v>0</v>
      </c>
      <c r="E19" s="3934">
        <f t="shared" ref="E19:E26" si="1">SUM(F19:G19)</f>
        <v>6216.26</v>
      </c>
      <c r="F19" s="3935">
        <f>'数据-基础表'!I13</f>
        <v>4265.7700000000004</v>
      </c>
      <c r="G19" s="3797">
        <f>'数据-基础表'!K13</f>
        <v>1950.49</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0</v>
      </c>
      <c r="S19" s="3934">
        <f t="shared" si="5"/>
        <v>6216.26</v>
      </c>
    </row>
    <row r="20" spans="1:19" ht="14.4">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ht="14.4">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ht="14.4">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ht="14.4">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ht="14.4">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ht="14.4">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ht="14.4">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 thickBot="1">
      <c r="A27" s="1217"/>
      <c r="B27" s="25"/>
      <c r="C27" s="1218" t="s">
        <v>1139</v>
      </c>
      <c r="D27" s="173">
        <f>SUM(D19:D26)</f>
        <v>0</v>
      </c>
      <c r="E27" s="173">
        <f>IF(SUM(E19:E26)='数据-基础表'!BA5,SUM(E19:E26),IF(F27="地上面积有误","面积有误","地下面积有误"))</f>
        <v>6216.26</v>
      </c>
      <c r="F27" s="173">
        <f>IF(SUM(F19:F26)=E8,SUM(F19:F26),"地上面积有误")</f>
        <v>4265.7700000000004</v>
      </c>
      <c r="G27" s="3823">
        <f>SUM(G19:G26)</f>
        <v>1950.49</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0</v>
      </c>
      <c r="S27" s="3934">
        <f>IF(SUM(S19:S26)=$E$3,SUM(S19:S26),SUM(S19:S26)&amp;"误差"&amp;ROUND(SUM(S19:S26)-E3,2))</f>
        <v>6216.26</v>
      </c>
    </row>
    <row r="28" spans="1:19" ht="14.4">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ht="14.4">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4.4">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 thickBot="1">
      <c r="A31" s="1221"/>
      <c r="B31" s="45"/>
      <c r="C31" s="553" t="s">
        <v>1143</v>
      </c>
      <c r="D31" s="3945">
        <f>D27+D30</f>
        <v>0</v>
      </c>
      <c r="E31" s="3945">
        <f>E27+E30</f>
        <v>6216.26</v>
      </c>
      <c r="F31" s="3946">
        <f>F27+F30</f>
        <v>4265.7700000000004</v>
      </c>
      <c r="G31" s="3947">
        <f>G27+G30</f>
        <v>1950.49</v>
      </c>
      <c r="H31" s="1962"/>
      <c r="I31" s="1962"/>
      <c r="J31" s="1962"/>
      <c r="K31" s="1962"/>
      <c r="L31" s="1962"/>
      <c r="M31" s="1962"/>
      <c r="N31" s="1962"/>
      <c r="O31" s="1962"/>
      <c r="P31" s="1962"/>
    </row>
    <row r="32" spans="1:19" ht="14.4">
      <c r="A32" s="1194"/>
      <c r="B32" s="1194" t="s">
        <v>1144</v>
      </c>
      <c r="C32" s="1194"/>
      <c r="D32" s="3778"/>
      <c r="E32" s="3778">
        <f>SUMIF(C19:C26,"*住宅*",E19:E26)</f>
        <v>0</v>
      </c>
      <c r="F32" s="3778"/>
      <c r="G32" s="3778"/>
      <c r="H32" s="1962"/>
      <c r="I32" s="1962"/>
      <c r="J32" s="1962"/>
      <c r="K32" s="1962"/>
      <c r="L32" s="1962"/>
      <c r="M32" s="1962"/>
      <c r="N32" s="1962"/>
      <c r="O32" s="1962"/>
      <c r="P32" s="1962"/>
    </row>
    <row r="33" spans="4:4">
      <c r="D33" s="122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6" customWidth="1"/>
    <col min="46" max="67" width="13.77734375" style="48"/>
    <col min="68" max="16384" width="13.77734375" style="1225"/>
  </cols>
  <sheetData>
    <row r="1" spans="1:67" ht="18"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 thickBot="1">
      <c r="A2" s="1226" t="s">
        <v>1146</v>
      </c>
      <c r="B2" s="708">
        <f>项目基本情况!D3</f>
        <v>46048</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3914</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科研用房</v>
      </c>
      <c r="B6" s="1250" t="str">
        <f>IF(A6=0,"","经营性")</f>
        <v>经营性</v>
      </c>
      <c r="C6" s="1251" t="s">
        <v>3273</v>
      </c>
      <c r="D6" s="3432">
        <f>SUMIF(项目基本情况!C$12:I$12,C6,项目基本情况!C$14:I$14)</f>
        <v>50</v>
      </c>
      <c r="E6" s="566">
        <f>IF(B6="","",SUMIF(项目基本情况!C$12:I$12,C6,项目基本情况!C$13:I$13))</f>
        <v>53792</v>
      </c>
      <c r="F6" s="3434">
        <f>SUMIF(项目基本情况!C$12:I$12,C6,项目基本情况!C$15:I$15)</f>
        <v>21.21</v>
      </c>
      <c r="G6" s="3435">
        <f t="shared" ref="G6:G13" si="0">IF(ISERROR(ROUND(POWER(1+H6,D6-F6)*(POWER(1+H6,F6)-1)/(POWER(1+H6,D6)-1),4)),0,ROUND(POWER(1+H6,D6-F6)*(POWER(1+H6,F6)-1)/(POWER(1+H6,D6)-1),4))</f>
        <v>0.70630000000000004</v>
      </c>
      <c r="H6" s="3436">
        <v>0.05</v>
      </c>
      <c r="I6" s="3436">
        <v>5.5E-2</v>
      </c>
      <c r="J6" s="3437">
        <v>7.0000000000000007E-2</v>
      </c>
      <c r="K6" s="3954">
        <f>SUMIF('数据-汇总表'!C$19:C$33,A6,'数据-汇总表'!E$19:E$33)</f>
        <v>6216.26</v>
      </c>
      <c r="L6" s="3955">
        <v>4500</v>
      </c>
      <c r="M6" s="3956">
        <f t="shared" ref="M6:M14" si="1">ROUND(K6*L6/10000,0)</f>
        <v>2797</v>
      </c>
      <c r="N6" s="3424">
        <f>N19</f>
        <v>0.77</v>
      </c>
      <c r="O6" s="3956" t="str">
        <f>IF($N$5="成新度","——",ROUND(M6*N6,0))</f>
        <v>——</v>
      </c>
      <c r="P6" s="3787" t="str">
        <f>IF($N$5="成新度","——",M6-O6)</f>
        <v>——</v>
      </c>
      <c r="Q6" s="3425">
        <v>0.15</v>
      </c>
      <c r="R6" s="3970">
        <f ca="1">SUMIF('数据-汇总表'!C$19:C$33,A6,'数据-汇总表'!R$19:R$27)</f>
        <v>0</v>
      </c>
      <c r="S6" s="3934">
        <f>IF('数据-汇总表'!$I$17="按面积比例",SUMIF('数据-汇总表'!C$19:C$33,A6,'数据-汇总表'!K$19:K$33),SUMIF('数据-汇总表'!C$19:C$33,A6,'数据-汇总表'!N$19:N$33))</f>
        <v>0</v>
      </c>
      <c r="T6" s="3971">
        <f>ROUND($L$14*S6/10000,0)</f>
        <v>0</v>
      </c>
      <c r="U6" s="3975">
        <f>W22</f>
        <v>4.3</v>
      </c>
      <c r="V6" s="36">
        <v>0.02</v>
      </c>
      <c r="W6" s="36">
        <v>0.1</v>
      </c>
      <c r="X6" s="703"/>
      <c r="Y6" s="37">
        <f>N6</f>
        <v>0.77</v>
      </c>
      <c r="Z6" s="3980"/>
      <c r="AA6" s="35"/>
      <c r="AB6" s="35"/>
      <c r="AC6" s="703"/>
      <c r="AD6" s="38"/>
      <c r="AE6" s="704">
        <f ca="1">IF(AN6="",0,SUMIF(INDIRECT("'"&amp;AN6&amp;"'"&amp;"!E:E"),$AE$5,INDIRECT("'"&amp;AN6&amp;"'"&amp;"!F:F")))</f>
        <v>21.21</v>
      </c>
      <c r="AF6" s="3982"/>
      <c r="AG6" s="52">
        <f>IF(AF6="",0,AE6-AF6)</f>
        <v>0</v>
      </c>
      <c r="AH6" s="3975"/>
      <c r="AI6" s="3983">
        <v>365</v>
      </c>
      <c r="AJ6" s="3982"/>
      <c r="AK6" s="39">
        <v>3.0000000000000001E-3</v>
      </c>
      <c r="AL6" s="40">
        <v>1E-3</v>
      </c>
      <c r="AM6" s="41">
        <v>0.01</v>
      </c>
      <c r="AN6" s="1252" t="s">
        <v>3918</v>
      </c>
      <c r="AO6" s="3934">
        <f ca="1">SUMIF(INDIRECT("'"&amp;AN6&amp;"'"&amp;"!A:A"),"总价",INDIRECT("'"&amp;AN6&amp;"'"&amp;"!B:B"))</f>
        <v>11500</v>
      </c>
      <c r="AP6" s="3934">
        <f>IF(C6="住宅",K6*L6,0)</f>
        <v>0</v>
      </c>
      <c r="AQ6" s="3934">
        <f>ROUND($L$14*$N$14*S6/10000,0)</f>
        <v>0</v>
      </c>
      <c r="AR6" s="3934">
        <f>ROUND($L$14*(1-$N$14)*S6/10000,0)</f>
        <v>0</v>
      </c>
      <c r="AS6" s="3934">
        <f>ROUND(1-1/(1+H6)^F6,3)</f>
        <v>0.64500000000000002</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1194</v>
      </c>
      <c r="B16" s="42"/>
      <c r="C16" s="552"/>
      <c r="D16" s="3433"/>
      <c r="E16" s="42"/>
      <c r="F16" s="3439"/>
      <c r="G16" s="3440">
        <f>ROUND(SUMPRODUCT(G6:G13,K6:K13)/SUMPRODUCT((G6:G13&gt;0)*(K6:K13)),4)</f>
        <v>0.70630000000000004</v>
      </c>
      <c r="H16" s="3441">
        <f>ROUND(SUMPRODUCT(H6:H13,K6:K13)/SUMPRODUCT((H6:H13&gt;0)*(K6:K13)),3)</f>
        <v>0.05</v>
      </c>
      <c r="I16" s="3442"/>
      <c r="J16" s="3442"/>
      <c r="K16" s="3958">
        <f>SUM(K6:K15)</f>
        <v>6216.26</v>
      </c>
      <c r="L16" s="3959">
        <f>ROUND(M16*10000/SUM(K6:K14),0)</f>
        <v>4499</v>
      </c>
      <c r="M16" s="3959">
        <f>SUM(M6:M14)</f>
        <v>2797</v>
      </c>
      <c r="N16" s="3430">
        <f>ROUND(SUMPRODUCT(M6:M14,N6:N14)/M16,3)</f>
        <v>0.77</v>
      </c>
      <c r="O16" s="3959">
        <f>SUM(O6:O14)</f>
        <v>0</v>
      </c>
      <c r="P16" s="3959">
        <f>SUM(P6:P14)</f>
        <v>0</v>
      </c>
      <c r="Q16" s="3431">
        <f>ROUND(SUMPRODUCT(Q6:Q13,K6:K13)/SUMPRODUCT((Q6:Q13&gt;0)*(K6:K13)),2)</f>
        <v>0.15</v>
      </c>
      <c r="R16" s="3972">
        <f ca="1">SUM(R6:R13)</f>
        <v>0</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0.64500000000000002</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c r="M18" s="4163" t="s">
        <v>3915</v>
      </c>
      <c r="N18" s="4164">
        <v>2012</v>
      </c>
      <c r="O18" s="4165" t="s">
        <v>3916</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4">
      <c r="A19" s="4000" t="s">
        <v>1196</v>
      </c>
      <c r="B19" s="3960">
        <v>0</v>
      </c>
      <c r="C19" s="4083" t="s">
        <v>2197</v>
      </c>
      <c r="D19" s="4079"/>
      <c r="E19" s="4080"/>
      <c r="F19" s="4080"/>
      <c r="G19" s="4080"/>
      <c r="H19" s="1962"/>
      <c r="I19" s="1962"/>
      <c r="J19" s="1962">
        <f>J18/K16</f>
        <v>3.2173686428817327</v>
      </c>
      <c r="K19" s="1973"/>
      <c r="L19" s="1973"/>
      <c r="M19" s="4163" t="s">
        <v>3917</v>
      </c>
      <c r="N19" s="4164">
        <f>ROUND(1-(1-0)*(2026-N18)/60,2)</f>
        <v>0.77</v>
      </c>
      <c r="O19" s="4164"/>
      <c r="P19" s="1972"/>
      <c r="Q19" s="1972"/>
      <c r="R19" s="1972"/>
      <c r="S19" s="1972"/>
      <c r="T19" s="4163" t="s">
        <v>3989</v>
      </c>
      <c r="U19" s="1972">
        <f>'数据-基础表'!I13</f>
        <v>4265.7700000000004</v>
      </c>
      <c r="V19" s="3975">
        <v>1</v>
      </c>
      <c r="W19" s="3975">
        <v>6</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4">
      <c r="A20" s="1257" t="s">
        <v>1197</v>
      </c>
      <c r="B20" s="3961">
        <v>1.5</v>
      </c>
      <c r="C20" s="4081" t="s">
        <v>3873</v>
      </c>
      <c r="D20" s="4079"/>
      <c r="E20" s="4080"/>
      <c r="F20" s="4080"/>
      <c r="G20" s="4080"/>
      <c r="H20" s="1962"/>
      <c r="I20" s="1962"/>
      <c r="J20" s="1962"/>
      <c r="K20" s="1973"/>
      <c r="L20" s="1973"/>
      <c r="M20" s="1972"/>
      <c r="N20" s="1972"/>
      <c r="O20" s="1972"/>
      <c r="P20" s="1972"/>
      <c r="Q20" s="1972"/>
      <c r="R20" s="1972"/>
      <c r="S20" s="1972"/>
      <c r="T20" s="4163" t="s">
        <v>3990</v>
      </c>
      <c r="U20" s="1972">
        <f>'数据-基础表'!K13</f>
        <v>1950.49</v>
      </c>
      <c r="V20" s="3975">
        <v>0.3</v>
      </c>
      <c r="W20" s="3975">
        <f>V20*W19</f>
        <v>1.7999999999999998</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4">
      <c r="A21" s="1258" t="s">
        <v>1198</v>
      </c>
      <c r="B21" s="3961">
        <f>B20</f>
        <v>1.5</v>
      </c>
      <c r="C21" s="1962"/>
      <c r="D21" s="1975"/>
      <c r="E21" s="1962"/>
      <c r="F21" s="1962"/>
      <c r="G21" s="1962"/>
      <c r="H21" s="1962"/>
      <c r="I21" s="1962"/>
      <c r="J21" s="1962"/>
      <c r="K21" s="1973"/>
      <c r="L21" s="1973"/>
      <c r="M21" s="1972"/>
      <c r="N21" s="1972"/>
      <c r="O21" s="1972"/>
      <c r="P21" s="1972"/>
      <c r="Q21" s="1972"/>
      <c r="R21" s="1972"/>
      <c r="S21" s="1972"/>
      <c r="T21" s="1972"/>
      <c r="U21" s="1972">
        <f>U19+U20</f>
        <v>6216.26</v>
      </c>
      <c r="V21" s="3975"/>
      <c r="W21" s="3975">
        <f>(U19*W19+U20*W20)/U21</f>
        <v>4.6821564735065779</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4">
      <c r="A22" s="1257" t="s">
        <v>1199</v>
      </c>
      <c r="B22" s="3962">
        <f>B19+B20</f>
        <v>1.5</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4.3</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4">
      <c r="A23" s="1258" t="s">
        <v>1200</v>
      </c>
      <c r="B23" s="3962">
        <f>B19+B21</f>
        <v>1.5</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4.4"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4">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4">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29.4"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4">
      <c r="A30" s="1264" t="s">
        <v>1208</v>
      </c>
      <c r="B30" s="3967">
        <v>200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4">
      <c r="A31" s="1262" t="s">
        <v>1209</v>
      </c>
      <c r="B31" s="3962">
        <f>B30-B32</f>
        <v>200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4">
      <c r="A33" s="4003" t="s">
        <v>3836</v>
      </c>
      <c r="B33" s="4075">
        <v>0.05</v>
      </c>
      <c r="C33" s="4131" t="s">
        <v>3865</v>
      </c>
      <c r="D33" s="4079"/>
      <c r="E33" s="4080"/>
      <c r="F33" s="4080"/>
      <c r="G33" s="1962"/>
      <c r="H33" s="1962"/>
      <c r="I33" s="1962"/>
      <c r="J33" s="1962"/>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4">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4">
      <c r="A35" s="1262" t="s">
        <v>1212</v>
      </c>
      <c r="B35" s="4077">
        <v>300</v>
      </c>
      <c r="C35" s="4083" t="s">
        <v>3869</v>
      </c>
      <c r="D35" s="4084"/>
      <c r="E35" s="4085"/>
      <c r="F35" s="4085"/>
      <c r="G35" s="1962"/>
      <c r="H35" s="1962"/>
      <c r="I35" s="1962"/>
      <c r="J35" s="1962"/>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4">
      <c r="A36" s="4001" t="s">
        <v>3293</v>
      </c>
      <c r="B36" s="3443">
        <v>0.01</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4">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4">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4.4" thickBot="1">
      <c r="A41" s="2083" t="s">
        <v>2204</v>
      </c>
      <c r="B41" s="3447">
        <f ca="1">IF(A41="利息：取LPR",存贷款利率!G1,存贷款利率!G1+C41)</f>
        <v>3.0599999999999999E-2</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4">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4">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4">
      <c r="A44" s="1266" t="s">
        <v>1217</v>
      </c>
      <c r="B44" s="4074">
        <f>B45+B46+B47</f>
        <v>0.12000000000000001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4">
      <c r="A45" s="1267" t="s">
        <v>1218</v>
      </c>
      <c r="B45" s="3449">
        <v>7.0000000000000007E-2</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4">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4">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4">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4">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4">
      <c r="A53" s="1270" t="s">
        <v>1226</v>
      </c>
      <c r="B53" s="3453">
        <f>SUMIF(A55:A64,B54,B55:B64)</f>
        <v>0</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4">
      <c r="A54" s="1262" t="s">
        <v>1227</v>
      </c>
      <c r="B54" s="3454"/>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4">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4">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4">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4">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4">
      <c r="A59" s="1271" t="s">
        <v>1232</v>
      </c>
      <c r="B59" s="3953"/>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4">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4">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4">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4">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1" customWidth="1"/>
    <col min="9" max="9" width="16.77734375" style="1851" customWidth="1"/>
    <col min="10" max="10" width="2.6640625" style="1851" customWidth="1"/>
    <col min="11" max="11" width="11.88671875" style="1851" customWidth="1"/>
    <col min="12" max="12" width="16.77734375" style="1851" customWidth="1"/>
    <col min="13" max="13" width="2.6640625" style="1851" customWidth="1"/>
    <col min="14" max="14" width="11.88671875" style="1851" customWidth="1"/>
    <col min="15" max="15" width="16.77734375" style="1851" customWidth="1"/>
    <col min="16" max="16" width="2.6640625" style="1851" customWidth="1"/>
    <col min="17" max="17" width="11.88671875" style="1851" customWidth="1"/>
    <col min="18" max="18" width="16.77734375" style="540" customWidth="1"/>
    <col min="19" max="29" width="9" style="540"/>
    <col min="30" max="16384" width="9" style="1189"/>
  </cols>
  <sheetData>
    <row r="1" spans="1:29" s="1833" customFormat="1" ht="18"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3994</v>
      </c>
      <c r="D5" s="1840"/>
      <c r="E5" s="1844"/>
      <c r="F5" s="207" t="s">
        <v>2169</v>
      </c>
      <c r="G5" s="1845"/>
      <c r="H5" s="540"/>
      <c r="I5" s="540"/>
      <c r="J5" s="540"/>
      <c r="K5" s="540"/>
      <c r="L5" s="540"/>
      <c r="M5" s="540"/>
      <c r="N5" s="540"/>
      <c r="O5" s="540"/>
      <c r="P5" s="540"/>
      <c r="Q5" s="540"/>
    </row>
    <row r="6" spans="1:29" ht="79.2">
      <c r="A6" s="1822"/>
      <c r="B6" s="207" t="s">
        <v>2170</v>
      </c>
      <c r="C6" s="1845" t="s">
        <v>3957</v>
      </c>
      <c r="D6" s="1840"/>
      <c r="E6" s="1844"/>
      <c r="F6" s="207" t="s">
        <v>2171</v>
      </c>
      <c r="G6" s="1845"/>
      <c r="H6" s="540"/>
      <c r="I6" s="540"/>
      <c r="J6" s="540"/>
      <c r="K6" s="540"/>
      <c r="L6" s="540"/>
      <c r="M6" s="540"/>
      <c r="N6" s="540"/>
      <c r="O6" s="540"/>
      <c r="P6" s="540"/>
      <c r="Q6" s="540"/>
    </row>
    <row r="7" spans="1:29" ht="185.4" thickBot="1">
      <c r="A7" s="1822"/>
      <c r="B7" s="207" t="s">
        <v>2169</v>
      </c>
      <c r="C7" s="1845" t="s">
        <v>3958</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48">
      <c r="A9" s="1822"/>
      <c r="B9" s="207" t="s">
        <v>2173</v>
      </c>
      <c r="C9" s="4166" t="s">
        <v>3919</v>
      </c>
      <c r="D9" s="1840"/>
      <c r="E9" s="1819"/>
      <c r="F9" s="47"/>
      <c r="G9" s="47"/>
      <c r="H9" s="540"/>
      <c r="I9" s="540"/>
      <c r="J9" s="540"/>
      <c r="K9" s="540"/>
      <c r="L9" s="540"/>
      <c r="M9" s="540"/>
      <c r="N9" s="540"/>
      <c r="O9" s="540"/>
      <c r="P9" s="540"/>
      <c r="Q9" s="540"/>
    </row>
    <row r="10" spans="1:29" ht="14.4" thickBot="1">
      <c r="A10" s="1823"/>
      <c r="B10" s="1849" t="s">
        <v>2174</v>
      </c>
      <c r="C10" s="1850" t="s">
        <v>3920</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7.399999999999999">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 thickBot="1">
      <c r="A13" s="1858" t="s">
        <v>2190</v>
      </c>
      <c r="B13" s="1854"/>
      <c r="C13" s="1854"/>
      <c r="D13" s="1853"/>
      <c r="E13" s="1854"/>
      <c r="F13" s="1854"/>
      <c r="G13" s="1854"/>
    </row>
    <row r="14" spans="1:29" ht="14.4"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66">
      <c r="A17" s="1826"/>
      <c r="B17" s="1865" t="s">
        <v>2168</v>
      </c>
      <c r="C17" s="1866" t="str">
        <f>C5</f>
        <v>位于北五环外，周边有金隅制造工场、金隅科技园、中关村东升科技园6号院等项目，办公集聚程度较好</v>
      </c>
      <c r="D17" s="1819"/>
      <c r="E17" s="1827"/>
      <c r="F17" s="1867" t="s">
        <v>2180</v>
      </c>
      <c r="G17" s="1869"/>
    </row>
    <row r="18" spans="1:17" ht="79.2">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52.8">
      <c r="A20" s="1826"/>
      <c r="B20" s="1867" t="s">
        <v>2182</v>
      </c>
      <c r="C20" s="1866" t="str">
        <f>C9</f>
        <v>区域自然环境：新都公园、翡丽公园、兰观绿洲体育公园；无人文环境；综合评价环境状况较好</v>
      </c>
      <c r="D20" s="1819"/>
      <c r="E20" s="1827"/>
      <c r="F20" s="207" t="s">
        <v>2171</v>
      </c>
      <c r="G20" s="1868">
        <f>G6</f>
        <v>0</v>
      </c>
    </row>
    <row r="21" spans="1:17" ht="184.8">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4.4"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4.4"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4.4"/>
  <cols>
    <col min="1" max="1" width="25" style="1875" customWidth="1"/>
    <col min="2" max="9" width="15.77734375" style="1875" customWidth="1"/>
    <col min="10" max="16384" width="9" style="1875"/>
  </cols>
  <sheetData>
    <row r="1" spans="1:11" ht="16.2">
      <c r="A1" s="1874" t="s">
        <v>653</v>
      </c>
      <c r="B1" s="1874">
        <f>SUM(B14:B23)</f>
        <v>6216.26</v>
      </c>
      <c r="C1" s="1983"/>
      <c r="D1" s="1983"/>
      <c r="E1" s="1983"/>
      <c r="F1" s="1983"/>
      <c r="G1" s="1984"/>
      <c r="H1" s="1984"/>
      <c r="I1" s="1984"/>
      <c r="J1" s="1984"/>
      <c r="K1" s="1984"/>
    </row>
    <row r="2" spans="1:11" ht="16.2">
      <c r="A2" s="1874" t="s">
        <v>641</v>
      </c>
      <c r="B2" s="1874">
        <f>SUM(C14:C23)</f>
        <v>0</v>
      </c>
      <c r="C2" s="1983"/>
      <c r="D2" s="1983"/>
      <c r="E2" s="1983"/>
      <c r="F2" s="1983"/>
      <c r="G2" s="1984"/>
      <c r="H2" s="1984"/>
      <c r="I2" s="1984"/>
      <c r="J2" s="1984"/>
      <c r="K2" s="1984"/>
    </row>
    <row r="3" spans="1:11" ht="15.6">
      <c r="A3" s="1874" t="s">
        <v>650</v>
      </c>
      <c r="B3" s="1876">
        <f>项目基本情况!D3</f>
        <v>46048</v>
      </c>
      <c r="C3" s="1983"/>
      <c r="D3" s="1983"/>
      <c r="E3" s="1983"/>
      <c r="F3" s="1983"/>
      <c r="G3" s="1984"/>
      <c r="H3" s="1984"/>
      <c r="I3" s="1984"/>
      <c r="J3" s="1984"/>
      <c r="K3" s="1984"/>
    </row>
    <row r="4" spans="1:11" ht="31.2">
      <c r="A4" s="1874" t="s">
        <v>649</v>
      </c>
      <c r="B4" s="1874" t="s">
        <v>648</v>
      </c>
      <c r="C4" s="1874" t="s">
        <v>647</v>
      </c>
      <c r="D4" s="1874" t="s">
        <v>646</v>
      </c>
      <c r="E4" s="1983"/>
      <c r="F4" s="1984"/>
      <c r="G4" s="1984"/>
      <c r="H4" s="1984"/>
      <c r="I4" s="1984"/>
      <c r="J4" s="1984"/>
      <c r="K4" s="1984"/>
    </row>
    <row r="5" spans="1:11" ht="15.6">
      <c r="A5" s="1874" t="s">
        <v>645</v>
      </c>
      <c r="B5" s="1874">
        <f ca="1">SUM(D14:D23)</f>
        <v>18236</v>
      </c>
      <c r="C5" s="1874">
        <f ca="1">ROUND(B5*10000/$B$1,0)</f>
        <v>29336</v>
      </c>
      <c r="D5" s="1874" t="e">
        <f ca="1">ROUND(B5*10000/$B$2,0)</f>
        <v>#DIV/0!</v>
      </c>
      <c r="E5" s="1983"/>
      <c r="F5" s="1984"/>
      <c r="G5" s="1984"/>
      <c r="H5" s="1984"/>
      <c r="I5" s="1984"/>
      <c r="J5" s="1984"/>
      <c r="K5" s="1984"/>
    </row>
    <row r="6" spans="1:11" ht="15.6">
      <c r="A6" s="1874" t="s">
        <v>644</v>
      </c>
      <c r="B6" s="1874">
        <f ca="1">SUM(G14:G23)</f>
        <v>18236</v>
      </c>
      <c r="C6" s="1874">
        <f ca="1">ROUND(B6*10000/$B$1,0)</f>
        <v>29336</v>
      </c>
      <c r="D6" s="1874" t="e">
        <f ca="1">ROUND(B6*10000/$B$2,0)</f>
        <v>#DIV/0!</v>
      </c>
      <c r="E6" s="1983"/>
      <c r="F6" s="1984"/>
      <c r="G6" s="1984"/>
      <c r="H6" s="1984"/>
      <c r="I6" s="1984"/>
      <c r="J6" s="1984"/>
      <c r="K6" s="1984"/>
    </row>
    <row r="7" spans="1:11" ht="15.6">
      <c r="A7" s="1874" t="s">
        <v>652</v>
      </c>
      <c r="B7" s="1874">
        <f>SUM(H14:H23)</f>
        <v>0</v>
      </c>
      <c r="C7" s="1874" t="str">
        <f>IF(B7=H14,结果表!H110,ROUND(B7*10000/$B$1,0))</f>
        <v>——</v>
      </c>
      <c r="D7" s="1874" t="e">
        <f>ROUND(B7*10000/$B$2,0)</f>
        <v>#DIV/0!</v>
      </c>
      <c r="E7" s="1983"/>
      <c r="F7" s="1984"/>
      <c r="G7" s="1984"/>
      <c r="H7" s="1984"/>
      <c r="I7" s="1984"/>
      <c r="J7" s="1984"/>
      <c r="K7" s="1984"/>
    </row>
    <row r="8" spans="1:11" ht="15.6">
      <c r="A8" s="1874" t="s">
        <v>581</v>
      </c>
      <c r="B8" s="1874">
        <f>SUM(I14:I23)</f>
        <v>0</v>
      </c>
      <c r="C8" s="1874" t="str">
        <f>IF(B8=I14,结果表!H112,ROUND(B8*10000/$B$1,0))</f>
        <v>——</v>
      </c>
      <c r="D8" s="1874" t="e">
        <f>ROUND(B8*10000/$B$2,0)</f>
        <v>#DIV/0!</v>
      </c>
      <c r="E8" s="1983"/>
      <c r="F8" s="1984"/>
      <c r="G8" s="1984"/>
      <c r="H8" s="1984"/>
      <c r="I8" s="1984"/>
      <c r="J8" s="1984"/>
      <c r="K8" s="1984"/>
    </row>
    <row r="9" spans="1:11" ht="15.6">
      <c r="A9" s="1874" t="s">
        <v>643</v>
      </c>
      <c r="B9" s="2656"/>
      <c r="C9" s="2657"/>
      <c r="D9" s="2657"/>
      <c r="E9" s="1983"/>
      <c r="F9" s="1984"/>
      <c r="G9" s="1984"/>
      <c r="H9" s="1984"/>
      <c r="I9" s="1984"/>
      <c r="J9" s="1984"/>
      <c r="K9" s="1984"/>
    </row>
    <row r="10" spans="1:11" ht="15.6">
      <c r="A10" s="1874" t="s">
        <v>642</v>
      </c>
      <c r="B10" s="1874">
        <f>IF(E10="",0,ROUND(B1*(E10*365/G10)/10000,0))</f>
        <v>0</v>
      </c>
      <c r="C10" s="1874" t="s">
        <v>3242</v>
      </c>
      <c r="D10" s="1874" t="s">
        <v>3243</v>
      </c>
      <c r="E10" s="3776"/>
      <c r="F10" s="2549" t="s">
        <v>3244</v>
      </c>
      <c r="G10" s="3777"/>
      <c r="H10" s="1984"/>
      <c r="I10" s="1984"/>
      <c r="J10" s="1984"/>
      <c r="K10" s="1984"/>
    </row>
    <row r="11" spans="1:11" ht="15.6">
      <c r="A11" s="1874" t="s">
        <v>658</v>
      </c>
      <c r="B11" s="3775"/>
      <c r="C11" s="1983"/>
      <c r="D11" s="1983"/>
      <c r="E11" s="1983"/>
      <c r="F11" s="1984"/>
      <c r="G11" s="1984"/>
      <c r="H11" s="1984"/>
      <c r="I11" s="1984"/>
      <c r="J11" s="1984"/>
      <c r="K11" s="1984"/>
    </row>
    <row r="12" spans="1:11" ht="15.6">
      <c r="A12" s="1983"/>
      <c r="B12" s="1983"/>
      <c r="C12" s="1983"/>
      <c r="D12" s="1983"/>
      <c r="E12" s="1983"/>
      <c r="F12" s="1984"/>
      <c r="G12" s="1984"/>
      <c r="H12" s="1984"/>
      <c r="I12" s="1984"/>
      <c r="J12" s="1984"/>
      <c r="K12" s="1984"/>
    </row>
    <row r="13" spans="1:11" ht="31.8">
      <c r="A13" s="1877" t="s">
        <v>657</v>
      </c>
      <c r="B13" s="1878" t="s">
        <v>654</v>
      </c>
      <c r="C13" s="1878" t="s">
        <v>656</v>
      </c>
      <c r="D13" s="1878" t="s">
        <v>655</v>
      </c>
      <c r="E13" s="1874" t="s">
        <v>647</v>
      </c>
      <c r="F13" s="1874" t="s">
        <v>646</v>
      </c>
      <c r="G13" s="1878" t="s">
        <v>640</v>
      </c>
      <c r="H13" s="1878" t="s">
        <v>651</v>
      </c>
      <c r="I13" s="1878" t="s">
        <v>639</v>
      </c>
      <c r="J13" s="1984"/>
      <c r="K13" s="1984"/>
    </row>
    <row r="14" spans="1:11" ht="15.6">
      <c r="A14" s="1879" t="s">
        <v>638</v>
      </c>
      <c r="B14" s="3773">
        <f>结果表!B118</f>
        <v>6216.26</v>
      </c>
      <c r="C14" s="3773"/>
      <c r="D14" s="3773">
        <f ca="1">结果表!H118</f>
        <v>18236</v>
      </c>
      <c r="E14" s="3773">
        <f ca="1">ROUND(D14*10000/B14,0)</f>
        <v>29336</v>
      </c>
      <c r="F14" s="3773" t="e">
        <f ca="1">ROUND(D14*10000/C14,0)</f>
        <v>#DIV/0!</v>
      </c>
      <c r="G14" s="3773">
        <f ca="1">D14</f>
        <v>18236</v>
      </c>
      <c r="H14" s="3773"/>
      <c r="I14" s="3773"/>
      <c r="J14" s="1984"/>
      <c r="K14" s="1984"/>
    </row>
    <row r="15" spans="1:11" ht="15.6">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5.6">
      <c r="A16" s="1879" t="s">
        <v>636</v>
      </c>
      <c r="B16" s="3774"/>
      <c r="C16" s="3774"/>
      <c r="D16" s="3774"/>
      <c r="E16" s="3773" t="e">
        <f t="shared" si="0"/>
        <v>#DIV/0!</v>
      </c>
      <c r="F16" s="3773" t="e">
        <f t="shared" si="1"/>
        <v>#DIV/0!</v>
      </c>
      <c r="G16" s="3775"/>
      <c r="H16" s="3775"/>
      <c r="I16" s="3774"/>
      <c r="J16" s="1984"/>
      <c r="K16" s="1984"/>
    </row>
    <row r="17" spans="1:11" ht="15.6">
      <c r="A17" s="1879" t="s">
        <v>635</v>
      </c>
      <c r="B17" s="3774"/>
      <c r="C17" s="3774"/>
      <c r="D17" s="3774"/>
      <c r="E17" s="3773" t="e">
        <f t="shared" si="0"/>
        <v>#DIV/0!</v>
      </c>
      <c r="F17" s="3773" t="e">
        <f t="shared" si="1"/>
        <v>#DIV/0!</v>
      </c>
      <c r="G17" s="3775"/>
      <c r="H17" s="3775"/>
      <c r="I17" s="3774"/>
      <c r="J17" s="1984"/>
      <c r="K17" s="1984"/>
    </row>
    <row r="18" spans="1:11" ht="15.6">
      <c r="A18" s="1879" t="s">
        <v>634</v>
      </c>
      <c r="B18" s="3774"/>
      <c r="C18" s="3774"/>
      <c r="D18" s="3774"/>
      <c r="E18" s="3773" t="e">
        <f t="shared" si="0"/>
        <v>#DIV/0!</v>
      </c>
      <c r="F18" s="3773" t="e">
        <f t="shared" si="1"/>
        <v>#DIV/0!</v>
      </c>
      <c r="G18" s="3774"/>
      <c r="H18" s="3774"/>
      <c r="I18" s="3774"/>
      <c r="J18" s="1984"/>
      <c r="K18" s="1984"/>
    </row>
    <row r="19" spans="1:11" ht="15.6">
      <c r="A19" s="1879" t="s">
        <v>633</v>
      </c>
      <c r="B19" s="3774"/>
      <c r="C19" s="3774"/>
      <c r="D19" s="3774"/>
      <c r="E19" s="3773" t="e">
        <f t="shared" si="0"/>
        <v>#DIV/0!</v>
      </c>
      <c r="F19" s="3773" t="e">
        <f t="shared" si="1"/>
        <v>#DIV/0!</v>
      </c>
      <c r="G19" s="3774"/>
      <c r="H19" s="3774"/>
      <c r="I19" s="3774"/>
      <c r="J19" s="1984"/>
      <c r="K19" s="1984"/>
    </row>
    <row r="20" spans="1:11" ht="15.6">
      <c r="A20" s="1879" t="s">
        <v>632</v>
      </c>
      <c r="B20" s="3774"/>
      <c r="C20" s="3774"/>
      <c r="D20" s="3774"/>
      <c r="E20" s="3773" t="e">
        <f t="shared" si="0"/>
        <v>#DIV/0!</v>
      </c>
      <c r="F20" s="3773" t="e">
        <f t="shared" si="1"/>
        <v>#DIV/0!</v>
      </c>
      <c r="G20" s="3774"/>
      <c r="H20" s="3774"/>
      <c r="I20" s="3774"/>
      <c r="J20" s="1984"/>
      <c r="K20" s="1984"/>
    </row>
    <row r="21" spans="1:11" ht="15.6">
      <c r="A21" s="1879" t="s">
        <v>631</v>
      </c>
      <c r="B21" s="3774"/>
      <c r="C21" s="3774"/>
      <c r="D21" s="3774"/>
      <c r="E21" s="3773" t="e">
        <f t="shared" si="0"/>
        <v>#DIV/0!</v>
      </c>
      <c r="F21" s="3773" t="e">
        <f t="shared" si="1"/>
        <v>#DIV/0!</v>
      </c>
      <c r="G21" s="3774"/>
      <c r="H21" s="3774"/>
      <c r="I21" s="3774"/>
      <c r="J21" s="1984"/>
      <c r="K21" s="1984"/>
    </row>
    <row r="22" spans="1:11" ht="15.6">
      <c r="A22" s="1879" t="s">
        <v>630</v>
      </c>
      <c r="B22" s="3774"/>
      <c r="C22" s="3774"/>
      <c r="D22" s="3774"/>
      <c r="E22" s="3773" t="e">
        <f t="shared" si="0"/>
        <v>#DIV/0!</v>
      </c>
      <c r="F22" s="3773" t="e">
        <f t="shared" si="1"/>
        <v>#DIV/0!</v>
      </c>
      <c r="G22" s="3774"/>
      <c r="H22" s="3774"/>
      <c r="I22" s="3774"/>
      <c r="J22" s="1984"/>
      <c r="K22" s="1984"/>
    </row>
    <row r="23" spans="1:11" ht="15.6">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F5" sqref="F5"/>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1243</v>
      </c>
      <c r="B1" s="465"/>
      <c r="C1" s="1279" t="s">
        <v>3911</v>
      </c>
      <c r="D1" s="465"/>
      <c r="E1" s="465"/>
      <c r="F1" s="1280" t="s">
        <v>1244</v>
      </c>
      <c r="G1" s="1125" t="s">
        <v>3971</v>
      </c>
      <c r="H1" s="1280" t="str">
        <f>IF(G1="现房","——","估价对象范围")</f>
        <v>——</v>
      </c>
      <c r="I1" s="1281" t="s">
        <v>3972</v>
      </c>
    </row>
    <row r="2" spans="1:12" ht="21.75" customHeight="1" thickBot="1">
      <c r="A2" s="4318" t="str">
        <f>项目基本情况!S2</f>
        <v>北京市北京市海淀区建材城东路26号院4号楼房地产</v>
      </c>
      <c r="B2" s="4319"/>
      <c r="C2" s="4319"/>
      <c r="D2" s="4319"/>
      <c r="E2" s="4319"/>
      <c r="F2" s="4319"/>
      <c r="G2" s="4319"/>
      <c r="H2" s="4319"/>
      <c r="I2" s="4320"/>
    </row>
    <row r="3" spans="1:12" ht="13.2">
      <c r="A3" s="4322" t="s">
        <v>1245</v>
      </c>
      <c r="B3" s="4323"/>
      <c r="C3" s="4323"/>
      <c r="D3" s="4323"/>
      <c r="E3" s="4323"/>
      <c r="F3" s="4323"/>
      <c r="G3" s="4323"/>
      <c r="H3" s="4323"/>
      <c r="I3" s="4323"/>
    </row>
    <row r="4" spans="1:12" ht="14.4">
      <c r="A4" s="1283" t="s">
        <v>1246</v>
      </c>
      <c r="B4" s="1284" t="s">
        <v>1247</v>
      </c>
      <c r="C4" s="3694" t="s">
        <v>3973</v>
      </c>
      <c r="D4" s="3694" t="s">
        <v>3918</v>
      </c>
      <c r="E4" s="4327" t="s">
        <v>1248</v>
      </c>
      <c r="F4" s="4328"/>
      <c r="G4" s="4328"/>
      <c r="H4" s="4328"/>
      <c r="I4" s="432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10" t="s">
        <v>1249</v>
      </c>
      <c r="B5" s="4291">
        <v>25</v>
      </c>
      <c r="C5" s="4324"/>
      <c r="D5" s="4321"/>
      <c r="E5" s="49" t="s">
        <v>1250</v>
      </c>
      <c r="F5" s="1285"/>
      <c r="G5" s="1285"/>
      <c r="H5" s="1285"/>
      <c r="I5" s="952"/>
    </row>
    <row r="6" spans="1:12" ht="13.2">
      <c r="A6" s="4310"/>
      <c r="B6" s="4291"/>
      <c r="C6" s="4326"/>
      <c r="D6" s="4321"/>
      <c r="E6" s="49" t="s">
        <v>1251</v>
      </c>
      <c r="F6" s="1285"/>
      <c r="G6" s="1285"/>
      <c r="H6" s="1285"/>
      <c r="I6" s="952"/>
    </row>
    <row r="7" spans="1:12" ht="13.2">
      <c r="A7" s="4310"/>
      <c r="B7" s="4291"/>
      <c r="C7" s="4325"/>
      <c r="D7" s="4321"/>
      <c r="E7" s="49" t="s">
        <v>1252</v>
      </c>
      <c r="F7" s="1285"/>
      <c r="G7" s="1285"/>
      <c r="H7" s="1285"/>
      <c r="I7" s="952"/>
    </row>
    <row r="8" spans="1:12" ht="13.2">
      <c r="A8" s="4310" t="s">
        <v>1253</v>
      </c>
      <c r="B8" s="4291">
        <v>15</v>
      </c>
      <c r="C8" s="4324"/>
      <c r="D8" s="4321"/>
      <c r="E8" s="49" t="s">
        <v>1254</v>
      </c>
      <c r="F8" s="1285"/>
      <c r="G8" s="1285"/>
      <c r="H8" s="1285"/>
      <c r="I8" s="952"/>
    </row>
    <row r="9" spans="1:12" ht="13.2">
      <c r="A9" s="4310"/>
      <c r="B9" s="4291"/>
      <c r="C9" s="4325"/>
      <c r="D9" s="4321"/>
      <c r="E9" s="49" t="s">
        <v>1255</v>
      </c>
      <c r="F9" s="1285"/>
      <c r="G9" s="1285"/>
      <c r="H9" s="1285"/>
      <c r="I9" s="952"/>
    </row>
    <row r="10" spans="1:12" ht="13.2">
      <c r="A10" s="4310" t="s">
        <v>1256</v>
      </c>
      <c r="B10" s="4291">
        <v>15</v>
      </c>
      <c r="C10" s="4324"/>
      <c r="D10" s="4321"/>
      <c r="E10" s="49" t="s">
        <v>1257</v>
      </c>
      <c r="F10" s="1285"/>
      <c r="G10" s="1285"/>
      <c r="H10" s="1285"/>
      <c r="I10" s="952"/>
    </row>
    <row r="11" spans="1:12" ht="13.2">
      <c r="A11" s="4310"/>
      <c r="B11" s="4291"/>
      <c r="C11" s="4325"/>
      <c r="D11" s="4321"/>
      <c r="E11" s="49" t="s">
        <v>1258</v>
      </c>
      <c r="F11" s="1285"/>
      <c r="G11" s="1285"/>
      <c r="H11" s="1285"/>
      <c r="I11" s="952"/>
    </row>
    <row r="12" spans="1:12" ht="13.2">
      <c r="A12" s="4310" t="s">
        <v>1259</v>
      </c>
      <c r="B12" s="4291">
        <v>15</v>
      </c>
      <c r="C12" s="4324"/>
      <c r="D12" s="4321"/>
      <c r="E12" s="49" t="s">
        <v>1260</v>
      </c>
      <c r="F12" s="1285"/>
      <c r="G12" s="1285"/>
      <c r="H12" s="1285"/>
      <c r="I12" s="952"/>
    </row>
    <row r="13" spans="1:12" ht="13.2">
      <c r="A13" s="4310"/>
      <c r="B13" s="4291"/>
      <c r="C13" s="4325"/>
      <c r="D13" s="4321"/>
      <c r="E13" s="49" t="s">
        <v>1261</v>
      </c>
      <c r="F13" s="1285"/>
      <c r="G13" s="1285"/>
      <c r="H13" s="1285"/>
      <c r="I13" s="952"/>
    </row>
    <row r="14" spans="1:12" ht="13.2">
      <c r="A14" s="4310" t="s">
        <v>1262</v>
      </c>
      <c r="B14" s="4291">
        <v>30</v>
      </c>
      <c r="C14" s="4324">
        <v>7</v>
      </c>
      <c r="D14" s="4321">
        <v>3</v>
      </c>
      <c r="E14" s="49" t="s">
        <v>1263</v>
      </c>
      <c r="F14" s="1285"/>
      <c r="G14" s="1285"/>
      <c r="H14" s="1285"/>
      <c r="I14" s="952"/>
    </row>
    <row r="15" spans="1:12" ht="13.2">
      <c r="A15" s="4310"/>
      <c r="B15" s="4291"/>
      <c r="C15" s="4326"/>
      <c r="D15" s="4321"/>
      <c r="E15" s="49" t="s">
        <v>1264</v>
      </c>
      <c r="F15" s="1285"/>
      <c r="G15" s="1285"/>
      <c r="H15" s="1285"/>
      <c r="I15" s="952"/>
    </row>
    <row r="16" spans="1:12" ht="13.2">
      <c r="A16" s="4310"/>
      <c r="B16" s="4291"/>
      <c r="C16" s="4325"/>
      <c r="D16" s="4321"/>
      <c r="E16" s="49" t="s">
        <v>1265</v>
      </c>
      <c r="F16" s="1285"/>
      <c r="G16" s="1285"/>
      <c r="H16" s="1285"/>
      <c r="I16" s="952"/>
    </row>
    <row r="17" spans="1:36" ht="14.4">
      <c r="A17" s="1286" t="s">
        <v>1266</v>
      </c>
      <c r="B17" s="3693"/>
      <c r="C17" s="3778">
        <f>SUM(C5:C16)</f>
        <v>7</v>
      </c>
      <c r="D17" s="3778">
        <f>SUM(D5:D16)</f>
        <v>3</v>
      </c>
      <c r="E17" s="47"/>
      <c r="F17" s="47"/>
      <c r="G17" s="47"/>
      <c r="H17" s="47"/>
      <c r="I17" s="47"/>
      <c r="K17" s="187"/>
      <c r="L17" s="187" t="s">
        <v>1267</v>
      </c>
      <c r="M17" s="187" t="s">
        <v>1268</v>
      </c>
    </row>
    <row r="18" spans="1:36" ht="31.95" customHeight="1" thickBot="1">
      <c r="A18" s="1287" t="s">
        <v>1269</v>
      </c>
      <c r="B18" s="1210"/>
      <c r="C18" s="3779">
        <f>ROUND(C17/SUM(C17:D17),2)</f>
        <v>0.7</v>
      </c>
      <c r="D18" s="3779">
        <f>1-C18</f>
        <v>0.30000000000000004</v>
      </c>
      <c r="E18" s="4349" t="s">
        <v>2043</v>
      </c>
      <c r="F18" s="4350"/>
      <c r="G18" s="4350"/>
      <c r="H18" s="4350"/>
      <c r="I18" s="4350"/>
      <c r="K18" s="187" t="s">
        <v>1270</v>
      </c>
      <c r="L18" s="2742">
        <f>IF(C1="",'数据-汇总表'!E3,SUMIF(项目类型,C1,'数据-汇总表'!E17:E26)+SUMIF(项目类型,C1,'数据-汇总表'!I17:I26))</f>
        <v>6216.26</v>
      </c>
      <c r="M18" s="2742">
        <f>IF(C1="",'数据-汇总表'!E3,SUMIF(项目类型,C1,'数据-汇总表'!E17:E26))</f>
        <v>6216.26</v>
      </c>
    </row>
    <row r="19" spans="1:36" ht="14.4">
      <c r="A19" s="1288" t="s">
        <v>1271</v>
      </c>
      <c r="B19" s="1289" t="s">
        <v>1272</v>
      </c>
      <c r="C19" s="3780">
        <f ca="1">SUMIF(INDIRECT("'"&amp;C4&amp;"'"&amp;"!A:A"),结果表!B19,INDIRECT("'"&amp;C4&amp;"'"&amp;"!B:B"))</f>
        <v>21123</v>
      </c>
      <c r="D19" s="3781">
        <f ca="1">SUMIF(INDIRECT("'"&amp;D4&amp;"'"&amp;"!A:A"),结果表!B19,INDIRECT("'"&amp;D4&amp;"'"&amp;"!B:B"))</f>
        <v>11500</v>
      </c>
      <c r="E19" s="1288" t="s">
        <v>1273</v>
      </c>
      <c r="F19" s="1289" t="s">
        <v>1272</v>
      </c>
      <c r="G19" s="3786">
        <f ca="1">ROUND(C19*$C$18+D19*$D$18,0)</f>
        <v>18236</v>
      </c>
      <c r="H19" s="1290" t="s">
        <v>1274</v>
      </c>
      <c r="I19" s="47">
        <f ca="1">ROUND(C19*$C$18+D19*$D$18,4)</f>
        <v>18236.099999999999</v>
      </c>
      <c r="K19" s="187" t="s">
        <v>1275</v>
      </c>
      <c r="L19" s="2742">
        <f>IF(C1="",'数据-汇总表'!D3,SUMIF(项目类型,C1,'数据-汇总表'!D17:D26)+SUMIF(项目类型,C1,'数据-汇总表'!H17:H27))</f>
        <v>0</v>
      </c>
      <c r="M19" s="2742">
        <f>IF(C1="",'数据-汇总表'!D3,SUMIF(项目类型,C1,'数据-汇总表'!D17:D26))</f>
        <v>0</v>
      </c>
    </row>
    <row r="20" spans="1:36" ht="14.4">
      <c r="A20" s="1291"/>
      <c r="B20" s="25" t="s">
        <v>1276</v>
      </c>
      <c r="C20" s="3782">
        <f ca="1">SUMIF(INDIRECT("'"&amp;C4&amp;"'"&amp;"!A:A"),结果表!B20,INDIRECT("'"&amp;C4&amp;"'"&amp;"!B:B"))</f>
        <v>33981</v>
      </c>
      <c r="D20" s="3783">
        <f ca="1">SUMIF(INDIRECT("'"&amp;D4&amp;"'"&amp;"!A:A"),结果表!B20,INDIRECT("'"&amp;D4&amp;"'"&amp;"!B:B"))</f>
        <v>18500</v>
      </c>
      <c r="E20" s="1291"/>
      <c r="F20" s="25" t="s">
        <v>1276</v>
      </c>
      <c r="G20" s="3787">
        <f ca="1">ROUND(C20*$C$18+D20*$D$18,0)</f>
        <v>29337</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0.83678260869565224</v>
      </c>
      <c r="E22" s="3517"/>
      <c r="F22" s="3519"/>
      <c r="G22" s="3788" t="e">
        <f ca="1">ROUND(G19/('数据-汇总表'!D3/666.67),0)</f>
        <v>#DIV/0!</v>
      </c>
      <c r="H22" s="3518" t="s">
        <v>3640</v>
      </c>
      <c r="I22" s="47"/>
    </row>
    <row r="23" spans="1:36" ht="13.8" thickBot="1">
      <c r="A23" s="465"/>
      <c r="B23" s="465"/>
      <c r="C23" s="465"/>
      <c r="D23" s="465"/>
      <c r="E23" s="47"/>
      <c r="F23" s="47"/>
      <c r="G23" s="47"/>
      <c r="H23" s="47"/>
      <c r="I23" s="47"/>
    </row>
    <row r="24" spans="1:36" ht="14.4">
      <c r="A24" s="4298" t="s">
        <v>1280</v>
      </c>
      <c r="B24" s="1289" t="s">
        <v>1272</v>
      </c>
      <c r="C24" s="3786">
        <f>IF(B30=0,0,D30)</f>
        <v>0</v>
      </c>
      <c r="D24" s="3789"/>
      <c r="E24" s="47"/>
      <c r="F24" s="47"/>
      <c r="G24" s="47"/>
      <c r="H24" s="47"/>
      <c r="I24" s="47"/>
    </row>
    <row r="25" spans="1:36" ht="14.4">
      <c r="A25" s="4299"/>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3.8">
      <c r="A27" s="1293"/>
      <c r="B27" s="3792">
        <v>0</v>
      </c>
      <c r="C27" s="3792">
        <v>0</v>
      </c>
      <c r="D27" s="3793">
        <f>ROUND(C27*B27/10000,0)</f>
        <v>0</v>
      </c>
      <c r="E27" s="47"/>
      <c r="F27" s="47"/>
      <c r="G27" s="47"/>
      <c r="H27" s="47"/>
      <c r="I27" s="47"/>
    </row>
    <row r="28" spans="1:36" ht="13.8">
      <c r="A28" s="1293"/>
      <c r="B28" s="3792"/>
      <c r="C28" s="3792"/>
      <c r="D28" s="3793"/>
      <c r="E28" s="47"/>
      <c r="F28" s="47"/>
      <c r="G28" s="47"/>
      <c r="H28" s="47"/>
      <c r="I28" s="47"/>
    </row>
    <row r="29" spans="1:36" ht="13.8">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1286</v>
      </c>
      <c r="B32" s="1203"/>
      <c r="C32" s="3794">
        <f ca="1">IF(D32="总价",G19-C24,G20-C25)</f>
        <v>18236</v>
      </c>
      <c r="D32" s="1295" t="s">
        <v>3991</v>
      </c>
      <c r="E32" s="47"/>
      <c r="F32" s="47"/>
      <c r="G32" s="47"/>
      <c r="H32" s="47"/>
      <c r="I32" s="47"/>
    </row>
    <row r="33" spans="1:19" ht="14.4">
      <c r="A33" s="535" t="s">
        <v>1287</v>
      </c>
      <c r="B33" s="49"/>
      <c r="C33" s="1296" t="s">
        <v>3992</v>
      </c>
      <c r="D33" s="1297" t="s">
        <v>3918</v>
      </c>
      <c r="E33" s="1298" t="s">
        <v>1288</v>
      </c>
      <c r="F33" s="1299" t="str">
        <f>IF(D32="楼面单价","取值（单价）","取值（总价）")</f>
        <v>取值（总价）</v>
      </c>
      <c r="G33" s="47"/>
      <c r="H33" s="47"/>
      <c r="I33" s="47"/>
    </row>
    <row r="34" spans="1:19" ht="14.4">
      <c r="A34" s="1300"/>
      <c r="B34" s="1301" t="s">
        <v>1289</v>
      </c>
      <c r="C34" s="3795">
        <f ca="1">IF(C33="自定义",F34,C32-C35)</f>
        <v>13112</v>
      </c>
      <c r="D34" s="4047">
        <f ca="1">IF(C33="自定义",ROUND(C34/C32,3),IF(C33="收益比率",SUMIF(INDIRECT("'"&amp;D33&amp;"'"&amp;"!b:b"),"土地收益比率",INDIRECT("'"&amp;D33&amp;"'"&amp;"!c:c")),SUMIF(INDIRECT("'"&amp;D33&amp;"'"&amp;"!b:b"),"土地成本比率",INDIRECT("'"&amp;D33&amp;"'"&amp;"!c:c"))))</f>
        <v>0.71899999999999997</v>
      </c>
      <c r="E34" s="1302" t="s">
        <v>1290</v>
      </c>
      <c r="F34" s="3797"/>
      <c r="G34" s="47"/>
      <c r="H34" s="47"/>
      <c r="I34" s="47"/>
    </row>
    <row r="35" spans="1:19" ht="15" thickBot="1">
      <c r="A35" s="1303"/>
      <c r="B35" s="1304" t="s">
        <v>1291</v>
      </c>
      <c r="C35" s="3796">
        <f ca="1">IF(C33="自定义",F35,ROUND(C32*D35,0))</f>
        <v>5124</v>
      </c>
      <c r="D35" s="4048">
        <f ca="1">IF(C33="自定义",ROUND(C35/C32,3),IF(C33="收益比率",SUMIF(INDIRECT("'"&amp;D33&amp;"'"&amp;"!b:b"),"建筑物收益比率",INDIRECT("'"&amp;D33&amp;"'"&amp;"!c:c")),SUMIF(INDIRECT("'"&amp;D33&amp;"'"&amp;"!b:b"),"建筑物成本比率",INDIRECT("'"&amp;D33&amp;"'"&amp;"!c:c"))))</f>
        <v>0.28100000000000003</v>
      </c>
      <c r="E35" s="1305" t="s">
        <v>1292</v>
      </c>
      <c r="F35" s="3798"/>
      <c r="G35" s="47"/>
      <c r="H35" s="47"/>
      <c r="I35" s="47"/>
    </row>
    <row r="36" spans="1:19" ht="15" thickBot="1">
      <c r="A36" s="4313" t="s">
        <v>1293</v>
      </c>
      <c r="B36" s="1306" t="s">
        <v>1294</v>
      </c>
      <c r="C36" s="3799"/>
      <c r="D36" s="1307"/>
      <c r="E36" s="1231"/>
      <c r="F36" s="1308"/>
      <c r="G36" s="47"/>
      <c r="H36" s="47"/>
      <c r="I36" s="47"/>
    </row>
    <row r="37" spans="1:19" ht="15" thickBot="1">
      <c r="A37" s="4314"/>
      <c r="B37" s="1219" t="s">
        <v>1295</v>
      </c>
      <c r="C37" s="3800"/>
      <c r="D37" s="787"/>
      <c r="E37" s="787"/>
      <c r="F37" s="1308"/>
      <c r="G37" s="47"/>
      <c r="H37" s="47"/>
      <c r="I37" s="47"/>
    </row>
    <row r="38" spans="1:19" ht="15" thickBot="1">
      <c r="A38" s="4315"/>
      <c r="B38" s="1309" t="s">
        <v>1296</v>
      </c>
      <c r="C38" s="3801"/>
      <c r="D38" s="1310" t="s">
        <v>1297</v>
      </c>
      <c r="E38" s="787"/>
      <c r="F38" s="1308"/>
      <c r="G38" s="47"/>
      <c r="H38" s="47"/>
      <c r="I38" s="47"/>
    </row>
    <row r="39" spans="1:19" ht="14.4">
      <c r="A39" s="1291" t="s">
        <v>1298</v>
      </c>
      <c r="B39" s="1311" t="s">
        <v>1299</v>
      </c>
      <c r="C39" s="1312" t="s">
        <v>1300</v>
      </c>
      <c r="D39" s="1312" t="s">
        <v>1301</v>
      </c>
      <c r="E39" s="1313" t="s">
        <v>1302</v>
      </c>
      <c r="F39" s="1308"/>
      <c r="G39" s="47"/>
      <c r="H39" s="47"/>
      <c r="I39" s="47"/>
    </row>
    <row r="40" spans="1:19" ht="13.8">
      <c r="A40" s="1314" t="s">
        <v>1303</v>
      </c>
      <c r="B40" s="3802"/>
      <c r="C40" s="3803"/>
      <c r="D40" s="3803"/>
      <c r="E40" s="3797"/>
      <c r="F40" s="1308"/>
      <c r="G40" s="47"/>
      <c r="H40" s="47"/>
      <c r="I40" s="47"/>
    </row>
    <row r="41" spans="1:19" ht="13.8">
      <c r="A41" s="1314" t="s">
        <v>1304</v>
      </c>
      <c r="B41" s="3802"/>
      <c r="C41" s="3803"/>
      <c r="D41" s="3803"/>
      <c r="E41" s="3797"/>
      <c r="F41" s="1308"/>
      <c r="G41" s="47"/>
      <c r="H41" s="47"/>
      <c r="I41" s="47"/>
    </row>
    <row r="42" spans="1:19" ht="14.4" thickBot="1">
      <c r="A42" s="1315"/>
      <c r="B42" s="3804"/>
      <c r="C42" s="3805"/>
      <c r="D42" s="3805"/>
      <c r="E42" s="3798"/>
      <c r="F42" s="1308"/>
      <c r="G42" s="47"/>
      <c r="H42" s="47"/>
      <c r="I42" s="47"/>
    </row>
    <row r="43" spans="1:19" ht="13.2">
      <c r="A43" s="1139"/>
      <c r="B43" s="1139"/>
      <c r="C43" s="1139"/>
      <c r="D43" s="1139"/>
      <c r="E43" s="1139"/>
      <c r="F43" s="1316"/>
      <c r="G43" s="1316"/>
      <c r="H43" s="1316"/>
      <c r="I43" s="1317"/>
    </row>
    <row r="44" spans="1:19" ht="17.399999999999999">
      <c r="A44" s="1136" t="s">
        <v>1305</v>
      </c>
      <c r="B44" s="1318"/>
      <c r="C44" s="1318"/>
      <c r="D44" s="1319"/>
      <c r="E44" s="1319"/>
      <c r="F44" s="1320"/>
      <c r="G44" s="1320"/>
      <c r="H44" s="1320"/>
      <c r="I44" s="1320"/>
      <c r="J44" s="1321" t="s">
        <v>1306</v>
      </c>
      <c r="K44" s="4"/>
      <c r="L44" s="4"/>
      <c r="M44" s="4"/>
      <c r="N44" s="4"/>
      <c r="O44" s="4"/>
    </row>
    <row r="45" spans="1:19" ht="14.25" customHeight="1" thickBot="1">
      <c r="A45" s="4295" t="s">
        <v>1307</v>
      </c>
      <c r="B45" s="4296"/>
      <c r="C45" s="4297"/>
      <c r="D45" s="56">
        <f ca="1">ROUND(H101*F45,0)</f>
        <v>18236</v>
      </c>
      <c r="E45" s="57" t="s">
        <v>1308</v>
      </c>
      <c r="F45" s="58">
        <v>1</v>
      </c>
      <c r="G45" s="59" t="s">
        <v>1309</v>
      </c>
      <c r="H45" s="47"/>
      <c r="I45" s="47"/>
      <c r="J45" s="4305" t="s">
        <v>1310</v>
      </c>
      <c r="K45" s="4305"/>
      <c r="L45" s="4305"/>
      <c r="M45" s="4305"/>
      <c r="N45" s="4305"/>
      <c r="O45" s="4305"/>
    </row>
    <row r="46" spans="1:19" ht="14.25" customHeight="1">
      <c r="A46" s="4292" t="s">
        <v>1311</v>
      </c>
      <c r="B46" s="4293"/>
      <c r="C46" s="4293"/>
      <c r="D46" s="4293"/>
      <c r="E46" s="4293"/>
      <c r="F46" s="4293"/>
      <c r="G46" s="4294"/>
      <c r="H46" s="1322"/>
      <c r="I46" s="60"/>
      <c r="J46" s="1882">
        <v>1</v>
      </c>
      <c r="K46" s="4306" t="s">
        <v>1312</v>
      </c>
      <c r="L46" s="4306"/>
      <c r="M46" s="4307"/>
      <c r="N46" s="4307"/>
      <c r="O46" s="4307"/>
    </row>
    <row r="47" spans="1:19" ht="12" customHeight="1">
      <c r="A47" s="61" t="s">
        <v>1313</v>
      </c>
      <c r="B47" s="62"/>
      <c r="C47" s="63"/>
      <c r="D47" s="747" t="s">
        <v>1314</v>
      </c>
      <c r="E47" s="187" t="s">
        <v>1315</v>
      </c>
      <c r="F47" s="64" t="s">
        <v>1316</v>
      </c>
      <c r="G47" s="1897" t="s">
        <v>1317</v>
      </c>
      <c r="H47" s="1898"/>
      <c r="I47" s="60"/>
      <c r="J47" s="1882">
        <v>2</v>
      </c>
      <c r="K47" s="4306" t="s">
        <v>1318</v>
      </c>
      <c r="L47" s="4306"/>
      <c r="M47" s="4308">
        <f>'数据-取费表'!B2</f>
        <v>46048</v>
      </c>
      <c r="N47" s="4308"/>
      <c r="O47" s="4308"/>
    </row>
    <row r="48" spans="1:19" ht="26.4">
      <c r="A48" s="4316" t="s">
        <v>1319</v>
      </c>
      <c r="B48" s="4317"/>
      <c r="C48" s="4317"/>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06" t="s">
        <v>1321</v>
      </c>
      <c r="L48" s="4306"/>
      <c r="M48" s="4309">
        <f ca="1">H101</f>
        <v>18236</v>
      </c>
      <c r="N48" s="4309"/>
      <c r="O48" s="4309"/>
      <c r="R48" s="3543" t="s">
        <v>3657</v>
      </c>
      <c r="S48" s="3544"/>
    </row>
    <row r="49" spans="1:35" ht="25.5" customHeight="1">
      <c r="A49" s="3687" t="s">
        <v>1322</v>
      </c>
      <c r="B49" s="4290" t="s">
        <v>1323</v>
      </c>
      <c r="C49" s="4290"/>
      <c r="D49" s="3807">
        <v>0</v>
      </c>
      <c r="E49" s="208" t="s">
        <v>1324</v>
      </c>
      <c r="F49" s="3681" t="s">
        <v>26</v>
      </c>
      <c r="G49" s="4360"/>
      <c r="H49" s="3538" t="s">
        <v>2046</v>
      </c>
      <c r="I49" s="3539"/>
      <c r="J49" s="1882">
        <v>4</v>
      </c>
      <c r="K49" s="4306" t="str">
        <f>IF(项目基本情况!E8="房地产抵押价值","房地产抵押价值","抵押担保权已注销时的房地产抵押价值")</f>
        <v>抵押担保权已注销时的房地产抵押价值</v>
      </c>
      <c r="L49" s="4306"/>
      <c r="M49" s="4309" t="str">
        <f>IF(项目基本情况!E8="房地产抵押价值",H107,H109)</f>
        <v>——</v>
      </c>
      <c r="N49" s="4309"/>
      <c r="O49" s="4309"/>
      <c r="R49" s="3545" t="s">
        <v>3658</v>
      </c>
      <c r="S49" s="3543" t="s">
        <v>3659</v>
      </c>
    </row>
    <row r="50" spans="1:35" ht="25.5" customHeight="1">
      <c r="A50" s="3688"/>
      <c r="B50" s="4290" t="s">
        <v>1325</v>
      </c>
      <c r="C50" s="4290"/>
      <c r="D50" s="3808"/>
      <c r="E50" s="215"/>
      <c r="F50" s="3681"/>
      <c r="G50" s="4361"/>
      <c r="H50" s="1330" t="s">
        <v>2047</v>
      </c>
      <c r="I50" s="3539"/>
      <c r="J50" s="4305" t="s">
        <v>1326</v>
      </c>
      <c r="K50" s="4305"/>
      <c r="L50" s="4305"/>
      <c r="M50" s="4305"/>
      <c r="N50" s="4305"/>
      <c r="O50" s="4305"/>
      <c r="R50" s="3545" t="s">
        <v>3660</v>
      </c>
      <c r="S50" s="3543" t="s">
        <v>3661</v>
      </c>
    </row>
    <row r="51" spans="1:35" ht="20.399999999999999" customHeight="1">
      <c r="A51" s="3689"/>
      <c r="B51" s="4290" t="s">
        <v>1327</v>
      </c>
      <c r="C51" s="4290"/>
      <c r="D51" s="732"/>
      <c r="E51" s="211"/>
      <c r="F51" s="3681"/>
      <c r="G51" s="4362"/>
      <c r="H51" s="1330" t="s">
        <v>2048</v>
      </c>
      <c r="I51" s="3539"/>
      <c r="J51" s="1883" t="s">
        <v>1328</v>
      </c>
      <c r="K51" s="4306" t="s">
        <v>1329</v>
      </c>
      <c r="L51" s="4306"/>
      <c r="M51" s="1883" t="s">
        <v>1330</v>
      </c>
      <c r="N51" s="1883" t="s">
        <v>1331</v>
      </c>
      <c r="O51" s="1883" t="s">
        <v>1332</v>
      </c>
      <c r="R51" s="3545" t="s">
        <v>3662</v>
      </c>
      <c r="S51" s="3544" t="s">
        <v>3663</v>
      </c>
    </row>
    <row r="52" spans="1:35" ht="24" customHeight="1">
      <c r="A52" s="1734" t="s">
        <v>1333</v>
      </c>
      <c r="B52" s="4290" t="s">
        <v>1334</v>
      </c>
      <c r="C52" s="4290"/>
      <c r="D52" s="732">
        <f ca="1">ROUND(D45*F52/(1+F52),0)</f>
        <v>531</v>
      </c>
      <c r="E52" s="927" t="s">
        <v>1335</v>
      </c>
      <c r="F52" s="1901">
        <v>0.03</v>
      </c>
      <c r="G52" s="922" t="s">
        <v>3705</v>
      </c>
      <c r="H52" s="1895"/>
      <c r="I52" s="1323"/>
      <c r="J52" s="1882">
        <v>1</v>
      </c>
      <c r="K52" s="4354" t="s">
        <v>1336</v>
      </c>
      <c r="L52" s="4354"/>
      <c r="M52" s="3810">
        <f>D48</f>
        <v>0</v>
      </c>
      <c r="N52" s="1882" t="str">
        <f>E48</f>
        <v>销售额×税（费）率</v>
      </c>
      <c r="O52" s="3717">
        <f>F48</f>
        <v>0</v>
      </c>
      <c r="R52" s="3543" t="s">
        <v>3664</v>
      </c>
      <c r="S52" s="3543" t="s">
        <v>3668</v>
      </c>
    </row>
    <row r="53" spans="1:35" ht="12" customHeight="1">
      <c r="A53" s="1734" t="s">
        <v>1337</v>
      </c>
      <c r="B53" s="4311" t="s">
        <v>2194</v>
      </c>
      <c r="C53" s="4312"/>
      <c r="D53" s="732">
        <f ca="1">IF(G53="2016年5月1日之前项目",ROUND(D45*F53/(1+F53),0),H63)</f>
        <v>1506</v>
      </c>
      <c r="E53" s="927" t="str">
        <f>IF(G53="2016年5月1日之前项目","全额计税","进销项计算")</f>
        <v>进销项计算</v>
      </c>
      <c r="F53" s="1901">
        <f>IF(G53="2016年5月1日之前项目",5%,9%)</f>
        <v>0.09</v>
      </c>
      <c r="G53" s="3771"/>
      <c r="H53" s="1895"/>
      <c r="I53" s="1323"/>
      <c r="J53" s="1882">
        <v>2</v>
      </c>
      <c r="K53" s="4354" t="s">
        <v>1338</v>
      </c>
      <c r="L53" s="4354"/>
      <c r="M53" s="3810">
        <f t="shared" ref="M53:O54" ca="1" si="0">D55</f>
        <v>9</v>
      </c>
      <c r="N53" s="1882" t="str">
        <f t="shared" si="0"/>
        <v>销售额×税（费）率</v>
      </c>
      <c r="O53" s="3717" t="str">
        <f t="shared" si="0"/>
        <v>免征</v>
      </c>
      <c r="R53" s="3543" t="s">
        <v>3665</v>
      </c>
      <c r="S53" s="3544" t="s">
        <v>3672</v>
      </c>
    </row>
    <row r="54" spans="1:35" ht="12" customHeight="1">
      <c r="A54" s="1734" t="s">
        <v>1339</v>
      </c>
      <c r="B54" s="4311" t="s">
        <v>2195</v>
      </c>
      <c r="C54" s="4312"/>
      <c r="D54" s="732">
        <f ca="1">IF(G54="2016年5月1日之前项目",C68,H63)</f>
        <v>1506</v>
      </c>
      <c r="E54" s="3701" t="str">
        <f>IF(G54="2016年5月1日之前项目","差额计税","进销项计算")</f>
        <v>进销项计算</v>
      </c>
      <c r="F54" s="1901">
        <f>IF(G54="2016年5月1日之前项目",5%,9%)</f>
        <v>0.09</v>
      </c>
      <c r="G54" s="3771"/>
      <c r="H54" s="1903"/>
      <c r="I54" s="1323"/>
      <c r="J54" s="1882">
        <v>3</v>
      </c>
      <c r="K54" s="4354" t="s">
        <v>1340</v>
      </c>
      <c r="L54" s="4354"/>
      <c r="M54" s="3810" t="e">
        <f t="shared" ca="1" si="0"/>
        <v>#VALUE!</v>
      </c>
      <c r="N54" s="1882" t="str">
        <f t="shared" si="0"/>
        <v>增值额×税（费）率</v>
      </c>
      <c r="O54" s="3718" t="str">
        <f t="shared" si="0"/>
        <v>免征</v>
      </c>
      <c r="P54" s="47"/>
      <c r="R54" s="3545" t="s">
        <v>3666</v>
      </c>
      <c r="S54" s="3544" t="s">
        <v>3669</v>
      </c>
    </row>
    <row r="55" spans="1:35" ht="24" customHeight="1">
      <c r="A55" s="4344" t="s">
        <v>1341</v>
      </c>
      <c r="B55" s="4317"/>
      <c r="C55" s="4317"/>
      <c r="D55" s="3806">
        <f ca="1">IF(H55="个人住宅",0,ROUND(D45*I55,0))</f>
        <v>9</v>
      </c>
      <c r="E55" s="927" t="s">
        <v>1342</v>
      </c>
      <c r="F55" s="1901" t="str">
        <f>IF(H55="正常",I55,"免征")</f>
        <v>免征</v>
      </c>
      <c r="G55" s="1902"/>
      <c r="H55" s="1900"/>
      <c r="I55" s="65">
        <f>'数据-取费表'!B50</f>
        <v>5.0000000000000001E-4</v>
      </c>
      <c r="J55" s="1882">
        <f>IF(H59="非个人房产","",4)</f>
        <v>4</v>
      </c>
      <c r="K55" s="4354" t="str">
        <f>IF(H59="非个人房产","——","个人所得税")</f>
        <v>个人所得税</v>
      </c>
      <c r="L55" s="4354"/>
      <c r="M55" s="3811">
        <f ca="1">D59</f>
        <v>182</v>
      </c>
      <c r="N55" s="1505" t="str">
        <f>E59</f>
        <v>差额计税</v>
      </c>
      <c r="O55" s="3719">
        <f>F59</f>
        <v>0.01</v>
      </c>
      <c r="R55" s="3545" t="s">
        <v>3667</v>
      </c>
      <c r="S55" s="3544" t="s">
        <v>3670</v>
      </c>
    </row>
    <row r="56" spans="1:35" ht="25.2">
      <c r="A56" s="4344" t="s">
        <v>1343</v>
      </c>
      <c r="B56" s="4317"/>
      <c r="C56" s="4317"/>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364" t="str">
        <f>IF(项目基本情况!K6="上海银行","其他处置费用","")</f>
        <v/>
      </c>
      <c r="L56" s="4365"/>
      <c r="M56" s="3810" t="str">
        <f>IF(项目基本情况!K6="上海银行",M69,"")</f>
        <v/>
      </c>
      <c r="N56" s="4364" t="str">
        <f>IF(项目基本情况!K6="上海银行","包含处置中涉及的律师、诉讼、拍卖、评估等费用","")</f>
        <v/>
      </c>
      <c r="O56" s="4368"/>
      <c r="R56" s="3544"/>
      <c r="S56" s="3544" t="s">
        <v>3671</v>
      </c>
    </row>
    <row r="57" spans="1:35" ht="13.2">
      <c r="A57" s="1734" t="s">
        <v>1322</v>
      </c>
      <c r="B57" s="4311" t="s">
        <v>1346</v>
      </c>
      <c r="C57" s="4312"/>
      <c r="D57" s="3807">
        <v>0</v>
      </c>
      <c r="E57" s="208" t="s">
        <v>1324</v>
      </c>
      <c r="F57" s="187"/>
      <c r="G57" s="1902"/>
      <c r="H57" s="1906"/>
      <c r="I57" s="1324"/>
      <c r="J57" s="4354">
        <f>IF(AND(J55="",J56=""),4,IF(项目基本情况!K6="上海银行",结果表!J56+1,结果表!J55+1))</f>
        <v>5</v>
      </c>
      <c r="K57" s="4354" t="s">
        <v>1347</v>
      </c>
      <c r="L57" s="1884" t="s">
        <v>1348</v>
      </c>
      <c r="M57" s="1885"/>
      <c r="N57" s="3812">
        <f ca="1">SUMIF(M52:M56,"&lt;9e307")</f>
        <v>191</v>
      </c>
      <c r="O57" s="1886"/>
      <c r="P57" s="1986" t="e">
        <f ca="1">N57/M49</f>
        <v>#VALUE!</v>
      </c>
      <c r="R57" s="4281" t="s">
        <v>3717</v>
      </c>
      <c r="S57" s="4282"/>
    </row>
    <row r="58" spans="1:35" ht="25.2">
      <c r="A58" s="1734" t="s">
        <v>1333</v>
      </c>
      <c r="B58" s="4311" t="s">
        <v>1349</v>
      </c>
      <c r="C58" s="4290"/>
      <c r="D58" s="3806">
        <f ca="1">IF(H58="转让取得",C81,C97)</f>
        <v>8130</v>
      </c>
      <c r="E58" s="927" t="s">
        <v>1344</v>
      </c>
      <c r="F58" s="187" t="s">
        <v>26</v>
      </c>
      <c r="G58" s="1902"/>
      <c r="H58" s="1905"/>
      <c r="I58" s="1324"/>
      <c r="J58" s="4354"/>
      <c r="K58" s="4354"/>
      <c r="L58" s="1884" t="s">
        <v>1350</v>
      </c>
      <c r="M58" s="1887"/>
      <c r="N58" s="1888" t="str">
        <f ca="1">NUMBERSTRING(INT(N57*10000),2)&amp;"元整"</f>
        <v>壹佰玖拾壹万元整</v>
      </c>
      <c r="O58" s="1889"/>
      <c r="R58" s="4283"/>
      <c r="S58" s="4284"/>
    </row>
    <row r="59" spans="1:35" ht="24.6" thickBot="1">
      <c r="A59" s="4358" t="s">
        <v>1351</v>
      </c>
      <c r="B59" s="4359"/>
      <c r="C59" s="4359"/>
      <c r="D59" s="3809">
        <f ca="1">IF(H59="非个人房产","——",IF(H59="个人住宅（满五唯一有凭证）",0,IF(H59="个人其他（无凭证）",ROUND(D45/(1+'数据-取费表'!C43)*F59,0),ROUND(C67*F59,0))))</f>
        <v>182</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56">
        <f>J57+1</f>
        <v>6</v>
      </c>
      <c r="K59" s="4354"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57"/>
      <c r="K60" s="4354"/>
      <c r="L60" s="1884" t="s">
        <v>1350</v>
      </c>
      <c r="M60" s="1887"/>
      <c r="N60" s="1888" t="e">
        <f ca="1">NUMBERSTRING(INT(N59*10000),2)&amp;"元整"</f>
        <v>#VALUE!</v>
      </c>
      <c r="O60" s="1889"/>
      <c r="R60" s="3543" t="s">
        <v>3675</v>
      </c>
      <c r="S60" s="3543" t="s">
        <v>3716</v>
      </c>
    </row>
    <row r="61" spans="1:35" ht="15" thickBot="1">
      <c r="A61" s="4288" t="s">
        <v>3714</v>
      </c>
      <c r="B61" s="4289"/>
      <c r="C61" s="4289"/>
      <c r="D61" s="4289"/>
      <c r="E61" s="3708"/>
      <c r="F61" s="4351" t="s">
        <v>3715</v>
      </c>
      <c r="G61" s="4352"/>
      <c r="H61" s="4352"/>
      <c r="I61" s="4353"/>
      <c r="J61" s="3690">
        <f>J59+1</f>
        <v>7</v>
      </c>
      <c r="K61" s="4354" t="s">
        <v>1353</v>
      </c>
      <c r="L61" s="4354"/>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21.6">
      <c r="A63" s="71" t="s">
        <v>328</v>
      </c>
      <c r="B63" s="3711" t="s">
        <v>3722</v>
      </c>
      <c r="C63" s="3813">
        <f ca="1">ROUND(C64+C65,0)</f>
        <v>18236</v>
      </c>
      <c r="D63" s="3703"/>
      <c r="E63" s="4285" t="s">
        <v>3719</v>
      </c>
      <c r="F63" s="1734">
        <v>1</v>
      </c>
      <c r="G63" s="2825" t="s">
        <v>3706</v>
      </c>
      <c r="H63" s="3308">
        <f ca="1">H64-H66</f>
        <v>1506</v>
      </c>
      <c r="I63" s="2758"/>
      <c r="J63" s="4366"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18236</v>
      </c>
      <c r="D64" s="3704"/>
      <c r="E64" s="4286"/>
      <c r="F64" s="1734">
        <v>2</v>
      </c>
      <c r="G64" s="2825" t="s">
        <v>3707</v>
      </c>
      <c r="H64" s="3308">
        <f ca="1">ROUND(H65*I64/(1+I64),0)</f>
        <v>1506</v>
      </c>
      <c r="I64" s="3725">
        <v>0.09</v>
      </c>
      <c r="J64" s="4366"/>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286"/>
      <c r="F65" s="67" t="s">
        <v>323</v>
      </c>
      <c r="G65" s="3726" t="s">
        <v>3710</v>
      </c>
      <c r="H65" s="3308">
        <f ca="1">D45</f>
        <v>18236</v>
      </c>
      <c r="I65" s="2758"/>
      <c r="J65" s="4366"/>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286"/>
      <c r="F66" s="2495">
        <v>3</v>
      </c>
      <c r="G66" s="2825" t="s">
        <v>3708</v>
      </c>
      <c r="H66" s="2742">
        <f>ROUND(H67*I67,0)+ROUND(H68*I68,0)</f>
        <v>0</v>
      </c>
      <c r="I66" s="2758"/>
      <c r="J66" s="4366"/>
      <c r="K66" s="916" t="s">
        <v>1362</v>
      </c>
      <c r="L66" s="3828" t="e">
        <f>M49*0.5%</f>
        <v>#VALUE!</v>
      </c>
      <c r="M66" s="2742" t="e">
        <f>IF(L66&gt;0.5,0.5,ROUND(L66,0))</f>
        <v>#VALUE!</v>
      </c>
      <c r="N66" s="1895" t="s">
        <v>1363</v>
      </c>
      <c r="Z66" s="1282"/>
      <c r="AI66" s="1225"/>
    </row>
    <row r="67" spans="1:35" ht="14.25" customHeight="1">
      <c r="A67" s="71" t="s">
        <v>326</v>
      </c>
      <c r="B67" s="3710" t="s">
        <v>3721</v>
      </c>
      <c r="C67" s="3692">
        <f ca="1">C63-C66</f>
        <v>18236</v>
      </c>
      <c r="D67" s="3705"/>
      <c r="E67" s="4286"/>
      <c r="F67" s="67" t="s">
        <v>323</v>
      </c>
      <c r="G67" s="3726" t="s">
        <v>3712</v>
      </c>
      <c r="H67" s="3803"/>
      <c r="I67" s="3725">
        <v>0.09</v>
      </c>
      <c r="J67" s="4366"/>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912</v>
      </c>
      <c r="D68" s="3707">
        <v>0.05</v>
      </c>
      <c r="E68" s="4287"/>
      <c r="F68" s="3720" t="s">
        <v>324</v>
      </c>
      <c r="G68" s="3727" t="s">
        <v>3713</v>
      </c>
      <c r="H68" s="3805"/>
      <c r="I68" s="3728">
        <v>0.06</v>
      </c>
      <c r="J68" s="4366"/>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367"/>
      <c r="K69" s="916" t="s">
        <v>1366</v>
      </c>
      <c r="L69" s="3828"/>
      <c r="M69" s="2742" t="e">
        <f>ROUND(SUM(M63:M68),0)</f>
        <v>#VALUE!</v>
      </c>
      <c r="N69" s="1896" t="e">
        <f>M69/M49</f>
        <v>#VALUE!</v>
      </c>
      <c r="Z69" s="1282"/>
      <c r="AI69" s="1225"/>
    </row>
    <row r="70" spans="1:35" s="464" customFormat="1" ht="14.4" thickBot="1">
      <c r="A70" s="4336" t="s">
        <v>1367</v>
      </c>
      <c r="B70" s="4337"/>
      <c r="C70" s="4337"/>
      <c r="D70" s="4337"/>
      <c r="E70" s="4337"/>
      <c r="F70" s="4337"/>
      <c r="G70" s="4337"/>
      <c r="H70" s="4337"/>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02" t="s">
        <v>1354</v>
      </c>
      <c r="B71" s="4303"/>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1368</v>
      </c>
      <c r="C72" s="3815">
        <f ca="1">ROUND(D45/(1+D72),0)</f>
        <v>16730</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1369</v>
      </c>
      <c r="C73" s="3815">
        <f ca="1">C74+C78</f>
        <v>2008</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1" t="s">
        <v>1375</v>
      </c>
      <c r="F76" s="4290"/>
      <c r="G76" s="4290"/>
      <c r="H76" s="4335"/>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2008</v>
      </c>
      <c r="D78" s="3697">
        <f>'数据-取费表'!B44</f>
        <v>0.12000000000000001</v>
      </c>
      <c r="E78" s="4300" t="s">
        <v>1379</v>
      </c>
      <c r="F78" s="4301"/>
      <c r="G78" s="4301"/>
      <c r="H78" s="4304"/>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1380</v>
      </c>
      <c r="C79" s="3815">
        <f ca="1">C72-C73</f>
        <v>14722</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7.3316733067729087</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1382</v>
      </c>
      <c r="C81" s="3816">
        <f ca="1">ROUND(IF(C79&lt;=0,0,IF(C80&gt;=200%,C79*60%-C73*35%,IF(C80&gt;=100%,C79*50%-C73*15%,IF(C80&gt;=50%,C79*40%-C73*5%,IF(C80&lt;50%,C79*30%,0))))),0)</f>
        <v>8130</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36" t="s">
        <v>1383</v>
      </c>
      <c r="B83" s="4337"/>
      <c r="C83" s="4337"/>
      <c r="D83" s="4337"/>
      <c r="E83" s="4337"/>
      <c r="F83" s="4337"/>
      <c r="G83" s="4337"/>
      <c r="H83" s="4337"/>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02" t="s">
        <v>1354</v>
      </c>
      <c r="B84" s="4303"/>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1368</v>
      </c>
      <c r="C85" s="3815">
        <f ca="1">ROUND(D45/(1+D85),0)</f>
        <v>16730</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1369</v>
      </c>
      <c r="C86" s="3815">
        <f ca="1">IF(H88="仅含出让金",C87+C90+C91+C92+C93+C94,C87+C91+C92+C93+C94)</f>
        <v>2008</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1389</v>
      </c>
      <c r="C90" s="3814"/>
      <c r="D90" s="3697"/>
      <c r="E90" s="89" t="str">
        <f>IF(H88="-","土地取得成本中已包含该笔费用"," ")</f>
        <v xml:space="preserve"> </v>
      </c>
      <c r="F90" s="1730"/>
      <c r="G90" s="4369" t="s">
        <v>2041</v>
      </c>
      <c r="H90" s="4370"/>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00" t="s">
        <v>1392</v>
      </c>
      <c r="F91" s="4301"/>
      <c r="G91" s="4301"/>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00" t="s">
        <v>1395</v>
      </c>
      <c r="F92" s="4301"/>
      <c r="G92" s="4301"/>
      <c r="H92" s="4304"/>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2008</v>
      </c>
      <c r="D93" s="3697">
        <f>'数据-取费表'!B44</f>
        <v>0.12000000000000001</v>
      </c>
      <c r="E93" s="4345" t="s">
        <v>3703</v>
      </c>
      <c r="F93" s="4301"/>
      <c r="G93" s="4301"/>
      <c r="H93" s="4304"/>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46" t="s">
        <v>1399</v>
      </c>
      <c r="F94" s="4347"/>
      <c r="G94" s="4347"/>
      <c r="H94" s="4348"/>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1380</v>
      </c>
      <c r="C95" s="3815">
        <f ca="1">ROUND(C85-C86,0)</f>
        <v>14722</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7.3316733067729087</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1382</v>
      </c>
      <c r="C97" s="3816">
        <f ca="1">ROUND(IF(C95&lt;=0,0,IF(C96&gt;=200%,C95*60%-C86*35%,IF(C96&gt;=100%,C95*50%-C86*15%,IF(C96&gt;=50%,C95*40%-C86*5%,IF(C96&lt;50%,C95*30%,0))))),0)</f>
        <v>8130</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355"/>
      <c r="E100" s="4262" t="s">
        <v>1402</v>
      </c>
      <c r="F100" s="4262"/>
      <c r="G100" s="4262"/>
      <c r="H100" s="4355"/>
      <c r="I100" s="47"/>
    </row>
    <row r="101" spans="1:35" ht="18.75" customHeight="1">
      <c r="A101" s="4374" t="s">
        <v>1403</v>
      </c>
      <c r="B101" s="4375"/>
      <c r="C101" s="1911" t="str">
        <f>C4</f>
        <v>比较法-办公</v>
      </c>
      <c r="D101" s="1912" t="str">
        <f>D4</f>
        <v>收益法</v>
      </c>
      <c r="E101" s="4363" t="s">
        <v>1404</v>
      </c>
      <c r="F101" s="4274"/>
      <c r="G101" s="1339" t="s">
        <v>1405</v>
      </c>
      <c r="H101" s="3823">
        <f ca="1">H118</f>
        <v>18236</v>
      </c>
      <c r="I101" s="47"/>
    </row>
    <row r="102" spans="1:35" ht="18.75" customHeight="1">
      <c r="A102" s="4330" t="s">
        <v>1406</v>
      </c>
      <c r="B102" s="1910" t="s">
        <v>1405</v>
      </c>
      <c r="C102" s="3819">
        <f ca="1">C19</f>
        <v>21123</v>
      </c>
      <c r="D102" s="3820">
        <f ca="1">D19</f>
        <v>11500</v>
      </c>
      <c r="E102" s="4363"/>
      <c r="F102" s="4274"/>
      <c r="G102" s="1339" t="s">
        <v>1407</v>
      </c>
      <c r="H102" s="2855">
        <f ca="1">I118</f>
        <v>29336</v>
      </c>
      <c r="I102" s="47"/>
    </row>
    <row r="103" spans="1:35" ht="42.75" customHeight="1">
      <c r="A103" s="4330"/>
      <c r="B103" s="1910" t="s">
        <v>1407</v>
      </c>
      <c r="C103" s="3821">
        <f ca="1">C20</f>
        <v>33981</v>
      </c>
      <c r="D103" s="3822">
        <f ca="1">D20</f>
        <v>18500</v>
      </c>
      <c r="E103" s="4342" t="s">
        <v>1408</v>
      </c>
      <c r="F103" s="4343"/>
      <c r="G103" s="1340" t="s">
        <v>1409</v>
      </c>
      <c r="H103" s="3823">
        <f>IF(D36="正常操作",H104+H105+H106,H105+H106)</f>
        <v>0</v>
      </c>
      <c r="I103" s="47"/>
    </row>
    <row r="104" spans="1:35" ht="18.75" customHeight="1">
      <c r="A104" s="4330" t="s">
        <v>1410</v>
      </c>
      <c r="B104" s="1913" t="s">
        <v>1405</v>
      </c>
      <c r="C104" s="4380">
        <f ca="1">H118</f>
        <v>18236</v>
      </c>
      <c r="D104" s="4381"/>
      <c r="E104" s="1219" t="s">
        <v>1411</v>
      </c>
      <c r="F104" s="1216"/>
      <c r="G104" s="1340" t="s">
        <v>1409</v>
      </c>
      <c r="H104" s="3824">
        <f>IF(D36="同一抵押权人同一抵押物续贷",C36&amp;"（续贷，未扣减，详见特别提示）",C36)</f>
        <v>0</v>
      </c>
      <c r="I104" s="47"/>
    </row>
    <row r="105" spans="1:35" ht="18.75" customHeight="1" thickBot="1">
      <c r="A105" s="4331"/>
      <c r="B105" s="1914" t="s">
        <v>1407</v>
      </c>
      <c r="C105" s="4382">
        <f ca="1">I118</f>
        <v>29336</v>
      </c>
      <c r="D105" s="4383"/>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73" t="str">
        <f>IF(项目基本情况!E8="已注销","——","3.房地产抵押价值")</f>
        <v>3.房地产抵押价值</v>
      </c>
      <c r="F107" s="4274"/>
      <c r="G107" s="1339" t="s">
        <v>1405</v>
      </c>
      <c r="H107" s="3823">
        <f ca="1">IF(E107="——","——",H101-H103)</f>
        <v>18236</v>
      </c>
      <c r="I107" s="47"/>
    </row>
    <row r="108" spans="1:35" ht="18.75" customHeight="1">
      <c r="A108" s="47"/>
      <c r="B108" s="47"/>
      <c r="C108" s="47"/>
      <c r="D108" s="47"/>
      <c r="E108" s="4273"/>
      <c r="F108" s="4274"/>
      <c r="G108" s="1339" t="s">
        <v>1407</v>
      </c>
      <c r="H108" s="2855">
        <f ca="1">IF(H107=H101,H102,ROUND(H107*10000/'数据-汇总表'!E3,0))</f>
        <v>29336</v>
      </c>
      <c r="I108" s="47"/>
    </row>
    <row r="109" spans="1:35" ht="18.75" customHeight="1">
      <c r="A109" s="47"/>
      <c r="B109" s="47"/>
      <c r="C109" s="47"/>
      <c r="D109" s="47"/>
      <c r="E109" s="4273" t="str">
        <f>IF(项目基本情况!E8="已注销及未注销","4.抵押担保权已注销时的房地产抵押价值",IF(项目基本情况!E8="已注销","3.抵押担保权已注销时的房地产抵押价值","——"))</f>
        <v>——</v>
      </c>
      <c r="F109" s="4274"/>
      <c r="G109" s="1339" t="s">
        <v>1405</v>
      </c>
      <c r="H109" s="2850" t="str">
        <f>IF(E109="——","——",H101-H105-H106)</f>
        <v>——</v>
      </c>
      <c r="I109" s="47"/>
    </row>
    <row r="110" spans="1:35" ht="18.75" customHeight="1">
      <c r="A110" s="47"/>
      <c r="B110" s="47"/>
      <c r="C110" s="47"/>
      <c r="D110" s="47"/>
      <c r="E110" s="4273"/>
      <c r="F110" s="4274"/>
      <c r="G110" s="1339" t="s">
        <v>1407</v>
      </c>
      <c r="H110" s="2855"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39" t="s">
        <v>1405</v>
      </c>
      <c r="H111" s="3823" t="str">
        <f>IF(E111="——","——",N59)</f>
        <v>——</v>
      </c>
      <c r="I111" s="47"/>
    </row>
    <row r="112" spans="1:35" ht="18.75" customHeight="1" thickBot="1">
      <c r="A112" s="47"/>
      <c r="B112" s="47"/>
      <c r="C112" s="47"/>
      <c r="D112" s="47"/>
      <c r="E112" s="4378"/>
      <c r="F112" s="4379"/>
      <c r="G112" s="1342" t="s">
        <v>1407</v>
      </c>
      <c r="H112" s="3785" t="str">
        <f>IF(E111="——","——",N61)</f>
        <v>——</v>
      </c>
      <c r="I112" s="47"/>
    </row>
    <row r="113" spans="1:27" ht="18.75" customHeight="1">
      <c r="A113" s="47"/>
      <c r="B113" s="47"/>
      <c r="C113" s="47"/>
      <c r="D113" s="47"/>
      <c r="E113" s="4332" t="s">
        <v>1413</v>
      </c>
      <c r="F113" s="4332"/>
      <c r="G113" s="4332"/>
      <c r="H113" s="4332"/>
      <c r="I113" s="47"/>
    </row>
    <row r="114" spans="1:27" ht="3.75" customHeight="1">
      <c r="A114" s="465"/>
      <c r="B114" s="465"/>
      <c r="C114" s="465"/>
      <c r="D114" s="465"/>
      <c r="E114" s="1325"/>
      <c r="F114" s="1325"/>
      <c r="G114" s="1325"/>
      <c r="H114" s="1325"/>
      <c r="I114" s="465"/>
    </row>
    <row r="115" spans="1:27" ht="18.75" customHeight="1">
      <c r="A115" s="4339" t="s">
        <v>1415</v>
      </c>
      <c r="B115" s="4340"/>
      <c r="C115" s="4340"/>
      <c r="D115" s="4340"/>
      <c r="E115" s="4340"/>
      <c r="F115" s="4340"/>
      <c r="G115" s="4340"/>
      <c r="H115" s="4340"/>
      <c r="I115" s="4341"/>
    </row>
    <row r="116" spans="1:27" ht="27" customHeight="1">
      <c r="A116" s="4310" t="s">
        <v>1416</v>
      </c>
      <c r="B116" s="4333" t="s">
        <v>1417</v>
      </c>
      <c r="C116" s="4333" t="s">
        <v>1418</v>
      </c>
      <c r="D116" s="4372" t="s">
        <v>1419</v>
      </c>
      <c r="E116" s="4373"/>
      <c r="F116" s="4338"/>
      <c r="G116" s="4338"/>
      <c r="H116" s="4310" t="s">
        <v>1420</v>
      </c>
      <c r="I116" s="4310"/>
      <c r="K116" s="3157"/>
      <c r="L116" s="3158" t="s">
        <v>3493</v>
      </c>
      <c r="M116" s="3158" t="s">
        <v>3494</v>
      </c>
      <c r="N116" s="3158" t="s">
        <v>3495</v>
      </c>
    </row>
    <row r="117" spans="1:27" ht="18.75" customHeight="1">
      <c r="A117" s="4310"/>
      <c r="B117" s="4334"/>
      <c r="C117" s="4334"/>
      <c r="D117" s="1732" t="s">
        <v>1421</v>
      </c>
      <c r="E117" s="1732" t="s">
        <v>1422</v>
      </c>
      <c r="F117" s="1732" t="s">
        <v>1421</v>
      </c>
      <c r="G117" s="1732" t="s">
        <v>1423</v>
      </c>
      <c r="H117" s="1732" t="s">
        <v>1421</v>
      </c>
      <c r="I117" s="1732" t="s">
        <v>1423</v>
      </c>
      <c r="K117" s="3158" t="s">
        <v>3491</v>
      </c>
      <c r="L117" s="3826">
        <f ca="1">C34</f>
        <v>13112</v>
      </c>
      <c r="M117" s="3827">
        <f ca="1">C35</f>
        <v>5124</v>
      </c>
      <c r="N117" s="3827">
        <f ca="1">C32</f>
        <v>18236</v>
      </c>
    </row>
    <row r="118" spans="1:27" ht="24.75" customHeight="1">
      <c r="A118" s="1915" t="str">
        <f>项目基本情况!S2</f>
        <v>北京市北京市海淀区建材城东路26号院4号楼房地产</v>
      </c>
      <c r="B118" s="2667">
        <f>M18</f>
        <v>6216.26</v>
      </c>
      <c r="C118" s="2667">
        <f>M19</f>
        <v>0</v>
      </c>
      <c r="D118" s="698">
        <f ca="1">ROUND(IF(D32="总价",L117,L119*B118/10000),0)</f>
        <v>13112</v>
      </c>
      <c r="E118" s="698">
        <f ca="1">ROUND(IF(C33="自定义",IF(D32="楼面单价",L119,D118*10000/B118),I118-G118),0)</f>
        <v>21093</v>
      </c>
      <c r="F118" s="698">
        <f ca="1">ROUND(IF(D32="总价",M117,M119*B118/10000),0)</f>
        <v>5124</v>
      </c>
      <c r="G118" s="698">
        <f ca="1">ROUND(IF(D32="楼面单价",,F118*10000/B118),0)</f>
        <v>8243</v>
      </c>
      <c r="H118" s="698">
        <f ca="1">ROUND(IF(D32="总价",C32,N119*B118/10000),4)</f>
        <v>18236</v>
      </c>
      <c r="I118" s="698">
        <f ca="1">ROUND(IF(D32="楼面单价",C32,N117*10000/B118),0)</f>
        <v>29336</v>
      </c>
      <c r="K118" s="3157"/>
      <c r="L118" s="3157"/>
      <c r="M118" s="3157"/>
      <c r="N118" s="3157"/>
    </row>
    <row r="119" spans="1:27" ht="18.75" customHeight="1">
      <c r="A119" s="4310" t="s">
        <v>1424</v>
      </c>
      <c r="B119" s="4310"/>
      <c r="C119" s="4310"/>
      <c r="D119" s="4270" t="str">
        <f ca="1">NUMBERSTRING(INT(D118*10000),2)&amp;"元整"</f>
        <v>壹亿叁仟壹佰壹拾贰万元整</v>
      </c>
      <c r="E119" s="4272"/>
      <c r="F119" s="4270" t="str">
        <f ca="1">NUMBERSTRING(INT(F118*10000),2)&amp;"元整"</f>
        <v>伍仟壹佰贰拾肆万元整</v>
      </c>
      <c r="G119" s="4272"/>
      <c r="H119" s="4270" t="str">
        <f ca="1">NUMBERSTRING(INT(H118*10000),2)&amp;"元整"</f>
        <v>壹亿捌仟贰佰叁拾陆万元整</v>
      </c>
      <c r="I119" s="4272"/>
      <c r="K119" s="3158" t="s">
        <v>3492</v>
      </c>
      <c r="L119" s="3827">
        <f ca="1">C34</f>
        <v>13112</v>
      </c>
      <c r="M119" s="3827">
        <f ca="1">C35</f>
        <v>5124</v>
      </c>
      <c r="N119" s="3827">
        <f ca="1">C32</f>
        <v>18236</v>
      </c>
    </row>
    <row r="120" spans="1:27" ht="18.75" customHeight="1">
      <c r="A120" s="4267" t="str">
        <f>IF(项目基本情况!B9="房地产市场价值","",MID(E103,3,LEN(E103)-2))</f>
        <v>估价师知悉的法定优先受偿款</v>
      </c>
      <c r="B120" s="4268"/>
      <c r="C120" s="4268"/>
      <c r="D120" s="4268"/>
      <c r="E120" s="4268"/>
      <c r="F120" s="4268"/>
      <c r="G120" s="4269"/>
      <c r="H120" s="4275">
        <f>H103</f>
        <v>0</v>
      </c>
      <c r="I120" s="4276"/>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70" t="s">
        <v>1424</v>
      </c>
      <c r="B121" s="4271"/>
      <c r="C121" s="4271"/>
      <c r="D121" s="4271"/>
      <c r="E121" s="4271"/>
      <c r="F121" s="4271"/>
      <c r="G121" s="4272"/>
      <c r="H121" s="4277" t="str">
        <f>IF(H120=0,"零元整",NUMBERSTRING(INT(H120*10000),2)&amp;"元整")</f>
        <v>零元整</v>
      </c>
      <c r="I121" s="4278"/>
      <c r="AA121" s="494"/>
    </row>
    <row r="122" spans="1:27" ht="18.75" customHeight="1">
      <c r="A122" s="4267" t="str">
        <f>IF(项目基本情况!B9="房地产市场价值","",MID(E107,3,LEN(E107)-2))</f>
        <v>房地产抵押价值</v>
      </c>
      <c r="B122" s="4268"/>
      <c r="C122" s="4268"/>
      <c r="D122" s="4268"/>
      <c r="E122" s="4268"/>
      <c r="F122" s="4268"/>
      <c r="G122" s="4269"/>
      <c r="H122" s="4279">
        <f ca="1">H107</f>
        <v>18236</v>
      </c>
      <c r="I122" s="4280"/>
      <c r="AA122" s="494"/>
    </row>
    <row r="123" spans="1:27" ht="18.75" customHeight="1">
      <c r="A123" s="4270" t="s">
        <v>1424</v>
      </c>
      <c r="B123" s="4271"/>
      <c r="C123" s="4271"/>
      <c r="D123" s="4271"/>
      <c r="E123" s="4271"/>
      <c r="F123" s="4271"/>
      <c r="G123" s="4272"/>
      <c r="H123" s="4270" t="str">
        <f ca="1">NUMBERSTRING(INT(H122*10000),2)&amp;"元整"</f>
        <v>壹亿捌仟贰佰叁拾陆万元整</v>
      </c>
      <c r="I123" s="4272"/>
      <c r="AA123" s="494"/>
    </row>
    <row r="124" spans="1:27" ht="18.75" customHeight="1">
      <c r="A124" s="4267" t="str">
        <f>IF(项目基本情况!B9="房地产市场价值","",MID(E109,3,LEN(E109)-2))</f>
        <v/>
      </c>
      <c r="B124" s="4268"/>
      <c r="C124" s="4268"/>
      <c r="D124" s="4268"/>
      <c r="E124" s="4268"/>
      <c r="F124" s="4268"/>
      <c r="G124" s="4269"/>
      <c r="H124" s="4279" t="str">
        <f>H109</f>
        <v>——</v>
      </c>
      <c r="I124" s="4280"/>
      <c r="AA124" s="494"/>
    </row>
    <row r="125" spans="1:27" ht="18.75" customHeight="1">
      <c r="A125" s="4270" t="s">
        <v>1424</v>
      </c>
      <c r="B125" s="4271"/>
      <c r="C125" s="4271"/>
      <c r="D125" s="4271"/>
      <c r="E125" s="4271"/>
      <c r="F125" s="4271"/>
      <c r="G125" s="4272"/>
      <c r="H125" s="4270" t="e">
        <f>NUMBERSTRING(INT(H124*10000),2)&amp;"元整"</f>
        <v>#VALUE!</v>
      </c>
      <c r="I125" s="4272"/>
      <c r="AA125" s="494"/>
    </row>
    <row r="126" spans="1:27" ht="18.75" customHeight="1">
      <c r="A126" s="4267" t="str">
        <f>IF(项目基本情况!B9="房地产市场价值","",MID(E111,3,LEN(E111)-2))</f>
        <v/>
      </c>
      <c r="B126" s="4268"/>
      <c r="C126" s="4268"/>
      <c r="D126" s="4268"/>
      <c r="E126" s="4268"/>
      <c r="F126" s="4268"/>
      <c r="G126" s="4269"/>
      <c r="H126" s="4279" t="str">
        <f>H111</f>
        <v>——</v>
      </c>
      <c r="I126" s="4280"/>
      <c r="AA126" s="494"/>
    </row>
    <row r="127" spans="1:27" ht="18.75" customHeight="1">
      <c r="A127" s="4270" t="s">
        <v>1424</v>
      </c>
      <c r="B127" s="4271"/>
      <c r="C127" s="4271"/>
      <c r="D127" s="4271"/>
      <c r="E127" s="4271"/>
      <c r="F127" s="4271"/>
      <c r="G127" s="4272"/>
      <c r="H127" s="4270" t="e">
        <f>NUMBERSTRING(INT(H126*10000),2)&amp;"元整"</f>
        <v>#VALUE!</v>
      </c>
      <c r="I127" s="4272"/>
      <c r="AA127" s="494"/>
    </row>
    <row r="128" spans="1:27" ht="21.75" customHeight="1">
      <c r="A128" s="4371" t="s">
        <v>1425</v>
      </c>
      <c r="B128" s="4371"/>
      <c r="C128" s="4371"/>
      <c r="D128" s="4371"/>
      <c r="E128" s="4371"/>
      <c r="F128" s="4371"/>
      <c r="G128" s="4371"/>
      <c r="H128" s="4371"/>
      <c r="I128" s="4371"/>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北京市北京市海淀区建材城东路26号院4号楼房地产抵押价值预评估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22"/>
      <c r="C1" s="3463"/>
      <c r="D1" s="1369" t="s">
        <v>1505</v>
      </c>
      <c r="E1" s="94"/>
      <c r="F1" s="94"/>
      <c r="G1" s="780">
        <f>MATCH(B1,'数据-取费表'!A6:A16,0)+5</f>
        <v>7</v>
      </c>
      <c r="H1" s="3141" t="str">
        <f>IF(ISERROR(FIND("住宅",B1)),"非住宅","住宅")</f>
        <v>非住宅</v>
      </c>
    </row>
    <row r="2" spans="1:10" s="96" customFormat="1" ht="15.6">
      <c r="A2" s="97" t="s">
        <v>1434</v>
      </c>
      <c r="B2" s="3829">
        <f ca="1">ROUND(D3/10000,4)</f>
        <v>3125.384</v>
      </c>
      <c r="C2" s="95" t="s">
        <v>1435</v>
      </c>
      <c r="D2" s="1363" t="s">
        <v>41</v>
      </c>
      <c r="E2" s="2576">
        <f ca="1">IF(D2="——",0,SUMIF(INDIRECT("'"&amp;G2&amp;"'"&amp;"!A:A"),"承租人权益价值",INDIRECT("'"&amp;G2&amp;"'"&amp;"!c:c")))</f>
        <v>0</v>
      </c>
      <c r="F2" s="1364" t="s">
        <v>1435</v>
      </c>
      <c r="G2" s="1365"/>
    </row>
    <row r="3" spans="1:10" s="96" customFormat="1" ht="16.2" thickBot="1">
      <c r="A3" s="99" t="s">
        <v>673</v>
      </c>
      <c r="B3" s="2591">
        <f ca="1">ROUND(D3/(IF(B1="",'数据-汇总表'!E3,INDIRECT("'数据-取费表'!k"&amp;$G$1))),0)</f>
        <v>5028</v>
      </c>
      <c r="C3" s="95" t="s">
        <v>1437</v>
      </c>
      <c r="D3" s="95">
        <f ca="1">IF(C1="含税",E2+C33,E2+C32)</f>
        <v>31253840</v>
      </c>
      <c r="E3" s="2577"/>
      <c r="F3" s="95"/>
      <c r="G3" s="95"/>
    </row>
    <row r="4" spans="1:10" s="96" customFormat="1" ht="16.2" thickBot="1">
      <c r="A4" s="2637" t="s">
        <v>3330</v>
      </c>
      <c r="B4" s="2638" t="s">
        <v>3331</v>
      </c>
      <c r="C4" s="2574" t="s">
        <v>3332</v>
      </c>
      <c r="D4" s="2611" t="s">
        <v>3337</v>
      </c>
      <c r="E4" s="2612" t="s">
        <v>3338</v>
      </c>
      <c r="F4" s="2612" t="s">
        <v>3339</v>
      </c>
      <c r="G4" s="2575" t="s">
        <v>3333</v>
      </c>
    </row>
    <row r="5" spans="1:10" s="104" customFormat="1" ht="15.6">
      <c r="A5" s="2613" t="s">
        <v>3329</v>
      </c>
      <c r="B5" s="2614" t="s">
        <v>3334</v>
      </c>
      <c r="C5" s="2587">
        <f ca="1">ROUND((C6+C9+C21+C24+C25+C28)/(1-F22-C26-C29),0)</f>
        <v>40134399</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32759815</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27973170</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1398659</v>
      </c>
      <c r="D11" s="145"/>
      <c r="E11" s="145"/>
      <c r="F11" s="2600">
        <f>'数据-取费表'!B33</f>
        <v>0.05</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3108254</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1243252</v>
      </c>
      <c r="D16" s="2629">
        <f ca="1">IF(B1="",'数据-汇总表'!E6,IF(INDIRECT("'数据-取费表'!c"&amp;$G$1)="住宅",INDIRECT("'数据-取费表'!s"&amp;$G$1),INDIRECT("'数据-取费表'!k"&amp;$G$1)+INDIRECT("'数据-取费表'!s"&amp;$G$1)))</f>
        <v>6216.26</v>
      </c>
      <c r="E16" s="2629">
        <f>'数据-取费表'!B28</f>
        <v>200</v>
      </c>
      <c r="F16" s="2621"/>
      <c r="G16" s="122"/>
      <c r="J16" s="96"/>
    </row>
    <row r="17" spans="1:10" s="110" customFormat="1" ht="15">
      <c r="A17" s="2572" t="s">
        <v>3290</v>
      </c>
      <c r="B17" s="2649" t="s">
        <v>3295</v>
      </c>
      <c r="C17" s="2589">
        <f ca="1">IF(G17="已包含在土地取得成本中","0",ROUND(D17*E17,0))</f>
        <v>1243252</v>
      </c>
      <c r="D17" s="2630">
        <f ca="1">D15+D16</f>
        <v>6216.26</v>
      </c>
      <c r="E17" s="2630">
        <f>'数据-取费表'!B31</f>
        <v>200</v>
      </c>
      <c r="F17" s="2597"/>
      <c r="G17" s="1366"/>
      <c r="J17" s="96"/>
    </row>
    <row r="18" spans="1:10" s="110" customFormat="1" ht="15">
      <c r="A18" s="2650" t="s">
        <v>3291</v>
      </c>
      <c r="B18" s="2649" t="s">
        <v>1477</v>
      </c>
      <c r="C18" s="2589">
        <f ca="1">ROUND(E18*D18*F10,0)</f>
        <v>1864878</v>
      </c>
      <c r="D18" s="2589">
        <f ca="1">D17</f>
        <v>6216.26</v>
      </c>
      <c r="E18" s="2589">
        <f>'数据-取费表'!B35</f>
        <v>300</v>
      </c>
      <c r="F18" s="2600"/>
      <c r="G18" s="157" t="s">
        <v>1478</v>
      </c>
      <c r="J18" s="96"/>
    </row>
    <row r="19" spans="1:10" s="110" customFormat="1" ht="15">
      <c r="A19" s="2644" t="s">
        <v>352</v>
      </c>
      <c r="B19" s="2645" t="s">
        <v>3327</v>
      </c>
      <c r="C19" s="2589">
        <f ca="1">ROUND(C10*F19,0)</f>
        <v>279732</v>
      </c>
      <c r="D19" s="145"/>
      <c r="E19" s="145"/>
      <c r="F19" s="2600">
        <f>'数据-取费表'!B36</f>
        <v>0.01</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655196</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763978+0.0005V</v>
      </c>
      <c r="D23" s="2606"/>
      <c r="E23" s="297"/>
      <c r="F23" s="2607">
        <f ca="1">'数据-取费表'!B41</f>
        <v>3.0599999999999999E-2</v>
      </c>
      <c r="G23" s="2604" t="str">
        <f>IF('数据-取费表'!B22&lt;=1,"单利计息","复利计息")</f>
        <v>复利计息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763978</v>
      </c>
      <c r="D25" s="134"/>
      <c r="E25" s="134"/>
      <c r="F25" s="2596"/>
      <c r="G25" s="4078" t="s">
        <v>3829</v>
      </c>
      <c r="J25" s="96"/>
    </row>
    <row r="26" spans="1:10" s="110" customFormat="1" ht="15">
      <c r="A26" s="2651" t="s">
        <v>348</v>
      </c>
      <c r="B26" s="2649" t="s">
        <v>1459</v>
      </c>
      <c r="C26" s="2592">
        <f ca="1">ROUND(IF('数据-取费表'!B22&lt;=1,F22*F23*'数据-取费表'!B23/2,F22*(POWER((1+F23),'数据-取费表'!B23/2)-1)),4)</f>
        <v>5.0000000000000001E-4</v>
      </c>
      <c r="D26" s="134"/>
      <c r="E26" s="137"/>
      <c r="F26" s="2596"/>
      <c r="G26" s="139"/>
      <c r="J26" s="96"/>
    </row>
    <row r="27" spans="1:10" s="2601" customFormat="1" ht="15">
      <c r="A27" s="2579" t="s">
        <v>3348</v>
      </c>
      <c r="B27" s="2643" t="s">
        <v>3298</v>
      </c>
      <c r="C27" s="2608" t="str">
        <f ca="1">C28&amp;"+"&amp;C29&amp;"V"</f>
        <v>5012252+0.003V</v>
      </c>
      <c r="D27" s="2606"/>
      <c r="E27" s="297"/>
      <c r="F27" s="2609">
        <f ca="1">IF(B1="",'数据-取费表'!Q16,INDIRECT("'数据-取费表'!q"&amp;$G$1))</f>
        <v>0.15</v>
      </c>
      <c r="G27" s="2604" t="s">
        <v>3349</v>
      </c>
      <c r="J27" s="96"/>
    </row>
    <row r="28" spans="1:10" s="110" customFormat="1" ht="15">
      <c r="A28" s="2644" t="s">
        <v>344</v>
      </c>
      <c r="B28" s="2649" t="s">
        <v>1464</v>
      </c>
      <c r="C28" s="2573">
        <f ca="1">ROUND(C6*F27*'数据-取费表'!B23/'数据-取费表'!B22+(C9+C21)*F27,0)</f>
        <v>5012252</v>
      </c>
      <c r="D28" s="131"/>
      <c r="E28" s="132"/>
      <c r="F28" s="2597"/>
      <c r="G28" s="143"/>
      <c r="J28" s="96"/>
    </row>
    <row r="29" spans="1:10" s="110" customFormat="1" ht="15">
      <c r="A29" s="2644" t="s">
        <v>345</v>
      </c>
      <c r="B29" s="2649" t="s">
        <v>1465</v>
      </c>
      <c r="C29" s="2592">
        <f ca="1">ROUND(F22*F27,4)</f>
        <v>3.0000000000000001E-3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6">
      <c r="A31" s="2652">
        <v>2</v>
      </c>
      <c r="B31" s="2653" t="s">
        <v>3300</v>
      </c>
      <c r="C31" s="2593">
        <f ca="1">C57</f>
        <v>8880559</v>
      </c>
      <c r="D31" s="2583"/>
      <c r="E31" s="2583"/>
      <c r="F31" s="2598">
        <f>IF('数据-取费表'!B24=0,'数据-取费表'!N16,1)</f>
        <v>0.77</v>
      </c>
      <c r="G31" s="2584" t="s">
        <v>3828</v>
      </c>
      <c r="J31" s="96"/>
    </row>
    <row r="32" spans="1:10" s="110" customFormat="1" ht="15.6">
      <c r="A32" s="2571" t="s">
        <v>3301</v>
      </c>
      <c r="B32" s="2570" t="s">
        <v>3302</v>
      </c>
      <c r="C32" s="2593">
        <f ca="1">C5-C31</f>
        <v>31253840</v>
      </c>
      <c r="D32" s="2583"/>
      <c r="E32" s="2583"/>
      <c r="F32" s="2582"/>
      <c r="G32" s="2585" t="s">
        <v>3335</v>
      </c>
      <c r="J32" s="96"/>
    </row>
    <row r="33" spans="1:10" s="110" customFormat="1" ht="16.2" thickBot="1">
      <c r="A33" s="2654">
        <v>4</v>
      </c>
      <c r="B33" s="2655" t="s">
        <v>3336</v>
      </c>
      <c r="C33" s="2594">
        <f ca="1">ROUND(C32*(1+F33),0)</f>
        <v>34066686</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 thickBot="1">
      <c r="A38" s="2860" t="s">
        <v>3303</v>
      </c>
      <c r="B38" s="2861"/>
      <c r="C38" s="2861"/>
      <c r="D38" s="2861"/>
      <c r="E38" s="2861"/>
      <c r="F38" s="2861"/>
      <c r="G38" s="2862"/>
    </row>
    <row r="39" spans="1:10" ht="15" thickBot="1">
      <c r="A39" s="2863" t="s">
        <v>3330</v>
      </c>
      <c r="B39" s="2864" t="s">
        <v>3331</v>
      </c>
      <c r="C39" s="2865" t="s">
        <v>3332</v>
      </c>
      <c r="D39" s="2866" t="s">
        <v>3460</v>
      </c>
      <c r="E39" s="2867" t="s">
        <v>3461</v>
      </c>
      <c r="F39" s="2867" t="s">
        <v>3462</v>
      </c>
      <c r="G39" s="2868" t="s">
        <v>3333</v>
      </c>
    </row>
    <row r="40" spans="1:10" ht="14.4">
      <c r="A40" s="2869" t="s">
        <v>3463</v>
      </c>
      <c r="B40" s="2870" t="s">
        <v>3304</v>
      </c>
      <c r="C40" s="2871">
        <f ca="1">SUM(C41:C46)</f>
        <v>31516439</v>
      </c>
      <c r="D40" s="2869"/>
      <c r="E40" s="2869"/>
      <c r="F40" s="2869"/>
      <c r="G40" s="2869"/>
    </row>
    <row r="41" spans="1:10" ht="15.6">
      <c r="A41" s="2636" t="s">
        <v>3305</v>
      </c>
      <c r="B41" s="2700" t="str">
        <f t="shared" ref="B41:C43" si="0">B10</f>
        <v xml:space="preserve">  建安费用</v>
      </c>
      <c r="C41" s="2568">
        <f t="shared" ca="1" si="0"/>
        <v>27973170</v>
      </c>
      <c r="D41" s="2563"/>
      <c r="E41" s="2563"/>
      <c r="F41" s="2564"/>
      <c r="G41" s="2564"/>
    </row>
    <row r="42" spans="1:10" ht="15.6">
      <c r="A42" s="2636" t="s">
        <v>3306</v>
      </c>
      <c r="B42" s="2700" t="str">
        <f t="shared" si="0"/>
        <v xml:space="preserve">  前期费用</v>
      </c>
      <c r="C42" s="2568">
        <f t="shared" ca="1" si="0"/>
        <v>1398659</v>
      </c>
      <c r="D42" s="2563"/>
      <c r="E42" s="2563"/>
      <c r="F42" s="2564"/>
      <c r="G42" s="2564"/>
    </row>
    <row r="43" spans="1:10" ht="15.6">
      <c r="A43" s="2636" t="s">
        <v>3374</v>
      </c>
      <c r="B43" s="2640" t="str">
        <f t="shared" si="0"/>
        <v xml:space="preserve">  公共配套设施费用</v>
      </c>
      <c r="C43" s="2568">
        <f t="shared" ca="1" si="0"/>
        <v>0</v>
      </c>
      <c r="D43" s="2563"/>
      <c r="E43" s="2563"/>
      <c r="F43" s="2564"/>
      <c r="G43" s="2564"/>
    </row>
    <row r="44" spans="1:10" ht="15.6">
      <c r="A44" s="2636" t="s">
        <v>3288</v>
      </c>
      <c r="B44" s="2640" t="str">
        <f>B18</f>
        <v>红线内市政费用</v>
      </c>
      <c r="C44" s="2568">
        <f ca="1">C18</f>
        <v>1864878</v>
      </c>
      <c r="D44" s="2563"/>
      <c r="E44" s="2563"/>
      <c r="F44" s="2564"/>
      <c r="G44" s="2564"/>
    </row>
    <row r="45" spans="1:10" ht="15.6">
      <c r="A45" s="2651" t="s">
        <v>3307</v>
      </c>
      <c r="B45" s="2646" t="str">
        <f>B19</f>
        <v xml:space="preserve">  其他工程费</v>
      </c>
      <c r="C45" s="2573">
        <f ca="1">C19</f>
        <v>279732</v>
      </c>
      <c r="D45" s="2699"/>
      <c r="E45" s="2699"/>
      <c r="F45" s="2576"/>
      <c r="G45" s="2576"/>
    </row>
    <row r="46" spans="1:10" ht="15.6">
      <c r="A46" s="2651" t="s">
        <v>3373</v>
      </c>
      <c r="B46" s="2646" t="s">
        <v>3308</v>
      </c>
      <c r="C46" s="2573">
        <f ca="1">C20</f>
        <v>0</v>
      </c>
      <c r="D46" s="2699"/>
      <c r="E46" s="2699"/>
      <c r="F46" s="2576"/>
      <c r="G46" s="2576"/>
    </row>
    <row r="47" spans="1:10" ht="14.4">
      <c r="A47" s="2701" t="s">
        <v>3464</v>
      </c>
      <c r="B47" s="2702" t="s">
        <v>3465</v>
      </c>
      <c r="C47" s="2703">
        <f ca="1">ROUND(C40*F47,0)</f>
        <v>630329</v>
      </c>
      <c r="D47" s="2704"/>
      <c r="E47" s="2704"/>
      <c r="F47" s="2705">
        <f>F21</f>
        <v>0.02</v>
      </c>
      <c r="G47" s="2706" t="s">
        <v>3466</v>
      </c>
    </row>
    <row r="48" spans="1:10"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734982+0.0005V建1</v>
      </c>
      <c r="D49" s="297"/>
      <c r="E49" s="297"/>
      <c r="F49" s="2709">
        <f ca="1">F23</f>
        <v>3.0599999999999999E-2</v>
      </c>
      <c r="G49" s="2872" t="str">
        <f>IF('数据-取费表'!B22&lt;=1,"单利计息","复利计息")</f>
        <v>复利计息</v>
      </c>
    </row>
    <row r="50" spans="1:7">
      <c r="A50" s="2636" t="s">
        <v>3305</v>
      </c>
      <c r="B50" s="2639" t="s">
        <v>3376</v>
      </c>
      <c r="C50" s="2725">
        <f ca="1">ROUND(IF('数据-取费表'!B22&lt;=1,(C40+C47)*F49*'数据-取费表'!B22/2,(C40+C47)*(POWER((1+F49),'数据-取费表'!B22/2)-1)),0)</f>
        <v>734982</v>
      </c>
      <c r="D50" s="1039"/>
      <c r="E50" s="1039"/>
      <c r="F50" s="1022"/>
      <c r="G50" s="4384" t="s">
        <v>3321</v>
      </c>
    </row>
    <row r="51" spans="1:7">
      <c r="A51" s="2636" t="s">
        <v>3306</v>
      </c>
      <c r="B51" s="2640" t="s">
        <v>3311</v>
      </c>
      <c r="C51" s="2726">
        <f ca="1">ROUND(IF('数据-取费表'!B22&lt;=1,F48*F23*'数据-取费表'!B22/2,F48*(POWER((1+F23),'数据-取费表'!B22/2)-1)),4)</f>
        <v>5.0000000000000001E-4</v>
      </c>
      <c r="D51" s="1039"/>
      <c r="E51" s="1039"/>
      <c r="F51" s="1022"/>
      <c r="G51" s="4385"/>
    </row>
    <row r="52" spans="1:7" ht="14.4">
      <c r="A52" s="2701" t="s">
        <v>3471</v>
      </c>
      <c r="B52" s="2710" t="s">
        <v>3312</v>
      </c>
      <c r="C52" s="2711" t="str">
        <f ca="1">C53&amp;"+"&amp;C54&amp;"V建1"</f>
        <v>4822015+0.003V建1</v>
      </c>
      <c r="D52" s="2712"/>
      <c r="E52" s="2704"/>
      <c r="F52" s="2713">
        <f ca="1">F27</f>
        <v>0.15</v>
      </c>
      <c r="G52" s="2714" t="s">
        <v>3472</v>
      </c>
    </row>
    <row r="53" spans="1:7">
      <c r="A53" s="2636" t="s">
        <v>3305</v>
      </c>
      <c r="B53" s="2639" t="s">
        <v>3313</v>
      </c>
      <c r="C53" s="2568">
        <f ca="1">ROUND((C40+C47)*F27,0)</f>
        <v>4822015</v>
      </c>
      <c r="D53" s="2569"/>
      <c r="E53" s="2565"/>
      <c r="F53" s="2566"/>
      <c r="G53" s="2567"/>
    </row>
    <row r="54" spans="1:7">
      <c r="A54" s="2636" t="s">
        <v>3306</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38611126</v>
      </c>
      <c r="D56" s="297"/>
      <c r="E56" s="297"/>
      <c r="F56" s="2718"/>
      <c r="G56" s="2717" t="s">
        <v>3318</v>
      </c>
    </row>
    <row r="57" spans="1:7" ht="14.4">
      <c r="A57" s="2579" t="s">
        <v>3440</v>
      </c>
      <c r="B57" s="2719" t="s">
        <v>3300</v>
      </c>
      <c r="C57" s="2602">
        <f ca="1">ROUND(C56*(1-F57),0)</f>
        <v>8880559</v>
      </c>
      <c r="D57" s="297"/>
      <c r="E57" s="297"/>
      <c r="F57" s="2718">
        <f>F31</f>
        <v>0.77</v>
      </c>
      <c r="G57" s="2717" t="s">
        <v>3319</v>
      </c>
    </row>
    <row r="58" spans="1:7" ht="16.8">
      <c r="A58" s="2579" t="s">
        <v>3476</v>
      </c>
      <c r="B58" s="2715" t="s">
        <v>3477</v>
      </c>
      <c r="C58" s="2602">
        <f ca="1">C56-C57</f>
        <v>29730567</v>
      </c>
      <c r="D58" s="297"/>
      <c r="E58" s="297"/>
      <c r="F58" s="2718"/>
      <c r="G58" s="2717" t="s">
        <v>3320</v>
      </c>
    </row>
    <row r="59" spans="1:7" ht="14.4">
      <c r="A59" s="2720" t="s">
        <v>3375</v>
      </c>
      <c r="B59" s="2721" t="s">
        <v>3316</v>
      </c>
      <c r="C59" s="2722">
        <f ca="1">ROUND(C58*(1+F59),0)</f>
        <v>32406318</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4.9000000000000044E-2</v>
      </c>
    </row>
    <row r="64" spans="1:7" ht="21" customHeight="1">
      <c r="B64" s="55" t="s">
        <v>789</v>
      </c>
      <c r="C64" s="2634">
        <f ca="1">ROUND(C58/C32,3)</f>
        <v>0.95099999999999996</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5864.1248999999998</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9434</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21873862</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1243252</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1243252</v>
      </c>
      <c r="D10" s="557">
        <f ca="1">IF(B1="",'数据-汇总表'!E6,IF(INDIRECT("'数据-取费表'!c"&amp;$G$1)="住宅",INDIRECT("'数据-取费表'!s"&amp;$G$1),INDIRECT("'数据-取费表'!k"&amp;$G$1)+INDIRECT("'数据-取费表'!s"&amp;$G$1)))</f>
        <v>6216.26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1243252</v>
      </c>
      <c r="D19" s="108">
        <f ca="1">D9+D10</f>
        <v>6216.26</v>
      </c>
      <c r="E19" s="107">
        <f>'数据-取费表'!B31</f>
        <v>200</v>
      </c>
      <c r="F19" s="127"/>
      <c r="G19" s="1366"/>
    </row>
    <row r="20" spans="1:7" s="110" customFormat="1" ht="13.5" customHeight="1">
      <c r="A20" s="151" t="s">
        <v>1516</v>
      </c>
      <c r="B20" s="106" t="s">
        <v>1517</v>
      </c>
      <c r="C20" s="128">
        <f ca="1">ROUND((C5+C19)*F20,0)</f>
        <v>462342</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1079723</v>
      </c>
      <c r="D22" s="131">
        <f ca="1">C26</f>
        <v>5.0000000000000001E-4</v>
      </c>
      <c r="E22" s="132" t="s">
        <v>1521</v>
      </c>
      <c r="F22" s="133">
        <f ca="1">'数据-取费表'!B41</f>
        <v>3.0599999999999999E-2</v>
      </c>
      <c r="G22" s="130" t="str">
        <f>IF('数据-取费表'!B22&lt;=1,"单利计息","复利计息")</f>
        <v>复利计息</v>
      </c>
    </row>
    <row r="23" spans="1:7" s="110" customFormat="1" ht="13.5" customHeight="1">
      <c r="A23" s="532" t="s">
        <v>1444</v>
      </c>
      <c r="B23" s="111" t="s">
        <v>1525</v>
      </c>
      <c r="C23" s="134">
        <f ca="1">ROUND(IF('数据-取费表'!B22&lt;=1,C5*F22*'数据-取费表'!B22,C5*(POWER((1+F22),'数据-取费表'!B22)-1)),0)</f>
        <v>1011652</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57500</v>
      </c>
      <c r="D24" s="134"/>
      <c r="E24" s="134"/>
      <c r="F24" s="135"/>
      <c r="G24" s="136" t="s">
        <v>1528</v>
      </c>
    </row>
    <row r="25" spans="1:7" s="110" customFormat="1" ht="24">
      <c r="A25" s="532" t="s">
        <v>1448</v>
      </c>
      <c r="B25" s="111" t="s">
        <v>1529</v>
      </c>
      <c r="C25" s="134">
        <f ca="1">ROUND(IF('数据-取费表'!B22&lt;=1,C20*F22*'数据-取费表'!B22/2,C20*(POWER((1+F22),'数据-取费表'!B22/2)-1)),0)</f>
        <v>10571</v>
      </c>
      <c r="D25" s="134"/>
      <c r="E25" s="137"/>
      <c r="F25" s="135"/>
      <c r="G25" s="138" t="s">
        <v>1530</v>
      </c>
    </row>
    <row r="26" spans="1:7" s="110" customFormat="1">
      <c r="A26" s="532" t="s">
        <v>348</v>
      </c>
      <c r="B26" s="111" t="s">
        <v>1459</v>
      </c>
      <c r="C26" s="134">
        <f ca="1">ROUND(IF('数据-取费表'!B22&lt;=1,F21*F22*'数据-取费表'!B22/2,F21*(POWER((1+F22),'数据-取费表'!B22/2)-1)),4)</f>
        <v>5.0000000000000001E-4</v>
      </c>
      <c r="D26" s="134"/>
      <c r="E26" s="137"/>
      <c r="F26" s="135"/>
      <c r="G26" s="139"/>
    </row>
    <row r="27" spans="1:7" s="110" customFormat="1" ht="26.4">
      <c r="A27" s="151" t="s">
        <v>1460</v>
      </c>
      <c r="B27" s="140" t="s">
        <v>1461</v>
      </c>
      <c r="C27" s="141">
        <f ca="1">C28</f>
        <v>3536918</v>
      </c>
      <c r="D27" s="131">
        <f ca="1">C29</f>
        <v>3.0000000000000001E-3</v>
      </c>
      <c r="E27" s="132" t="s">
        <v>1462</v>
      </c>
      <c r="F27" s="142">
        <f ca="1">IF(B1="",'数据-取费表'!Q16,INDIRECT("'数据-取费表'!q"&amp;$G$1))</f>
        <v>0.15</v>
      </c>
      <c r="G27" s="143" t="s">
        <v>1463</v>
      </c>
    </row>
    <row r="28" spans="1:7" s="110" customFormat="1" ht="13.5" customHeight="1">
      <c r="A28" s="532" t="s">
        <v>344</v>
      </c>
      <c r="B28" s="144" t="s">
        <v>1464</v>
      </c>
      <c r="C28" s="145">
        <f ca="1">ROUND((C5+C19+C20)*F27,0)</f>
        <v>3536918</v>
      </c>
      <c r="D28" s="131"/>
      <c r="E28" s="132"/>
      <c r="F28" s="142"/>
      <c r="G28" s="143"/>
    </row>
    <row r="29" spans="1:7" s="110" customFormat="1" ht="13.5" customHeight="1">
      <c r="A29" s="532"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28892404</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31516439</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27973170</v>
      </c>
      <c r="D34" s="113"/>
      <c r="E34" s="116"/>
      <c r="F34" s="153"/>
      <c r="G34" s="115"/>
    </row>
    <row r="35" spans="1:7" ht="13.5" customHeight="1">
      <c r="A35" s="532" t="s">
        <v>349</v>
      </c>
      <c r="B35" s="111" t="s">
        <v>1473</v>
      </c>
      <c r="C35" s="116">
        <f ca="1">ROUND(C34*F35,0)</f>
        <v>1398659</v>
      </c>
      <c r="D35" s="116"/>
      <c r="E35" s="116"/>
      <c r="F35" s="155">
        <f>'数据-取费表'!B33</f>
        <v>0.05</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1864878</v>
      </c>
      <c r="D37" s="113">
        <f ca="1">D19</f>
        <v>6216.26</v>
      </c>
      <c r="E37" s="145">
        <f>'数据-取费表'!B35</f>
        <v>300</v>
      </c>
      <c r="F37" s="155"/>
      <c r="G37" s="157"/>
    </row>
    <row r="38" spans="1:7" ht="13.5" customHeight="1">
      <c r="A38" s="532" t="s">
        <v>352</v>
      </c>
      <c r="B38" s="111" t="s">
        <v>1479</v>
      </c>
      <c r="C38" s="116">
        <f ca="1">ROUND(C34*F38,0)</f>
        <v>279732</v>
      </c>
      <c r="D38" s="116"/>
      <c r="E38" s="116"/>
      <c r="F38" s="155">
        <f>'数据-取费表'!B36</f>
        <v>0.01</v>
      </c>
      <c r="G38" s="115" t="s">
        <v>1474</v>
      </c>
    </row>
    <row r="39" spans="1:7" s="110" customFormat="1" ht="13.5" customHeight="1">
      <c r="A39" s="151" t="s">
        <v>1480</v>
      </c>
      <c r="B39" s="106" t="s">
        <v>1481</v>
      </c>
      <c r="C39" s="128">
        <f ca="1">ROUND(C33*F20,0)</f>
        <v>630329</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734981</v>
      </c>
      <c r="D41" s="131">
        <f ca="1">C44</f>
        <v>5.0000000000000001E-4</v>
      </c>
      <c r="E41" s="132" t="s">
        <v>1485</v>
      </c>
      <c r="F41" s="133">
        <f ca="1">F22</f>
        <v>3.0599999999999999E-2</v>
      </c>
      <c r="G41" s="130" t="str">
        <f>IF('数据-取费表'!B22&lt;=1,"单利计息","复利计息")</f>
        <v>复利计息</v>
      </c>
    </row>
    <row r="42" spans="1:7" ht="13.5" customHeight="1">
      <c r="A42" s="532" t="s">
        <v>344</v>
      </c>
      <c r="B42" s="111" t="s">
        <v>1489</v>
      </c>
      <c r="C42" s="134">
        <f ca="1">ROUND(IF('数据-取费表'!B22&lt;=1,C33*F22*'数据-取费表'!B20/2,C33*(POWER((1+F22),'数据-取费表'!B20/2)-1)),0)</f>
        <v>720570</v>
      </c>
      <c r="D42" s="134"/>
      <c r="E42" s="134"/>
      <c r="F42" s="135"/>
      <c r="G42" s="4384" t="s">
        <v>1533</v>
      </c>
    </row>
    <row r="43" spans="1:7" ht="13.5" customHeight="1">
      <c r="A43" s="532" t="s">
        <v>345</v>
      </c>
      <c r="B43" s="111" t="s">
        <v>1490</v>
      </c>
      <c r="C43" s="134">
        <f ca="1">ROUND(IF('数据-取费表'!B22&lt;=1,C39*F22*'数据-取费表'!B20/2,C39*(POWER((1+F22),'数据-取费表'!B20/2)-1)),0)</f>
        <v>14411</v>
      </c>
      <c r="D43" s="134"/>
      <c r="E43" s="134"/>
      <c r="F43" s="135"/>
      <c r="G43" s="4386"/>
    </row>
    <row r="44" spans="1:7" ht="13.5" customHeight="1">
      <c r="A44" s="532" t="s">
        <v>346</v>
      </c>
      <c r="B44" s="111" t="s">
        <v>1491</v>
      </c>
      <c r="C44" s="134">
        <f ca="1">ROUND(IF('数据-取费表'!B22&lt;=1,C40*F22*'数据-取费表'!B20/2,C40*(POWER((1+F22),'数据-取费表'!B20/2)-1)),4)</f>
        <v>5.0000000000000001E-4</v>
      </c>
      <c r="D44" s="134"/>
      <c r="E44" s="134"/>
      <c r="F44" s="135"/>
      <c r="G44" s="4385"/>
    </row>
    <row r="45" spans="1:7" s="110" customFormat="1" ht="13.5" customHeight="1">
      <c r="A45" s="151" t="s">
        <v>1492</v>
      </c>
      <c r="B45" s="140" t="s">
        <v>1461</v>
      </c>
      <c r="C45" s="141">
        <f ca="1">C46</f>
        <v>4822015</v>
      </c>
      <c r="D45" s="131">
        <f ca="1">C47</f>
        <v>3.0000000000000001E-3</v>
      </c>
      <c r="E45" s="132" t="s">
        <v>1485</v>
      </c>
      <c r="F45" s="142">
        <f ca="1">F27</f>
        <v>0.15</v>
      </c>
      <c r="G45" s="143" t="s">
        <v>1493</v>
      </c>
    </row>
    <row r="46" spans="1:7" s="110" customFormat="1" ht="13.5" customHeight="1">
      <c r="A46" s="532" t="s">
        <v>344</v>
      </c>
      <c r="B46" s="144" t="s">
        <v>1494</v>
      </c>
      <c r="C46" s="145">
        <f ca="1">ROUND((C33+C39)*F27,0)</f>
        <v>4822015</v>
      </c>
      <c r="D46" s="159"/>
      <c r="E46" s="132"/>
      <c r="F46" s="142"/>
      <c r="G46" s="143"/>
    </row>
    <row r="47" spans="1:7" s="110" customFormat="1" ht="13.5" customHeight="1">
      <c r="A47" s="532"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38634864</v>
      </c>
      <c r="D49" s="128"/>
      <c r="E49" s="128"/>
      <c r="F49" s="160"/>
      <c r="G49" s="130" t="s">
        <v>1498</v>
      </c>
    </row>
    <row r="50" spans="1:7" s="154" customFormat="1">
      <c r="A50" s="151" t="s">
        <v>1499</v>
      </c>
      <c r="B50" s="106" t="s">
        <v>1500</v>
      </c>
      <c r="C50" s="128"/>
      <c r="D50" s="128"/>
      <c r="E50" s="128"/>
      <c r="F50" s="160">
        <f>IF('数据-取费表'!B24=0,'数据-取费表'!N16,1)</f>
        <v>0.77</v>
      </c>
      <c r="G50" s="143"/>
    </row>
    <row r="51" spans="1:7" ht="16.5" customHeight="1">
      <c r="A51" s="151" t="s">
        <v>1501</v>
      </c>
      <c r="B51" s="106" t="s">
        <v>1535</v>
      </c>
      <c r="C51" s="128">
        <f ca="1">ROUND(C49*F50,0)</f>
        <v>29748845</v>
      </c>
      <c r="D51" s="128"/>
      <c r="E51" s="128"/>
      <c r="F51" s="160"/>
      <c r="G51" s="130" t="s">
        <v>1502</v>
      </c>
    </row>
    <row r="52" spans="1:7" s="104" customFormat="1" ht="16.8" thickBot="1">
      <c r="A52" s="161" t="s">
        <v>1503</v>
      </c>
      <c r="B52" s="162"/>
      <c r="C52" s="163">
        <f ca="1">C31+C51</f>
        <v>58641249</v>
      </c>
      <c r="D52" s="162"/>
      <c r="E52" s="162"/>
      <c r="F52" s="162"/>
      <c r="G52" s="164"/>
    </row>
    <row r="55" spans="1:7" ht="15">
      <c r="B55" s="166" t="s">
        <v>1504</v>
      </c>
      <c r="C55" s="167"/>
    </row>
    <row r="56" spans="1:7">
      <c r="B56" s="169" t="s">
        <v>788</v>
      </c>
      <c r="C56" s="171">
        <f ca="1">1-C57</f>
        <v>0.49299999999999999</v>
      </c>
    </row>
    <row r="57" spans="1:7">
      <c r="B57" s="169" t="s">
        <v>789</v>
      </c>
      <c r="C57" s="170">
        <f ca="1">ROUND(C51/C52,3)</f>
        <v>0.50700000000000001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J132"/>
  <sheetViews>
    <sheetView view="pageBreakPreview" topLeftCell="A4" zoomScale="80" zoomScaleNormal="70" zoomScaleSheetLayoutView="80" workbookViewId="0">
      <selection activeCell="J54" sqref="J54"/>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1725</v>
      </c>
      <c r="C1" s="839" t="s">
        <v>1577</v>
      </c>
      <c r="D1" s="840" t="s">
        <v>3911</v>
      </c>
      <c r="E1" s="2542" t="s">
        <v>3965</v>
      </c>
      <c r="F1" s="1381" t="s">
        <v>3966</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21123</v>
      </c>
      <c r="C2" s="2878" t="s">
        <v>3967</v>
      </c>
      <c r="D2" s="230">
        <f>IF(E1="项目模式",IF(E2="——",ROUND(C50*D3/10000,0),ROUND(C50*D3/10000,0)-F2),IF(E1="单套模式",IF(E2="——",ROUND(C50*D3/10000,4),ROUND(C50*D3/10000,4)-F2)))</f>
        <v>21123</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f>IF(E2="——",C50,ROUND(B2*10000/D3,0))</f>
        <v>33981</v>
      </c>
      <c r="C3" s="235" t="s">
        <v>1683</v>
      </c>
      <c r="D3" s="2974">
        <f>IF(D1="",'数据-汇总表'!E3,SUMIF('数据-汇总表'!$C19:$C33,D1,'数据-汇总表'!$E19:$E33))</f>
        <v>6216.26</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410" t="s">
        <v>1690</v>
      </c>
      <c r="Q4" s="4411"/>
      <c r="R4" s="4416" t="s">
        <v>1686</v>
      </c>
      <c r="S4" s="4417"/>
      <c r="T4" s="4416" t="s">
        <v>1687</v>
      </c>
      <c r="U4" s="4417"/>
      <c r="V4" s="4422" t="s">
        <v>1688</v>
      </c>
      <c r="W4" s="4422"/>
      <c r="X4" s="1441"/>
      <c r="Y4" s="4432" t="s">
        <v>1690</v>
      </c>
      <c r="Z4" s="4433"/>
      <c r="AA4" s="4443" t="s">
        <v>1686</v>
      </c>
      <c r="AB4" s="4443" t="s">
        <v>1687</v>
      </c>
      <c r="AC4" s="4403" t="s">
        <v>1688</v>
      </c>
    </row>
    <row r="5" spans="1:29" ht="14.4" customHeight="1">
      <c r="A5" s="239"/>
      <c r="B5" s="240"/>
      <c r="C5" s="4426" t="s">
        <v>1588</v>
      </c>
      <c r="D5" s="4427"/>
      <c r="E5" s="4446" t="s">
        <v>3921</v>
      </c>
      <c r="F5" s="4447"/>
      <c r="G5" s="4426" t="s">
        <v>3922</v>
      </c>
      <c r="H5" s="4427"/>
      <c r="I5" s="4439" t="s">
        <v>3987</v>
      </c>
      <c r="J5" s="4440"/>
      <c r="K5" s="394"/>
      <c r="L5" s="2008"/>
      <c r="M5" s="2009"/>
      <c r="N5" s="2009"/>
      <c r="O5" s="2009"/>
      <c r="P5" s="4412"/>
      <c r="Q5" s="4413"/>
      <c r="R5" s="4418"/>
      <c r="S5" s="4419"/>
      <c r="T5" s="4418"/>
      <c r="U5" s="4419"/>
      <c r="V5" s="4423"/>
      <c r="W5" s="4423"/>
      <c r="X5" s="937"/>
      <c r="Y5" s="4434"/>
      <c r="Z5" s="4435"/>
      <c r="AA5" s="4444"/>
      <c r="AB5" s="4444"/>
      <c r="AC5" s="4404"/>
    </row>
    <row r="6" spans="1:29" ht="15" thickBot="1">
      <c r="A6" s="241"/>
      <c r="B6" s="242"/>
      <c r="C6" s="4424" t="s">
        <v>1592</v>
      </c>
      <c r="D6" s="4425"/>
      <c r="E6" s="4441" t="s">
        <v>3923</v>
      </c>
      <c r="F6" s="4442"/>
      <c r="G6" s="4424" t="s">
        <v>3924</v>
      </c>
      <c r="H6" s="4425"/>
      <c r="I6" s="4424" t="s">
        <v>3925</v>
      </c>
      <c r="J6" s="4425"/>
      <c r="K6" s="394" t="s">
        <v>1593</v>
      </c>
      <c r="L6" s="2008"/>
      <c r="M6" s="2009"/>
      <c r="N6" s="2009"/>
      <c r="O6" s="2009"/>
      <c r="P6" s="4414"/>
      <c r="Q6" s="4415"/>
      <c r="R6" s="4418"/>
      <c r="S6" s="4419"/>
      <c r="T6" s="4420"/>
      <c r="U6" s="4421"/>
      <c r="V6" s="4423"/>
      <c r="W6" s="4423"/>
      <c r="X6" s="937"/>
      <c r="Y6" s="4436"/>
      <c r="Z6" s="4437"/>
      <c r="AA6" s="4445"/>
      <c r="AB6" s="4445"/>
      <c r="AC6" s="4405"/>
    </row>
    <row r="7" spans="1:29" s="46" customFormat="1" ht="15" thickBot="1">
      <c r="A7" s="243" t="s">
        <v>1594</v>
      </c>
      <c r="B7" s="244"/>
      <c r="C7" s="245">
        <f>'数据-取费表'!B2</f>
        <v>46048</v>
      </c>
      <c r="D7" s="2993">
        <v>100</v>
      </c>
      <c r="E7" s="246">
        <v>45139</v>
      </c>
      <c r="F7" s="3900">
        <f>SUMIF(59:59,YEAR(E7)&amp;"-"&amp;MONTH(E7),60:60)</f>
        <v>100</v>
      </c>
      <c r="G7" s="246">
        <v>45041</v>
      </c>
      <c r="H7" s="3906">
        <f>SUMIF(59:59,YEAR(G7)&amp;"-"&amp;MONTH(G7),60:60)</f>
        <v>100</v>
      </c>
      <c r="I7" s="246">
        <v>45602</v>
      </c>
      <c r="J7" s="3906">
        <f>SUMIF(59:59,YEAR(I7)&amp;"-"&amp;MONTH(I7),60:60)</f>
        <v>100</v>
      </c>
      <c r="K7" s="22"/>
      <c r="L7" s="2010"/>
      <c r="M7" s="1963"/>
      <c r="N7" s="1963"/>
      <c r="O7" s="1963"/>
      <c r="P7" s="4428" t="s">
        <v>1595</v>
      </c>
      <c r="Q7" s="4438"/>
      <c r="R7" s="3787" t="s">
        <v>13</v>
      </c>
      <c r="S7" s="3286">
        <f t="shared" ref="S7:S15" si="0">F7</f>
        <v>100</v>
      </c>
      <c r="T7" s="3787" t="s">
        <v>13</v>
      </c>
      <c r="U7" s="3286">
        <f t="shared" ref="U7:U15" si="1">H7</f>
        <v>100</v>
      </c>
      <c r="V7" s="3787" t="s">
        <v>13</v>
      </c>
      <c r="W7" s="3286">
        <f t="shared" ref="W7:W15" si="2">J7</f>
        <v>100</v>
      </c>
      <c r="X7" s="483"/>
      <c r="Y7" s="4430" t="s">
        <v>1595</v>
      </c>
      <c r="Z7" s="4431"/>
      <c r="AA7" s="28">
        <f>D7/F7</f>
        <v>1</v>
      </c>
      <c r="AB7" s="28">
        <f>D7/H7</f>
        <v>1</v>
      </c>
      <c r="AC7" s="564">
        <f>D7/J7</f>
        <v>1</v>
      </c>
    </row>
    <row r="8" spans="1:29" s="46" customFormat="1" ht="15" thickBot="1">
      <c r="A8" s="243" t="s">
        <v>1596</v>
      </c>
      <c r="B8" s="244"/>
      <c r="C8" s="247" t="s">
        <v>3926</v>
      </c>
      <c r="D8" s="2993">
        <v>100</v>
      </c>
      <c r="E8" s="247" t="s">
        <v>3926</v>
      </c>
      <c r="F8" s="3900">
        <f>SUMIF(62:62,E8,63:63)-SUMIF(62:62,C8,63:63)+100</f>
        <v>100</v>
      </c>
      <c r="G8" s="247" t="s">
        <v>3926</v>
      </c>
      <c r="H8" s="3906">
        <f>SUMIF(62:62,G8,63:63)-SUMIF(62:62,C8,63:63)+100</f>
        <v>100</v>
      </c>
      <c r="I8" s="247" t="s">
        <v>3926</v>
      </c>
      <c r="J8" s="3906">
        <f>SUMIF(62:62,I8,63:63)-SUMIF(62:62,C8,63:63)+100</f>
        <v>100</v>
      </c>
      <c r="K8" s="22"/>
      <c r="L8" s="2010"/>
      <c r="M8" s="1963"/>
      <c r="N8" s="1963"/>
      <c r="O8" s="1963"/>
      <c r="P8" s="4428" t="s">
        <v>1598</v>
      </c>
      <c r="Q8" s="4429"/>
      <c r="R8" s="3787" t="s">
        <v>13</v>
      </c>
      <c r="S8" s="3286">
        <f t="shared" si="0"/>
        <v>100</v>
      </c>
      <c r="T8" s="3787" t="s">
        <v>13</v>
      </c>
      <c r="U8" s="3286">
        <f t="shared" si="1"/>
        <v>100</v>
      </c>
      <c r="V8" s="3787" t="s">
        <v>13</v>
      </c>
      <c r="W8" s="3286">
        <f t="shared" si="2"/>
        <v>100</v>
      </c>
      <c r="X8" s="483"/>
      <c r="Y8" s="4430" t="s">
        <v>1598</v>
      </c>
      <c r="Z8" s="4431"/>
      <c r="AA8" s="28">
        <f t="shared" ref="AA8:AA47" si="3">D8/F8</f>
        <v>1</v>
      </c>
      <c r="AB8" s="28">
        <f t="shared" ref="AB8:AB47" si="4">D8/H8</f>
        <v>1</v>
      </c>
      <c r="AC8" s="564">
        <f t="shared" ref="AC8:AC47" si="5">D8/J8</f>
        <v>1</v>
      </c>
    </row>
    <row r="9" spans="1:29" s="46" customFormat="1" ht="14.4">
      <c r="A9" s="248" t="s">
        <v>1599</v>
      </c>
      <c r="B9" s="34" t="s">
        <v>1600</v>
      </c>
      <c r="C9" s="249" t="s">
        <v>3927</v>
      </c>
      <c r="D9" s="2994">
        <v>100</v>
      </c>
      <c r="E9" s="251" t="s">
        <v>3927</v>
      </c>
      <c r="F9" s="33">
        <f>SUMIF(64:64,E9,65:65)-SUMIF(64:64,C9,65:65)+100</f>
        <v>100</v>
      </c>
      <c r="G9" s="250" t="s">
        <v>3927</v>
      </c>
      <c r="H9" s="33">
        <f>SUMIF(64:64,G9,65:65)-SUMIF(64:64,C9,65:65)+100</f>
        <v>100</v>
      </c>
      <c r="I9" s="250" t="s">
        <v>19</v>
      </c>
      <c r="J9" s="33">
        <f>SUMIF(64:64,I9,65:65)-SUMIF(64:64,C9,65:65)+100</f>
        <v>110</v>
      </c>
      <c r="K9" s="22"/>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110</v>
      </c>
      <c r="X9" s="483"/>
      <c r="Y9" s="4402" t="s">
        <v>1602</v>
      </c>
      <c r="Z9" s="28" t="str">
        <f t="shared" ref="Z9:Z15" si="7">Q9</f>
        <v>用途</v>
      </c>
      <c r="AA9" s="28">
        <f t="shared" si="3"/>
        <v>1</v>
      </c>
      <c r="AB9" s="28">
        <f t="shared" si="4"/>
        <v>1</v>
      </c>
      <c r="AC9" s="564">
        <f t="shared" si="5"/>
        <v>0.90909090909090906</v>
      </c>
    </row>
    <row r="10" spans="1:29" s="254" customFormat="1" ht="28.8">
      <c r="A10" s="252"/>
      <c r="B10" s="253" t="s">
        <v>1603</v>
      </c>
      <c r="C10" s="2543" t="s">
        <v>3931</v>
      </c>
      <c r="D10" s="2995">
        <v>100</v>
      </c>
      <c r="E10" s="2543" t="s">
        <v>3928</v>
      </c>
      <c r="F10" s="423">
        <f>SUMIF(66:66,E10,67:67)-SUMIF(66:66,C10,67:67)+100</f>
        <v>102</v>
      </c>
      <c r="G10" s="2544" t="s">
        <v>3931</v>
      </c>
      <c r="H10" s="423">
        <f>SUMIF(66:66,G10,67:67)-SUMIF(66:66,C10,67:67)+100</f>
        <v>100</v>
      </c>
      <c r="I10" s="2543" t="s">
        <v>3932</v>
      </c>
      <c r="J10" s="423">
        <f>SUMIF(66:66,I10,67:67)-SUMIF(66:66,C10,67:67)+100</f>
        <v>104</v>
      </c>
      <c r="K10" s="22"/>
      <c r="L10" s="2011"/>
      <c r="M10" s="2012"/>
      <c r="N10" s="2012"/>
      <c r="O10" s="2012"/>
      <c r="P10" s="4387"/>
      <c r="Q10" s="1732" t="str">
        <f t="shared" si="6"/>
        <v>土地使用年限（年）</v>
      </c>
      <c r="R10" s="3787" t="s">
        <v>13</v>
      </c>
      <c r="S10" s="3286">
        <f t="shared" si="0"/>
        <v>102</v>
      </c>
      <c r="T10" s="3787" t="s">
        <v>13</v>
      </c>
      <c r="U10" s="3286">
        <f t="shared" si="1"/>
        <v>100</v>
      </c>
      <c r="V10" s="3787" t="s">
        <v>13</v>
      </c>
      <c r="W10" s="3286">
        <f t="shared" si="2"/>
        <v>104</v>
      </c>
      <c r="X10" s="483"/>
      <c r="Y10" s="4402"/>
      <c r="Z10" s="28" t="str">
        <f t="shared" si="7"/>
        <v>土地使用年限（年）</v>
      </c>
      <c r="AA10" s="28">
        <f t="shared" si="3"/>
        <v>0.98039215686274506</v>
      </c>
      <c r="AB10" s="28">
        <f t="shared" si="4"/>
        <v>1</v>
      </c>
      <c r="AC10" s="564">
        <f t="shared" si="5"/>
        <v>0.96153846153846156</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387"/>
      <c r="Q11" s="1732" t="str">
        <f t="shared" si="6"/>
        <v>容积率</v>
      </c>
      <c r="R11" s="3787" t="s">
        <v>13</v>
      </c>
      <c r="S11" s="3286">
        <f t="shared" si="0"/>
        <v>100</v>
      </c>
      <c r="T11" s="3787" t="s">
        <v>13</v>
      </c>
      <c r="U11" s="3286">
        <f t="shared" si="1"/>
        <v>100</v>
      </c>
      <c r="V11" s="3787" t="s">
        <v>13</v>
      </c>
      <c r="W11" s="3286">
        <f t="shared" si="2"/>
        <v>100</v>
      </c>
      <c r="X11" s="483"/>
      <c r="Y11" s="4402"/>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564">
        <f>D12/J12</f>
        <v>1</v>
      </c>
    </row>
    <row r="13" spans="1:29" ht="27.6">
      <c r="A13" s="255"/>
      <c r="B13" s="311">
        <v>111</v>
      </c>
      <c r="C13" s="260"/>
      <c r="D13" s="2997">
        <v>100</v>
      </c>
      <c r="E13" s="259">
        <v>38</v>
      </c>
      <c r="F13" s="423">
        <f>SUMIF(73:73,E13,74:74)-SUMIF(73:73,C13,74:74)+100</f>
        <v>100</v>
      </c>
      <c r="G13" s="1442" t="s">
        <v>3954</v>
      </c>
      <c r="H13" s="3904">
        <f>SUMIF(73:73,G13,74:74)-SUMIF(73:73,C13,74:74)+100</f>
        <v>100</v>
      </c>
      <c r="I13" s="259"/>
      <c r="J13" s="3904">
        <f>SUMIF(73:73,I13,74:74)-SUMIF(73:73,C13,74:74)+100</f>
        <v>100</v>
      </c>
      <c r="K13" s="396"/>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564">
        <f t="shared" si="5"/>
        <v>1</v>
      </c>
    </row>
    <row r="14" spans="1:29" ht="28.2" thickBot="1">
      <c r="A14" s="261"/>
      <c r="B14" s="1389">
        <v>111</v>
      </c>
      <c r="C14" s="262"/>
      <c r="D14" s="2998">
        <v>100</v>
      </c>
      <c r="E14" s="403" t="s">
        <v>3949</v>
      </c>
      <c r="F14" s="3901">
        <f>SUMIF(75:75,E14,76:76)-SUMIF(75:75,C14,76:76)+100</f>
        <v>100</v>
      </c>
      <c r="G14" s="1442" t="s">
        <v>3955</v>
      </c>
      <c r="H14" s="3901">
        <f>SUMIF(75:75,G14,76:76)-SUMIF(75:75,C14,76:76)+100</f>
        <v>100</v>
      </c>
      <c r="I14" s="259">
        <v>43</v>
      </c>
      <c r="J14" s="3901">
        <f>SUMIF(75:75,I14,76:76)-SUMIF(75:75,C14,76:76)+100</f>
        <v>100</v>
      </c>
      <c r="K14" s="396"/>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564">
        <f t="shared" si="5"/>
        <v>1</v>
      </c>
    </row>
    <row r="15" spans="1:29" ht="82.8">
      <c r="A15" s="263" t="s">
        <v>1605</v>
      </c>
      <c r="B15" s="404" t="s">
        <v>1726</v>
      </c>
      <c r="C15" s="1443" t="str">
        <f>估价对象房地状况!C5</f>
        <v>位于北五环外，周边有金隅制造工场、金隅科技园、中关村东升科技园6号院等项目，办公集聚程度较好</v>
      </c>
      <c r="D15" s="2999">
        <v>100</v>
      </c>
      <c r="E15" s="265" t="s">
        <v>3950</v>
      </c>
      <c r="F15" s="3902">
        <f>SUMIF(77:77,E16,78:78)-SUMIF(77:77,C16,78:78)+100</f>
        <v>100</v>
      </c>
      <c r="G15" s="264" t="s">
        <v>3956</v>
      </c>
      <c r="H15" s="3902">
        <f>SUMIF(77:77,G16,78:78)-SUMIF(77:77,C16,78:78)+100</f>
        <v>100</v>
      </c>
      <c r="I15" s="264" t="s">
        <v>3960</v>
      </c>
      <c r="J15" s="3902">
        <f>SUMIF(77:77,I16,78:78)-SUMIF(77:77,C16,78:78)+100</f>
        <v>97</v>
      </c>
      <c r="K15" s="397">
        <v>3</v>
      </c>
      <c r="L15" s="2014"/>
      <c r="M15" s="2009"/>
      <c r="N15" s="2009"/>
      <c r="O15" s="2009"/>
      <c r="P15" s="4393" t="s">
        <v>1606</v>
      </c>
      <c r="Q15" s="1534" t="str">
        <f t="shared" si="6"/>
        <v>办公集聚程度</v>
      </c>
      <c r="R15" s="3888" t="s">
        <v>13</v>
      </c>
      <c r="S15" s="3287">
        <f t="shared" si="0"/>
        <v>100</v>
      </c>
      <c r="T15" s="3888" t="s">
        <v>13</v>
      </c>
      <c r="U15" s="3287">
        <f t="shared" si="1"/>
        <v>100</v>
      </c>
      <c r="V15" s="3888" t="s">
        <v>13</v>
      </c>
      <c r="W15" s="3287">
        <f t="shared" si="2"/>
        <v>97</v>
      </c>
      <c r="X15" s="937"/>
      <c r="Y15" s="4395" t="s">
        <v>1606</v>
      </c>
      <c r="Z15" s="935" t="str">
        <f t="shared" si="7"/>
        <v>办公集聚程度</v>
      </c>
      <c r="AA15" s="935">
        <f t="shared" si="3"/>
        <v>1</v>
      </c>
      <c r="AB15" s="935">
        <f t="shared" si="4"/>
        <v>1</v>
      </c>
      <c r="AC15" s="1444">
        <f t="shared" si="5"/>
        <v>1.0309278350515463</v>
      </c>
    </row>
    <row r="16" spans="1:29" ht="15">
      <c r="A16" s="255"/>
      <c r="B16" s="405"/>
      <c r="C16" s="1396" t="s">
        <v>3626</v>
      </c>
      <c r="D16" s="3000"/>
      <c r="E16" s="267" t="s">
        <v>3626</v>
      </c>
      <c r="F16" s="268"/>
      <c r="G16" s="1396" t="s">
        <v>3626</v>
      </c>
      <c r="H16" s="269"/>
      <c r="I16" s="267" t="s">
        <v>3625</v>
      </c>
      <c r="J16" s="268"/>
      <c r="K16" s="398"/>
      <c r="L16" s="2014"/>
      <c r="M16" s="2009"/>
      <c r="N16" s="2009"/>
      <c r="O16" s="2009"/>
      <c r="P16" s="4394"/>
      <c r="Q16" s="1534"/>
      <c r="R16" s="3888"/>
      <c r="S16" s="3287"/>
      <c r="T16" s="3888"/>
      <c r="U16" s="3287"/>
      <c r="V16" s="3888"/>
      <c r="W16" s="3287"/>
      <c r="X16" s="937"/>
      <c r="Y16" s="4396"/>
      <c r="Z16" s="935"/>
      <c r="AA16" s="935">
        <v>1</v>
      </c>
      <c r="AB16" s="935">
        <v>1</v>
      </c>
      <c r="AC16" s="1444">
        <v>1</v>
      </c>
    </row>
    <row r="17" spans="1:29" ht="124.2">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3951</v>
      </c>
      <c r="F17" s="269">
        <f>SUMIF(79:79,E18,80:80)-SUMIF(79:79,C18,80:80)+100</f>
        <v>100</v>
      </c>
      <c r="G17" s="271" t="s">
        <v>3957</v>
      </c>
      <c r="H17" s="3903">
        <f>SUMIF(79:79,G18,80:80)-SUMIF(79:79,C18,80:80)+100</f>
        <v>100</v>
      </c>
      <c r="I17" s="271" t="s">
        <v>3961</v>
      </c>
      <c r="J17" s="3903">
        <f>SUMIF(79:79,I18,80:80)-SUMIF(79:79,C18,80:80)+100</f>
        <v>100</v>
      </c>
      <c r="K17" s="397">
        <v>3</v>
      </c>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394"/>
      <c r="Q18" s="1534"/>
      <c r="R18" s="3888"/>
      <c r="S18" s="3287"/>
      <c r="T18" s="3888"/>
      <c r="U18" s="3287"/>
      <c r="V18" s="3888"/>
      <c r="W18" s="3287"/>
      <c r="X18" s="937"/>
      <c r="Y18" s="4396"/>
      <c r="Z18" s="935"/>
      <c r="AA18" s="935">
        <v>1</v>
      </c>
      <c r="AB18" s="935">
        <v>1</v>
      </c>
      <c r="AC18" s="1444">
        <v>1</v>
      </c>
    </row>
    <row r="19" spans="1:29" ht="262.2">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3952</v>
      </c>
      <c r="F19" s="3903">
        <f>SUMIF(81:81,E20,82:82)-SUMIF(81:81,C20,82:82)+100</f>
        <v>100</v>
      </c>
      <c r="G19" s="274" t="s">
        <v>3958</v>
      </c>
      <c r="H19" s="269">
        <f>SUMIF(81:81,G20,82:82)-SUMIF(81:81,C20,82:82)+100</f>
        <v>100</v>
      </c>
      <c r="I19" s="274" t="s">
        <v>3962</v>
      </c>
      <c r="J19" s="269">
        <f>SUMIF(81:81,I20,82:82)-SUMIF(81:81,C20,82:82)+100</f>
        <v>100</v>
      </c>
      <c r="K19" s="397">
        <v>2</v>
      </c>
      <c r="L19" s="2014"/>
      <c r="M19" s="2009"/>
      <c r="N19" s="2009"/>
      <c r="O19" s="2009"/>
      <c r="P19" s="4394"/>
      <c r="Q19" s="1534" t="str">
        <f>B19</f>
        <v>公共配套设施</v>
      </c>
      <c r="R19" s="3888" t="s">
        <v>13</v>
      </c>
      <c r="S19" s="3287">
        <f>F19</f>
        <v>100</v>
      </c>
      <c r="T19" s="3888" t="s">
        <v>13</v>
      </c>
      <c r="U19" s="3287">
        <f>H19</f>
        <v>100</v>
      </c>
      <c r="V19" s="3888" t="s">
        <v>13</v>
      </c>
      <c r="W19" s="3287">
        <f>J19</f>
        <v>100</v>
      </c>
      <c r="X19" s="937"/>
      <c r="Y19" s="4396"/>
      <c r="Z19" s="935" t="str">
        <f>Q19</f>
        <v>公共配套设施</v>
      </c>
      <c r="AA19" s="935">
        <f t="shared" si="3"/>
        <v>1</v>
      </c>
      <c r="AB19" s="935">
        <f t="shared" si="4"/>
        <v>1</v>
      </c>
      <c r="AC19" s="1444">
        <f t="shared" si="5"/>
        <v>1</v>
      </c>
    </row>
    <row r="20" spans="1:29" ht="15">
      <c r="A20" s="255"/>
      <c r="B20" s="407"/>
      <c r="C20" s="1396" t="s">
        <v>3626</v>
      </c>
      <c r="D20" s="3000"/>
      <c r="E20" s="1390" t="s">
        <v>3626</v>
      </c>
      <c r="F20" s="268"/>
      <c r="G20" s="1391" t="s">
        <v>3626</v>
      </c>
      <c r="H20" s="268"/>
      <c r="I20" s="4167" t="s">
        <v>3964</v>
      </c>
      <c r="J20" s="268"/>
      <c r="K20" s="398"/>
      <c r="L20" s="2014"/>
      <c r="M20" s="2009"/>
      <c r="N20" s="2009"/>
      <c r="O20" s="2009"/>
      <c r="P20" s="4394"/>
      <c r="Q20" s="1534"/>
      <c r="R20" s="3888"/>
      <c r="S20" s="3287"/>
      <c r="T20" s="3888"/>
      <c r="U20" s="3287"/>
      <c r="V20" s="3888"/>
      <c r="W20" s="3287"/>
      <c r="X20" s="937"/>
      <c r="Y20" s="4396"/>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394"/>
      <c r="Q22" s="1534"/>
      <c r="R22" s="3888"/>
      <c r="S22" s="3287"/>
      <c r="T22" s="3888"/>
      <c r="U22" s="3287"/>
      <c r="V22" s="3888"/>
      <c r="W22" s="3287"/>
      <c r="X22" s="937"/>
      <c r="Y22" s="4396"/>
      <c r="Z22" s="935"/>
      <c r="AA22" s="935">
        <v>1</v>
      </c>
      <c r="AB22" s="935">
        <v>1</v>
      </c>
      <c r="AC22" s="1444">
        <v>1</v>
      </c>
    </row>
    <row r="23" spans="1:29" ht="96.6">
      <c r="A23" s="255"/>
      <c r="B23" s="406" t="s">
        <v>1729</v>
      </c>
      <c r="C23" s="1445" t="str">
        <f>估价对象房地状况!C9</f>
        <v>区域自然环境：新都公园、翡丽公园、兰观绿洲体育公园；无人文环境；综合评价环境状况较好</v>
      </c>
      <c r="D23" s="3001">
        <v>100</v>
      </c>
      <c r="E23" s="272" t="s">
        <v>3953</v>
      </c>
      <c r="F23" s="269">
        <f>SUMIF(85:85,E24,86:86)-SUMIF(85:85,C24,86:86)+100</f>
        <v>100</v>
      </c>
      <c r="G23" s="271" t="s">
        <v>3959</v>
      </c>
      <c r="H23" s="269">
        <f>SUMIF(85:85,G24,86:86)-SUMIF(85:85,C24,86:86)+100</f>
        <v>100</v>
      </c>
      <c r="I23" s="271" t="s">
        <v>3963</v>
      </c>
      <c r="J23" s="269">
        <f>SUMIF(85:85,I24,86:86)-SUMIF(85:85,C24,86:86)+100</f>
        <v>100</v>
      </c>
      <c r="K23" s="397">
        <v>2</v>
      </c>
      <c r="L23" s="2014"/>
      <c r="M23" s="2009"/>
      <c r="N23" s="2009"/>
      <c r="O23" s="2009"/>
      <c r="P23" s="4394"/>
      <c r="Q23" s="1534" t="str">
        <f>B23</f>
        <v>环境质量</v>
      </c>
      <c r="R23" s="3888" t="s">
        <v>13</v>
      </c>
      <c r="S23" s="3287">
        <f>F23</f>
        <v>100</v>
      </c>
      <c r="T23" s="3888" t="s">
        <v>13</v>
      </c>
      <c r="U23" s="3287">
        <f>H23</f>
        <v>100</v>
      </c>
      <c r="V23" s="3888" t="s">
        <v>13</v>
      </c>
      <c r="W23" s="3287">
        <f>J23</f>
        <v>100</v>
      </c>
      <c r="X23" s="937"/>
      <c r="Y23" s="4396"/>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394"/>
      <c r="Q24" s="1534"/>
      <c r="R24" s="3888"/>
      <c r="S24" s="3287"/>
      <c r="T24" s="3888"/>
      <c r="U24" s="3287"/>
      <c r="V24" s="3888"/>
      <c r="W24" s="3287"/>
      <c r="X24" s="937"/>
      <c r="Y24" s="4396"/>
      <c r="Z24" s="935"/>
      <c r="AA24" s="935">
        <v>1</v>
      </c>
      <c r="AB24" s="935">
        <v>1</v>
      </c>
      <c r="AC24" s="1444">
        <v>1</v>
      </c>
    </row>
    <row r="25" spans="1:29" ht="28.8">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394"/>
      <c r="Q25" s="1534" t="str">
        <f>B25</f>
        <v>毗邻道路的类型与等级</v>
      </c>
      <c r="R25" s="3888" t="s">
        <v>13</v>
      </c>
      <c r="S25" s="3287">
        <f>F25</f>
        <v>100</v>
      </c>
      <c r="T25" s="3888" t="s">
        <v>13</v>
      </c>
      <c r="U25" s="3287">
        <f>H25</f>
        <v>100</v>
      </c>
      <c r="V25" s="3888" t="s">
        <v>13</v>
      </c>
      <c r="W25" s="3287">
        <f>J25</f>
        <v>100</v>
      </c>
      <c r="X25" s="937"/>
      <c r="Y25" s="4396"/>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394"/>
      <c r="Q26" s="1534"/>
      <c r="R26" s="3888"/>
      <c r="S26" s="3287"/>
      <c r="T26" s="3888"/>
      <c r="U26" s="3287"/>
      <c r="V26" s="3888"/>
      <c r="W26" s="3287"/>
      <c r="X26" s="937"/>
      <c r="Y26" s="4396"/>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394"/>
      <c r="Q27" s="1534" t="str">
        <f t="shared" ref="Q27:Q47" si="11">B27</f>
        <v>楼层</v>
      </c>
      <c r="R27" s="3888" t="s">
        <v>13</v>
      </c>
      <c r="S27" s="3287">
        <f>F27</f>
        <v>100</v>
      </c>
      <c r="T27" s="3888" t="s">
        <v>13</v>
      </c>
      <c r="U27" s="3287">
        <f>H27</f>
        <v>100</v>
      </c>
      <c r="V27" s="3888" t="s">
        <v>13</v>
      </c>
      <c r="W27" s="3287">
        <f>J27</f>
        <v>100</v>
      </c>
      <c r="X27" s="937"/>
      <c r="Y27" s="4396"/>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394"/>
      <c r="Q28" s="1732" t="str">
        <f t="shared" si="11"/>
        <v>朝向</v>
      </c>
      <c r="R28" s="3787" t="s">
        <v>13</v>
      </c>
      <c r="S28" s="3286">
        <f>F28</f>
        <v>100</v>
      </c>
      <c r="T28" s="3787" t="s">
        <v>13</v>
      </c>
      <c r="U28" s="3286">
        <f>H28</f>
        <v>100</v>
      </c>
      <c r="V28" s="3787" t="s">
        <v>13</v>
      </c>
      <c r="W28" s="3286">
        <f>J28</f>
        <v>100</v>
      </c>
      <c r="X28" s="483"/>
      <c r="Y28" s="4396"/>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394"/>
      <c r="Q29" s="1534">
        <f t="shared" si="11"/>
        <v>111</v>
      </c>
      <c r="R29" s="3888" t="s">
        <v>13</v>
      </c>
      <c r="S29" s="3287">
        <f t="shared" ref="S29:S47" si="12">F29</f>
        <v>100</v>
      </c>
      <c r="T29" s="3888" t="s">
        <v>13</v>
      </c>
      <c r="U29" s="3287">
        <f t="shared" ref="U29:U47" si="13">H29</f>
        <v>100</v>
      </c>
      <c r="V29" s="3888" t="s">
        <v>13</v>
      </c>
      <c r="W29" s="3287">
        <f t="shared" ref="W29:W47" si="14">J29</f>
        <v>100</v>
      </c>
      <c r="X29" s="937"/>
      <c r="Y29" s="4396"/>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1444">
        <f t="shared" si="5"/>
        <v>1</v>
      </c>
    </row>
    <row r="32" spans="1:29" ht="15.6"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394"/>
      <c r="Q32" s="1534">
        <f t="shared" si="11"/>
        <v>111</v>
      </c>
      <c r="R32" s="3888" t="s">
        <v>13</v>
      </c>
      <c r="S32" s="3287">
        <f t="shared" si="12"/>
        <v>100</v>
      </c>
      <c r="T32" s="3888" t="s">
        <v>13</v>
      </c>
      <c r="U32" s="3287">
        <f t="shared" si="13"/>
        <v>100</v>
      </c>
      <c r="V32" s="3888" t="s">
        <v>13</v>
      </c>
      <c r="W32" s="3287">
        <f t="shared" si="14"/>
        <v>100</v>
      </c>
      <c r="X32" s="937"/>
      <c r="Y32" s="4396"/>
      <c r="Z32" s="935">
        <f t="shared" si="15"/>
        <v>111</v>
      </c>
      <c r="AA32" s="935">
        <f t="shared" si="3"/>
        <v>1</v>
      </c>
      <c r="AB32" s="935">
        <f t="shared" si="4"/>
        <v>1</v>
      </c>
      <c r="AC32" s="1444">
        <f t="shared" si="5"/>
        <v>1</v>
      </c>
    </row>
    <row r="33" spans="1:29" ht="15">
      <c r="A33" s="263" t="s">
        <v>1609</v>
      </c>
      <c r="B33" s="34" t="s">
        <v>1732</v>
      </c>
      <c r="C33" s="1447" t="s">
        <v>3938</v>
      </c>
      <c r="D33" s="3004">
        <v>100</v>
      </c>
      <c r="E33" s="1447" t="s">
        <v>3937</v>
      </c>
      <c r="F33" s="936">
        <f>SUMIF(101:101,E33,102:102)-SUMIF(101:101,C33,102:102)+100</f>
        <v>103</v>
      </c>
      <c r="G33" s="1447" t="s">
        <v>3938</v>
      </c>
      <c r="H33" s="3904">
        <f>SUMIF(101:101,G33,102:102)-SUMIF(101:101,C33,102:102)+100</f>
        <v>100</v>
      </c>
      <c r="I33" s="1447" t="s">
        <v>3937</v>
      </c>
      <c r="J33" s="3907">
        <f>SUMIF(101:101,I33,102:102)-SUMIF(101:101,C33,102:102)+100</f>
        <v>103</v>
      </c>
      <c r="K33" s="395">
        <v>3</v>
      </c>
      <c r="L33" s="2014"/>
      <c r="M33" s="2009"/>
      <c r="N33" s="2009"/>
      <c r="O33" s="2009"/>
      <c r="P33" s="4397" t="s">
        <v>1611</v>
      </c>
      <c r="Q33" s="1534" t="str">
        <f t="shared" si="11"/>
        <v>建筑类型</v>
      </c>
      <c r="R33" s="3888" t="s">
        <v>13</v>
      </c>
      <c r="S33" s="3287">
        <f t="shared" si="12"/>
        <v>103</v>
      </c>
      <c r="T33" s="3888" t="s">
        <v>13</v>
      </c>
      <c r="U33" s="3287">
        <f t="shared" si="13"/>
        <v>100</v>
      </c>
      <c r="V33" s="3888" t="s">
        <v>13</v>
      </c>
      <c r="W33" s="3287">
        <f t="shared" si="14"/>
        <v>103</v>
      </c>
      <c r="X33" s="937"/>
      <c r="Y33" s="4400" t="s">
        <v>1611</v>
      </c>
      <c r="Z33" s="935" t="str">
        <f t="shared" si="15"/>
        <v>建筑类型</v>
      </c>
      <c r="AA33" s="935">
        <f t="shared" si="3"/>
        <v>0.970873786407767</v>
      </c>
      <c r="AB33" s="935">
        <f t="shared" si="4"/>
        <v>1</v>
      </c>
      <c r="AC33" s="1444">
        <f t="shared" si="5"/>
        <v>0.970873786407767</v>
      </c>
    </row>
    <row r="34" spans="1:29" s="280" customFormat="1" ht="15">
      <c r="A34" s="278"/>
      <c r="B34" s="253" t="s">
        <v>1612</v>
      </c>
      <c r="C34" s="279">
        <f>'数据-取费表'!K6</f>
        <v>6216.26</v>
      </c>
      <c r="D34" s="2995">
        <v>100</v>
      </c>
      <c r="E34" s="257">
        <v>20714.13</v>
      </c>
      <c r="F34" s="253">
        <f>LOOKUP(E34,104:104,105:105)-LOOKUP(C34,104:104,105:105)+100</f>
        <v>101</v>
      </c>
      <c r="G34" s="256">
        <v>8905</v>
      </c>
      <c r="H34" s="423">
        <f>LOOKUP(G34,104:104,105:105)-LOOKUP(C34,104:104,105:105)+100</f>
        <v>100</v>
      </c>
      <c r="I34" s="4171">
        <v>16877.5</v>
      </c>
      <c r="J34" s="423">
        <f>LOOKUP(I34,104:104,105:105)-LOOKUP(C34,104:104,105:105)+100</f>
        <v>101</v>
      </c>
      <c r="K34" s="396"/>
      <c r="L34" s="2013"/>
      <c r="M34" s="2015"/>
      <c r="N34" s="2015"/>
      <c r="O34" s="2015"/>
      <c r="P34" s="4398"/>
      <c r="Q34" s="2958" t="str">
        <f t="shared" si="11"/>
        <v>项目建筑规模</v>
      </c>
      <c r="R34" s="3889" t="s">
        <v>13</v>
      </c>
      <c r="S34" s="3288">
        <f t="shared" si="12"/>
        <v>101</v>
      </c>
      <c r="T34" s="3889" t="s">
        <v>13</v>
      </c>
      <c r="U34" s="3288">
        <f t="shared" si="13"/>
        <v>100</v>
      </c>
      <c r="V34" s="3889" t="s">
        <v>13</v>
      </c>
      <c r="W34" s="3288">
        <f t="shared" si="14"/>
        <v>101</v>
      </c>
      <c r="X34" s="485"/>
      <c r="Y34" s="4400"/>
      <c r="Z34" s="486" t="str">
        <f t="shared" si="15"/>
        <v>项目建筑规模</v>
      </c>
      <c r="AA34" s="935">
        <f t="shared" si="3"/>
        <v>0.99009900990099009</v>
      </c>
      <c r="AB34" s="935">
        <f t="shared" si="4"/>
        <v>1</v>
      </c>
      <c r="AC34" s="1444">
        <f t="shared" si="5"/>
        <v>0.99009900990099009</v>
      </c>
    </row>
    <row r="35" spans="1:29" ht="15">
      <c r="A35" s="281"/>
      <c r="B35" s="253" t="s">
        <v>1613</v>
      </c>
      <c r="C35" s="276" t="s">
        <v>3939</v>
      </c>
      <c r="D35" s="2997">
        <v>100</v>
      </c>
      <c r="E35" s="276" t="s">
        <v>3939</v>
      </c>
      <c r="F35" s="936">
        <f>SUMIF(106:106,E35,107:107)-SUMIF(106:106,C35,107:107)+100</f>
        <v>100</v>
      </c>
      <c r="G35" s="276" t="s">
        <v>3939</v>
      </c>
      <c r="H35" s="3904">
        <f>SUMIF(106:106,G35,107:107)-SUMIF(106:106,C35,107:107)+100</f>
        <v>100</v>
      </c>
      <c r="I35" s="276" t="s">
        <v>3939</v>
      </c>
      <c r="J35" s="3904">
        <f>SUMIF(106:106,I35,107:107)-SUMIF(106:106,C35,107:107)+100</f>
        <v>100</v>
      </c>
      <c r="K35" s="395">
        <v>2</v>
      </c>
      <c r="L35" s="2014"/>
      <c r="M35" s="2009"/>
      <c r="N35" s="2009"/>
      <c r="O35" s="2009"/>
      <c r="P35" s="4398"/>
      <c r="Q35" s="1534" t="str">
        <f t="shared" si="11"/>
        <v>建筑结构</v>
      </c>
      <c r="R35" s="3888" t="s">
        <v>13</v>
      </c>
      <c r="S35" s="3287">
        <f t="shared" si="12"/>
        <v>100</v>
      </c>
      <c r="T35" s="3888" t="s">
        <v>13</v>
      </c>
      <c r="U35" s="3287">
        <f t="shared" si="13"/>
        <v>100</v>
      </c>
      <c r="V35" s="3888" t="s">
        <v>13</v>
      </c>
      <c r="W35" s="3287">
        <f t="shared" si="14"/>
        <v>100</v>
      </c>
      <c r="X35" s="937"/>
      <c r="Y35" s="4400"/>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398"/>
      <c r="Q36" s="1534" t="str">
        <f t="shared" si="11"/>
        <v>公共部分装修</v>
      </c>
      <c r="R36" s="3888" t="s">
        <v>13</v>
      </c>
      <c r="S36" s="3287">
        <f t="shared" si="12"/>
        <v>100</v>
      </c>
      <c r="T36" s="3888" t="s">
        <v>13</v>
      </c>
      <c r="U36" s="3287">
        <f t="shared" si="13"/>
        <v>100</v>
      </c>
      <c r="V36" s="3888" t="s">
        <v>13</v>
      </c>
      <c r="W36" s="3287">
        <f t="shared" si="14"/>
        <v>100</v>
      </c>
      <c r="X36" s="937"/>
      <c r="Y36" s="4400"/>
      <c r="Z36" s="935" t="str">
        <f t="shared" si="15"/>
        <v>公共部分装修</v>
      </c>
      <c r="AA36" s="935">
        <f t="shared" si="3"/>
        <v>1</v>
      </c>
      <c r="AB36" s="935">
        <f t="shared" si="4"/>
        <v>1</v>
      </c>
      <c r="AC36" s="1444">
        <f t="shared" si="5"/>
        <v>1</v>
      </c>
    </row>
    <row r="37" spans="1:29" ht="15">
      <c r="A37" s="281"/>
      <c r="B37" s="253" t="s">
        <v>1701</v>
      </c>
      <c r="C37" s="283">
        <f>'数据-取费表'!N6</f>
        <v>0.77</v>
      </c>
      <c r="D37" s="2997">
        <v>100</v>
      </c>
      <c r="E37" s="4169">
        <f>ROUND(1-(2026-E12)/60,2)</f>
        <v>0.82</v>
      </c>
      <c r="F37" s="936">
        <f>LOOKUP(E37,111:111,112:112)-LOOKUP(C37,111:111,112:112)+100</f>
        <v>100</v>
      </c>
      <c r="G37" s="4169">
        <f>ROUND(1-(2026-G12)/60,2)</f>
        <v>0.95</v>
      </c>
      <c r="H37" s="936">
        <f>LOOKUP(G37,111:111,112:112)-LOOKUP(C37,111:111,112:112)+100</f>
        <v>102</v>
      </c>
      <c r="I37" s="4169">
        <f>ROUND(1-(2026-I12)/60,2)</f>
        <v>0.93</v>
      </c>
      <c r="J37" s="3904">
        <f>LOOKUP(I37,111:111,112:112)-LOOKUP(C37,111:111,112:112)+100</f>
        <v>101.5</v>
      </c>
      <c r="K37" s="395">
        <v>0.5</v>
      </c>
      <c r="L37" s="2014"/>
      <c r="M37" s="2009"/>
      <c r="N37" s="2009"/>
      <c r="O37" s="2009"/>
      <c r="P37" s="4398"/>
      <c r="Q37" s="1534" t="str">
        <f t="shared" si="11"/>
        <v>成新度</v>
      </c>
      <c r="R37" s="3888" t="s">
        <v>13</v>
      </c>
      <c r="S37" s="3287">
        <f t="shared" si="12"/>
        <v>100</v>
      </c>
      <c r="T37" s="3888" t="s">
        <v>13</v>
      </c>
      <c r="U37" s="3287">
        <f t="shared" si="13"/>
        <v>102</v>
      </c>
      <c r="V37" s="3888" t="s">
        <v>13</v>
      </c>
      <c r="W37" s="3287">
        <f t="shared" si="14"/>
        <v>101.5</v>
      </c>
      <c r="X37" s="937"/>
      <c r="Y37" s="4400"/>
      <c r="Z37" s="935" t="str">
        <f t="shared" si="15"/>
        <v>成新度</v>
      </c>
      <c r="AA37" s="935">
        <f t="shared" si="3"/>
        <v>1</v>
      </c>
      <c r="AB37" s="935">
        <f t="shared" si="4"/>
        <v>0.98039215686274506</v>
      </c>
      <c r="AC37" s="1444">
        <f t="shared" si="5"/>
        <v>0.98522167487684731</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398"/>
      <c r="Q38" s="1732" t="str">
        <f t="shared" si="11"/>
        <v>写字楼等级</v>
      </c>
      <c r="R38" s="3787" t="s">
        <v>13</v>
      </c>
      <c r="S38" s="3286">
        <f t="shared" si="12"/>
        <v>100</v>
      </c>
      <c r="T38" s="3787" t="s">
        <v>13</v>
      </c>
      <c r="U38" s="3286">
        <f t="shared" si="13"/>
        <v>100</v>
      </c>
      <c r="V38" s="3787" t="s">
        <v>13</v>
      </c>
      <c r="W38" s="3286">
        <f t="shared" si="14"/>
        <v>100</v>
      </c>
      <c r="X38" s="483"/>
      <c r="Y38" s="4400"/>
      <c r="Z38" s="28" t="str">
        <f t="shared" si="15"/>
        <v>写字楼等级</v>
      </c>
      <c r="AA38" s="28">
        <f t="shared" si="3"/>
        <v>1</v>
      </c>
      <c r="AB38" s="28">
        <f t="shared" si="4"/>
        <v>1</v>
      </c>
      <c r="AC38" s="564">
        <f t="shared" si="5"/>
        <v>1</v>
      </c>
    </row>
    <row r="39" spans="1:29" ht="15">
      <c r="A39" s="281"/>
      <c r="B39" s="253" t="s">
        <v>1734</v>
      </c>
      <c r="C39" s="276" t="s">
        <v>3944</v>
      </c>
      <c r="D39" s="2997">
        <v>100</v>
      </c>
      <c r="E39" s="276" t="s">
        <v>3944</v>
      </c>
      <c r="F39" s="936">
        <f>SUMIF(115:115,E39,116:116)-SUMIF(115:115,C39,116:116)+100</f>
        <v>100</v>
      </c>
      <c r="G39" s="276" t="s">
        <v>3944</v>
      </c>
      <c r="H39" s="3904">
        <f>SUMIF(115:115,G39,116:116)-SUMIF(115:115,C39,116:116)+100</f>
        <v>100</v>
      </c>
      <c r="I39" s="276" t="s">
        <v>3944</v>
      </c>
      <c r="J39" s="3904">
        <f>SUMIF(115:115,I39,116:116)-SUMIF(115:115,C39,116:116)+100</f>
        <v>100</v>
      </c>
      <c r="K39" s="395">
        <v>2</v>
      </c>
      <c r="L39" s="2014"/>
      <c r="M39" s="2009"/>
      <c r="N39" s="2009"/>
      <c r="O39" s="2009"/>
      <c r="P39" s="4398" t="s">
        <v>1611</v>
      </c>
      <c r="Q39" s="1534" t="str">
        <f t="shared" si="11"/>
        <v>物业管理</v>
      </c>
      <c r="R39" s="3888" t="s">
        <v>13</v>
      </c>
      <c r="S39" s="3287">
        <f t="shared" si="12"/>
        <v>100</v>
      </c>
      <c r="T39" s="3888" t="s">
        <v>13</v>
      </c>
      <c r="U39" s="3287">
        <f t="shared" si="13"/>
        <v>100</v>
      </c>
      <c r="V39" s="3888" t="s">
        <v>13</v>
      </c>
      <c r="W39" s="3287">
        <f t="shared" si="14"/>
        <v>100</v>
      </c>
      <c r="X39" s="937"/>
      <c r="Y39" s="4400"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398"/>
      <c r="Q40" s="1534" t="str">
        <f t="shared" si="11"/>
        <v>市政基础设施</v>
      </c>
      <c r="R40" s="3888" t="s">
        <v>13</v>
      </c>
      <c r="S40" s="3287">
        <f t="shared" si="12"/>
        <v>100</v>
      </c>
      <c r="T40" s="3888" t="s">
        <v>13</v>
      </c>
      <c r="U40" s="3287">
        <f t="shared" si="13"/>
        <v>100</v>
      </c>
      <c r="V40" s="3888" t="s">
        <v>13</v>
      </c>
      <c r="W40" s="3287">
        <f t="shared" si="14"/>
        <v>100</v>
      </c>
      <c r="X40" s="937"/>
      <c r="Y40" s="4400"/>
      <c r="Z40" s="935" t="str">
        <f t="shared" si="15"/>
        <v>市政基础设施</v>
      </c>
      <c r="AA40" s="935">
        <f t="shared" si="3"/>
        <v>1</v>
      </c>
      <c r="AB40" s="935">
        <f t="shared" si="4"/>
        <v>1</v>
      </c>
      <c r="AC40" s="1444">
        <f t="shared" si="5"/>
        <v>1</v>
      </c>
    </row>
    <row r="41" spans="1:29" ht="15">
      <c r="A41" s="281"/>
      <c r="B41" s="253" t="s">
        <v>1704</v>
      </c>
      <c r="C41" s="399" t="s">
        <v>3946</v>
      </c>
      <c r="D41" s="2997">
        <v>100</v>
      </c>
      <c r="E41" s="399" t="s">
        <v>3946</v>
      </c>
      <c r="F41" s="936">
        <f>SUMIF(119:119,E41,120:120)-SUMIF(119:119,C41,120:120)+100</f>
        <v>100</v>
      </c>
      <c r="G41" s="399" t="s">
        <v>3946</v>
      </c>
      <c r="H41" s="3904">
        <f>SUMIF(119:119,G41,120:120)-SUMIF(119:119,C41,120:120)+100</f>
        <v>100</v>
      </c>
      <c r="I41" s="399" t="s">
        <v>3946</v>
      </c>
      <c r="J41" s="3904">
        <f>SUMIF(119:119,I41,120:120)-SUMIF(119:119,C41,120:120)+100</f>
        <v>100</v>
      </c>
      <c r="K41" s="395">
        <v>2</v>
      </c>
      <c r="L41" s="2014"/>
      <c r="M41" s="2009"/>
      <c r="N41" s="2009"/>
      <c r="O41" s="2009"/>
      <c r="P41" s="4398"/>
      <c r="Q41" s="1534" t="str">
        <f t="shared" si="11"/>
        <v>层高</v>
      </c>
      <c r="R41" s="3888" t="s">
        <v>13</v>
      </c>
      <c r="S41" s="3287">
        <f t="shared" si="12"/>
        <v>100</v>
      </c>
      <c r="T41" s="3888" t="s">
        <v>13</v>
      </c>
      <c r="U41" s="3287">
        <f t="shared" si="13"/>
        <v>100</v>
      </c>
      <c r="V41" s="3888" t="s">
        <v>13</v>
      </c>
      <c r="W41" s="3287">
        <f t="shared" si="14"/>
        <v>100</v>
      </c>
      <c r="X41" s="937"/>
      <c r="Y41" s="4400"/>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398"/>
      <c r="Q42" s="2958" t="str">
        <f t="shared" si="11"/>
        <v>单套建筑面积</v>
      </c>
      <c r="R42" s="3889" t="s">
        <v>13</v>
      </c>
      <c r="S42" s="3288">
        <f t="shared" si="12"/>
        <v>100</v>
      </c>
      <c r="T42" s="3889" t="s">
        <v>13</v>
      </c>
      <c r="U42" s="3288">
        <f t="shared" si="13"/>
        <v>100</v>
      </c>
      <c r="V42" s="3889" t="s">
        <v>13</v>
      </c>
      <c r="W42" s="3288">
        <f t="shared" si="14"/>
        <v>100</v>
      </c>
      <c r="X42" s="485"/>
      <c r="Y42" s="4400"/>
      <c r="Z42" s="486" t="str">
        <f t="shared" si="15"/>
        <v>单套建筑面积</v>
      </c>
      <c r="AA42" s="935">
        <f t="shared" si="3"/>
        <v>1</v>
      </c>
      <c r="AB42" s="935">
        <f t="shared" si="4"/>
        <v>1</v>
      </c>
      <c r="AC42" s="1444">
        <f t="shared" si="5"/>
        <v>1</v>
      </c>
    </row>
    <row r="43" spans="1:29" ht="15">
      <c r="A43" s="281"/>
      <c r="B43" s="253" t="s">
        <v>1707</v>
      </c>
      <c r="C43" s="276" t="s">
        <v>3941</v>
      </c>
      <c r="D43" s="2997">
        <v>100</v>
      </c>
      <c r="E43" s="276" t="s">
        <v>3943</v>
      </c>
      <c r="F43" s="936">
        <f>SUMIF(123:123,E43,124:124)-SUMIF(123:123,C43,124:124)+100</f>
        <v>96</v>
      </c>
      <c r="G43" s="276" t="s">
        <v>3943</v>
      </c>
      <c r="H43" s="3904">
        <f>SUMIF(123:123,G43,124:124)-SUMIF(123:123,C43,124:124)+100</f>
        <v>96</v>
      </c>
      <c r="I43" s="276" t="s">
        <v>3943</v>
      </c>
      <c r="J43" s="3904">
        <f>SUMIF(123:123,I43,124:124)-SUMIF(123:123,C43,124:124)+100</f>
        <v>96</v>
      </c>
      <c r="K43" s="395">
        <v>2</v>
      </c>
      <c r="L43" s="2014"/>
      <c r="M43" s="2009"/>
      <c r="N43" s="2009"/>
      <c r="O43" s="2009"/>
      <c r="P43" s="4398"/>
      <c r="Q43" s="1534" t="str">
        <f t="shared" si="11"/>
        <v>内部装修</v>
      </c>
      <c r="R43" s="3888" t="s">
        <v>13</v>
      </c>
      <c r="S43" s="3287">
        <f t="shared" si="12"/>
        <v>96</v>
      </c>
      <c r="T43" s="3888" t="s">
        <v>13</v>
      </c>
      <c r="U43" s="3287">
        <f t="shared" si="13"/>
        <v>96</v>
      </c>
      <c r="V43" s="3888" t="s">
        <v>13</v>
      </c>
      <c r="W43" s="3287">
        <f t="shared" si="14"/>
        <v>96</v>
      </c>
      <c r="X43" s="937"/>
      <c r="Y43" s="4400"/>
      <c r="Z43" s="935" t="str">
        <f t="shared" si="15"/>
        <v>内部装修</v>
      </c>
      <c r="AA43" s="935">
        <f t="shared" si="3"/>
        <v>1.0416666666666667</v>
      </c>
      <c r="AB43" s="935">
        <f t="shared" si="4"/>
        <v>1.0416666666666667</v>
      </c>
      <c r="AC43" s="1444">
        <f t="shared" si="5"/>
        <v>1.0416666666666667</v>
      </c>
    </row>
    <row r="44" spans="1:29" ht="28.8">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398"/>
      <c r="Q44" s="1534" t="str">
        <f t="shared" si="11"/>
        <v>内部装修维护情况</v>
      </c>
      <c r="R44" s="3888" t="s">
        <v>13</v>
      </c>
      <c r="S44" s="3287">
        <f t="shared" si="12"/>
        <v>100</v>
      </c>
      <c r="T44" s="3888" t="s">
        <v>13</v>
      </c>
      <c r="U44" s="3287">
        <f t="shared" si="13"/>
        <v>100</v>
      </c>
      <c r="V44" s="3888" t="s">
        <v>13</v>
      </c>
      <c r="W44" s="3287">
        <f t="shared" si="14"/>
        <v>100</v>
      </c>
      <c r="X44" s="937"/>
      <c r="Y44" s="4400"/>
      <c r="Z44" s="935" t="str">
        <f t="shared" si="15"/>
        <v>内部装修维护情况</v>
      </c>
      <c r="AA44" s="935">
        <f t="shared" si="3"/>
        <v>1</v>
      </c>
      <c r="AB44" s="935">
        <f t="shared" si="4"/>
        <v>1</v>
      </c>
      <c r="AC44" s="1444">
        <f t="shared" si="5"/>
        <v>1</v>
      </c>
    </row>
    <row r="45" spans="1:29" s="46" customFormat="1" ht="15">
      <c r="A45" s="282"/>
      <c r="B45" s="4170" t="s">
        <v>3983</v>
      </c>
      <c r="C45" s="259" t="s">
        <v>3986</v>
      </c>
      <c r="D45" s="2995">
        <v>100</v>
      </c>
      <c r="E45" s="259" t="s">
        <v>3947</v>
      </c>
      <c r="F45" s="253">
        <f>SUMIF(127:127,E45,128:128)-SUMIF(127:127,C45,128:128)+100</f>
        <v>118</v>
      </c>
      <c r="G45" s="259" t="s">
        <v>3947</v>
      </c>
      <c r="H45" s="423">
        <f>SUMIF(127:127,G45,128:128)-SUMIF(127:127,C45,128:128)+100</f>
        <v>118</v>
      </c>
      <c r="I45" s="259" t="s">
        <v>3988</v>
      </c>
      <c r="J45" s="423">
        <f>SUMIF(127:127,I45,128:128)-SUMIF(127:127,C45,128:128)+100</f>
        <v>106</v>
      </c>
      <c r="K45" s="396"/>
      <c r="L45" s="2010"/>
      <c r="M45" s="1963"/>
      <c r="N45" s="1963"/>
      <c r="O45" s="1963"/>
      <c r="P45" s="4398"/>
      <c r="Q45" s="1732" t="str">
        <f t="shared" si="11"/>
        <v>地下占比</v>
      </c>
      <c r="R45" s="3787" t="s">
        <v>13</v>
      </c>
      <c r="S45" s="3286">
        <f t="shared" si="12"/>
        <v>118</v>
      </c>
      <c r="T45" s="3787" t="s">
        <v>13</v>
      </c>
      <c r="U45" s="3286">
        <f t="shared" si="13"/>
        <v>118</v>
      </c>
      <c r="V45" s="3787" t="s">
        <v>13</v>
      </c>
      <c r="W45" s="3286">
        <f t="shared" si="14"/>
        <v>106</v>
      </c>
      <c r="X45" s="483"/>
      <c r="Y45" s="4400"/>
      <c r="Z45" s="28" t="str">
        <f t="shared" si="15"/>
        <v>地下占比</v>
      </c>
      <c r="AA45" s="28">
        <f t="shared" si="3"/>
        <v>0.84745762711864403</v>
      </c>
      <c r="AB45" s="28">
        <f t="shared" si="4"/>
        <v>0.84745762711864403</v>
      </c>
      <c r="AC45" s="564">
        <f t="shared" si="5"/>
        <v>0.94339622641509435</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398"/>
      <c r="Q46" s="1534">
        <f t="shared" si="11"/>
        <v>111</v>
      </c>
      <c r="R46" s="3888" t="s">
        <v>13</v>
      </c>
      <c r="S46" s="3287">
        <f t="shared" si="12"/>
        <v>100</v>
      </c>
      <c r="T46" s="3888" t="s">
        <v>13</v>
      </c>
      <c r="U46" s="3287">
        <f t="shared" si="13"/>
        <v>100</v>
      </c>
      <c r="V46" s="3888" t="s">
        <v>13</v>
      </c>
      <c r="W46" s="3287">
        <f t="shared" si="14"/>
        <v>100</v>
      </c>
      <c r="X46" s="937"/>
      <c r="Y46" s="4400"/>
      <c r="Z46" s="935">
        <f t="shared" si="15"/>
        <v>111</v>
      </c>
      <c r="AA46" s="935">
        <f t="shared" si="3"/>
        <v>1</v>
      </c>
      <c r="AB46" s="935">
        <f t="shared" si="4"/>
        <v>1</v>
      </c>
      <c r="AC46" s="1444">
        <f t="shared" si="5"/>
        <v>1</v>
      </c>
    </row>
    <row r="47" spans="1:29" ht="15.6"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399"/>
      <c r="Q47" s="1534">
        <f t="shared" si="11"/>
        <v>111</v>
      </c>
      <c r="R47" s="3888" t="s">
        <v>13</v>
      </c>
      <c r="S47" s="3287">
        <f t="shared" si="12"/>
        <v>100</v>
      </c>
      <c r="T47" s="3888" t="s">
        <v>13</v>
      </c>
      <c r="U47" s="3287">
        <f t="shared" si="13"/>
        <v>100</v>
      </c>
      <c r="V47" s="3888" t="s">
        <v>13</v>
      </c>
      <c r="W47" s="3287">
        <f t="shared" si="14"/>
        <v>100</v>
      </c>
      <c r="X47" s="937"/>
      <c r="Y47" s="4401"/>
      <c r="Z47" s="935">
        <f t="shared" si="15"/>
        <v>111</v>
      </c>
      <c r="AA47" s="935">
        <f t="shared" si="3"/>
        <v>1</v>
      </c>
      <c r="AB47" s="935">
        <f t="shared" si="4"/>
        <v>1</v>
      </c>
      <c r="AC47" s="1444">
        <f t="shared" si="5"/>
        <v>1</v>
      </c>
    </row>
    <row r="48" spans="1:29" ht="14.4">
      <c r="A48" s="287" t="s">
        <v>1623</v>
      </c>
      <c r="B48" s="288"/>
      <c r="C48" s="789" t="s">
        <v>0</v>
      </c>
      <c r="D48" s="289"/>
      <c r="E48" s="3344">
        <v>45000</v>
      </c>
      <c r="F48" s="3283"/>
      <c r="G48" s="3345">
        <v>38000</v>
      </c>
      <c r="H48" s="3284"/>
      <c r="I48" s="3344">
        <v>37700</v>
      </c>
      <c r="J48" s="3284"/>
      <c r="K48" s="2956"/>
      <c r="L48" s="2016"/>
      <c r="M48" s="2009"/>
      <c r="N48" s="2009"/>
      <c r="O48" s="2009"/>
      <c r="P48" s="4387" t="str">
        <f>A48</f>
        <v>成交单价（元/平方米）</v>
      </c>
      <c r="Q48" s="4388"/>
      <c r="R48" s="4389">
        <f>E48</f>
        <v>45000</v>
      </c>
      <c r="S48" s="4389"/>
      <c r="T48" s="4389">
        <f>G48</f>
        <v>38000</v>
      </c>
      <c r="U48" s="4389"/>
      <c r="V48" s="4389">
        <f>I48</f>
        <v>37700</v>
      </c>
      <c r="W48" s="4389"/>
      <c r="X48" s="266"/>
      <c r="Y48" s="487"/>
      <c r="Z48" s="266"/>
      <c r="AA48" s="266"/>
      <c r="AB48" s="266"/>
      <c r="AC48" s="405"/>
    </row>
    <row r="49" spans="1:36" ht="15" thickBot="1">
      <c r="A49" s="290" t="s">
        <v>1708</v>
      </c>
      <c r="B49" s="291"/>
      <c r="C49" s="3886">
        <f>R50</f>
        <v>33981</v>
      </c>
      <c r="D49" s="4005" t="s">
        <v>2050</v>
      </c>
      <c r="E49" s="3897">
        <f>R49</f>
        <v>37437</v>
      </c>
      <c r="F49" s="2895"/>
      <c r="G49" s="3886">
        <f>T49</f>
        <v>32887</v>
      </c>
      <c r="H49" s="2895"/>
      <c r="I49" s="3897">
        <f>V49</f>
        <v>31619</v>
      </c>
      <c r="J49" s="2895"/>
      <c r="K49" s="2949">
        <f>F49+H49+J49</f>
        <v>0</v>
      </c>
      <c r="L49" s="2016"/>
      <c r="M49" s="2009"/>
      <c r="N49" s="2009"/>
      <c r="O49" s="2009"/>
      <c r="P49" s="4387" t="str">
        <f>A49</f>
        <v>比较价值（元/平方米）</v>
      </c>
      <c r="Q49" s="4388"/>
      <c r="R49" s="4389">
        <f>IF(F1="售价",ROUND(PRODUCT(R48,AA7:AA47),0),ROUND(PRODUCT(R48,AA7:AA47),1))</f>
        <v>37437</v>
      </c>
      <c r="S49" s="4389"/>
      <c r="T49" s="4389">
        <f>IF(F1="售价",ROUND(PRODUCT(T48,AB7:AB47),0),ROUND(PRODUCT(T48,AB7:AB47),1))</f>
        <v>32887</v>
      </c>
      <c r="U49" s="4389"/>
      <c r="V49" s="4389">
        <f>IF(F1="售价",ROUND(PRODUCT(V48,AC7:AC47),0),ROUND(PRODUCT(V48,AC7:AC47),1))</f>
        <v>31619</v>
      </c>
      <c r="W49" s="4389"/>
      <c r="X49" s="266"/>
      <c r="Y49" s="266"/>
      <c r="Z49" s="266"/>
      <c r="AA49" s="266"/>
      <c r="AB49" s="266"/>
      <c r="AC49" s="405"/>
    </row>
    <row r="50" spans="1:36" ht="15" thickBot="1">
      <c r="A50" s="292" t="s">
        <v>1709</v>
      </c>
      <c r="B50" s="293"/>
      <c r="C50" s="3898">
        <f>R50</f>
        <v>33981</v>
      </c>
      <c r="D50" s="242"/>
      <c r="E50" s="242"/>
      <c r="F50" s="242"/>
      <c r="G50" s="242"/>
      <c r="H50" s="242"/>
      <c r="I50" s="242"/>
      <c r="J50" s="294"/>
      <c r="K50" s="488"/>
      <c r="L50" s="2016"/>
      <c r="M50" s="2009"/>
      <c r="N50" s="2009"/>
      <c r="O50" s="2009"/>
      <c r="P50" s="4390" t="str">
        <f>A50</f>
        <v>估价对象XX用房的比较价值（楼面单价，元/平方米）</v>
      </c>
      <c r="Q50" s="4391"/>
      <c r="R50" s="4392">
        <f>IF(F1="售价",ROUND(IF(D49="简单平均",AVERAGE(R49:V49),R49*F49+T49*H49+V49*J49),0),ROUND(IF(D49="简单平均",AVERAGE(R49:V49),R49*F49+T49*H49+V49*J49),1))</f>
        <v>33981</v>
      </c>
      <c r="S50" s="4392"/>
      <c r="T50" s="4392"/>
      <c r="U50" s="4392"/>
      <c r="V50" s="4392"/>
      <c r="W50" s="4392"/>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0.20201939257953372</v>
      </c>
      <c r="F53" s="300" t="str">
        <f>IF(OR(E53&gt;=0.3,E53&lt;=-0.3),"超过30%","")</f>
        <v/>
      </c>
      <c r="G53" s="299">
        <f>IF(G48&lt;G49,G49/G48-1,G48/G49-1)</f>
        <v>0.15547176695958886</v>
      </c>
      <c r="H53" s="300" t="str">
        <f>IF(OR(G53&gt;=0.3,G53&lt;=-0.3),"超过30%","")</f>
        <v/>
      </c>
      <c r="I53" s="299">
        <f>IF(I48&lt;I49,I49/I48-1,I48/I49-1)</f>
        <v>0.19232107277270005</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f>IF(E49&lt;G49,G49/E49-1,E49/G49-1)</f>
        <v>0.13835254051752965</v>
      </c>
      <c r="F54" s="300" t="str">
        <f>IF(OR(E54&gt;=0.2,E54&lt;=-0.2),"超过20%","")</f>
        <v/>
      </c>
      <c r="G54" s="299">
        <f>IF(G49&lt;I49,I49/G49-1,G49/I49-1)</f>
        <v>4.0102470033840376E-2</v>
      </c>
      <c r="H54" s="300" t="str">
        <f>IF(OR(G54&gt;=0.2,G54&lt;=-0.2),"超过20%","")</f>
        <v/>
      </c>
      <c r="I54" s="299">
        <f>IF(I49&lt;E49,E49/I49-1,I49/E49-1)</f>
        <v>0.18400328916158015</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0.18421052631578938</v>
      </c>
      <c r="F55" s="300" t="str">
        <f>IF(OR(E55&gt;=0.3,E55&lt;=-0.3),"超过30%","")</f>
        <v/>
      </c>
      <c r="G55" s="299">
        <f>IF(G48&lt;I48,I48/G48-1,G48/I48-1)</f>
        <v>7.9575596816976457E-3</v>
      </c>
      <c r="H55" s="300" t="str">
        <f>IF(OR(G55&gt;=0.3,G55&lt;=-0.3),"超过30%","")</f>
        <v/>
      </c>
      <c r="I55" s="299">
        <f>IF(I48&lt;E48,E48/I48-1,I48/E48-1)</f>
        <v>0.19363395225464197</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2.2"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4.4">
      <c r="A59" s="304" t="s">
        <v>1594</v>
      </c>
      <c r="B59" s="305"/>
      <c r="C59" s="805" t="str">
        <f>YEAR(C7)&amp;"-"&amp;MONTH(C7)</f>
        <v>2026-1</v>
      </c>
      <c r="D59" s="806">
        <f>EDATE(C59,-1)</f>
        <v>45992</v>
      </c>
      <c r="E59" s="806">
        <f>EDATE(D59,-1)</f>
        <v>45962</v>
      </c>
      <c r="F59" s="806">
        <f t="shared" ref="F59:O59" si="16">EDATE(E59,-1)</f>
        <v>45931</v>
      </c>
      <c r="G59" s="806">
        <f t="shared" si="16"/>
        <v>45901</v>
      </c>
      <c r="H59" s="806">
        <f t="shared" si="16"/>
        <v>45870</v>
      </c>
      <c r="I59" s="806">
        <f t="shared" si="16"/>
        <v>45839</v>
      </c>
      <c r="J59" s="806">
        <f t="shared" si="16"/>
        <v>45809</v>
      </c>
      <c r="K59" s="806">
        <f t="shared" si="16"/>
        <v>45778</v>
      </c>
      <c r="L59" s="806">
        <f t="shared" si="16"/>
        <v>45748</v>
      </c>
      <c r="M59" s="806">
        <f t="shared" si="16"/>
        <v>45717</v>
      </c>
      <c r="N59" s="806">
        <f t="shared" si="16"/>
        <v>45689</v>
      </c>
      <c r="O59" s="806">
        <f t="shared" si="16"/>
        <v>45658</v>
      </c>
      <c r="P59" s="4168">
        <f t="shared" ref="P59" si="17">EDATE(O59,-1)</f>
        <v>45627</v>
      </c>
      <c r="Q59" s="4168">
        <f t="shared" ref="Q59" si="18">EDATE(P59,-1)</f>
        <v>45597</v>
      </c>
      <c r="R59" s="4168">
        <f t="shared" ref="R59" si="19">EDATE(Q59,-1)</f>
        <v>45566</v>
      </c>
      <c r="S59" s="4168">
        <f t="shared" ref="S59" si="20">EDATE(R59,-1)</f>
        <v>45536</v>
      </c>
      <c r="T59" s="4168">
        <f t="shared" ref="T59" si="21">EDATE(S59,-1)</f>
        <v>45505</v>
      </c>
      <c r="U59" s="4168">
        <f t="shared" ref="U59" si="22">EDATE(T59,-1)</f>
        <v>45474</v>
      </c>
      <c r="V59" s="4168">
        <f t="shared" ref="V59" si="23">EDATE(U59,-1)</f>
        <v>45444</v>
      </c>
      <c r="W59" s="4168">
        <f t="shared" ref="W59" si="24">EDATE(V59,-1)</f>
        <v>45413</v>
      </c>
      <c r="X59" s="4168">
        <f t="shared" ref="X59" si="25">EDATE(W59,-1)</f>
        <v>45383</v>
      </c>
      <c r="Y59" s="4168">
        <f t="shared" ref="Y59" si="26">EDATE(X59,-1)</f>
        <v>45352</v>
      </c>
      <c r="Z59" s="4168">
        <f t="shared" ref="Z59" si="27">EDATE(Y59,-1)</f>
        <v>45323</v>
      </c>
      <c r="AA59" s="4168">
        <f t="shared" ref="AA59" si="28">EDATE(Z59,-1)</f>
        <v>45292</v>
      </c>
      <c r="AB59" s="4168">
        <f t="shared" ref="AB59" si="29">EDATE(AA59,-1)</f>
        <v>45261</v>
      </c>
      <c r="AC59" s="4168">
        <f t="shared" ref="AC59" si="30">EDATE(AB59,-1)</f>
        <v>45231</v>
      </c>
      <c r="AD59" s="4168">
        <f t="shared" ref="AD59" si="31">EDATE(AC59,-1)</f>
        <v>45200</v>
      </c>
      <c r="AE59" s="4168">
        <f t="shared" ref="AE59" si="32">EDATE(AD59,-1)</f>
        <v>45170</v>
      </c>
      <c r="AF59" s="4168">
        <f t="shared" ref="AF59" si="33">EDATE(AE59,-1)</f>
        <v>45139</v>
      </c>
      <c r="AG59" s="4168">
        <f t="shared" ref="AG59" si="34">EDATE(AF59,-1)</f>
        <v>45108</v>
      </c>
      <c r="AH59" s="4168">
        <f t="shared" ref="AH59" si="35">EDATE(AG59,-1)</f>
        <v>45078</v>
      </c>
      <c r="AI59" s="4168">
        <f t="shared" ref="AI59" si="36">EDATE(AH59,-1)</f>
        <v>45047</v>
      </c>
      <c r="AJ59" s="4168">
        <f t="shared" ref="AJ59" si="37">EDATE(AI59,-1)</f>
        <v>45017</v>
      </c>
    </row>
    <row r="60" spans="1:36" s="46" customFormat="1">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310">
        <v>100</v>
      </c>
      <c r="AJ60" s="310">
        <v>100</v>
      </c>
    </row>
    <row r="61" spans="1:36" s="46" customFormat="1" ht="1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4.4">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4.4"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ht="14.4">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4.4" thickBot="1">
      <c r="A65" s="255"/>
      <c r="B65" s="329"/>
      <c r="C65" s="330">
        <v>100</v>
      </c>
      <c r="D65" s="330">
        <v>110</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9.4" thickTop="1">
      <c r="A66" s="255"/>
      <c r="B66" s="332" t="s">
        <v>1603</v>
      </c>
      <c r="C66" s="373" t="s">
        <v>3929</v>
      </c>
      <c r="D66" s="373" t="s">
        <v>3930</v>
      </c>
      <c r="E66" s="373" t="s">
        <v>3931</v>
      </c>
      <c r="F66" s="373" t="s">
        <v>3928</v>
      </c>
      <c r="G66" s="373" t="s">
        <v>3932</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 thickBot="1">
      <c r="A67" s="255"/>
      <c r="B67" s="337" t="s">
        <v>3902</v>
      </c>
      <c r="C67" s="330">
        <v>100</v>
      </c>
      <c r="D67" s="330">
        <f>C67+2</f>
        <v>102</v>
      </c>
      <c r="E67" s="330">
        <f t="shared" ref="E67:G67" si="38">D67+2</f>
        <v>104</v>
      </c>
      <c r="F67" s="330">
        <f t="shared" si="38"/>
        <v>106</v>
      </c>
      <c r="G67" s="330">
        <f t="shared" si="38"/>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 thickTop="1">
      <c r="A68" s="255"/>
      <c r="B68" s="340" t="s">
        <v>1604</v>
      </c>
      <c r="C68" s="341" t="str">
        <f>C69&amp;"（含）"&amp;"-"&amp;D69</f>
        <v>0（含）-3</v>
      </c>
      <c r="D68" s="341" t="str">
        <f t="shared" ref="D68:L68" si="39">D69&amp;"（含）"&amp;"-"&amp;E69</f>
        <v>3（含）-</v>
      </c>
      <c r="E68" s="341" t="str">
        <f t="shared" si="39"/>
        <v>（含）-</v>
      </c>
      <c r="F68" s="341" t="str">
        <f t="shared" si="39"/>
        <v>（含）-</v>
      </c>
      <c r="G68" s="341" t="str">
        <f t="shared" si="39"/>
        <v>（含）-</v>
      </c>
      <c r="H68" s="341" t="str">
        <f t="shared" si="39"/>
        <v>（含）-</v>
      </c>
      <c r="I68" s="341" t="str">
        <f t="shared" si="39"/>
        <v>（含）-</v>
      </c>
      <c r="J68" s="341" t="str">
        <f t="shared" si="39"/>
        <v>（含）-</v>
      </c>
      <c r="K68" s="341" t="str">
        <f t="shared" si="39"/>
        <v>（含）-</v>
      </c>
      <c r="L68" s="341" t="str">
        <f t="shared" si="39"/>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4.4" thickBot="1">
      <c r="A70" s="255"/>
      <c r="B70" s="329"/>
      <c r="C70" s="338">
        <v>100</v>
      </c>
      <c r="D70" s="338">
        <f t="shared" ref="D70:M70" si="40">C70-$K11</f>
        <v>100</v>
      </c>
      <c r="E70" s="338">
        <f t="shared" si="40"/>
        <v>100</v>
      </c>
      <c r="F70" s="338">
        <f t="shared" si="40"/>
        <v>100</v>
      </c>
      <c r="G70" s="338">
        <f t="shared" si="40"/>
        <v>100</v>
      </c>
      <c r="H70" s="338">
        <f t="shared" si="40"/>
        <v>100</v>
      </c>
      <c r="I70" s="338">
        <f t="shared" si="40"/>
        <v>100</v>
      </c>
      <c r="J70" s="338">
        <f t="shared" si="40"/>
        <v>100</v>
      </c>
      <c r="K70" s="338">
        <f t="shared" si="40"/>
        <v>100</v>
      </c>
      <c r="L70" s="338">
        <f t="shared" si="40"/>
        <v>100</v>
      </c>
      <c r="M70" s="339">
        <f t="shared" si="40"/>
        <v>100</v>
      </c>
      <c r="N70" s="2044"/>
      <c r="O70" s="2044"/>
      <c r="P70" s="2052"/>
      <c r="Q70" s="2030"/>
      <c r="R70" s="2009"/>
      <c r="S70" s="2009"/>
      <c r="T70" s="2009"/>
      <c r="U70" s="2009"/>
      <c r="V70" s="2009"/>
      <c r="W70" s="2009"/>
      <c r="X70" s="2009"/>
      <c r="Y70" s="2009"/>
      <c r="Z70" s="2009"/>
      <c r="AA70" s="2009"/>
      <c r="AB70" s="2009"/>
      <c r="AC70" s="2009"/>
    </row>
    <row r="71" spans="1:29" s="280" customFormat="1" ht="14.4"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4.4"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4.4"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4.4"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4.4"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4.4"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ht="14.4">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4.4" thickBot="1">
      <c r="A78" s="255"/>
      <c r="B78" s="337"/>
      <c r="C78" s="338">
        <v>100</v>
      </c>
      <c r="D78" s="338">
        <f>C78-$K15</f>
        <v>97</v>
      </c>
      <c r="E78" s="338">
        <f>D78-$K15</f>
        <v>94</v>
      </c>
      <c r="F78" s="338">
        <f>E78-$K15</f>
        <v>91</v>
      </c>
      <c r="G78" s="338">
        <f>F78-$K15</f>
        <v>88</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4.4" thickBot="1">
      <c r="A82" s="255"/>
      <c r="B82" s="337"/>
      <c r="C82" s="338">
        <v>100</v>
      </c>
      <c r="D82" s="338">
        <f>C82-$K19</f>
        <v>98</v>
      </c>
      <c r="E82" s="338">
        <f>D82-$K19</f>
        <v>96</v>
      </c>
      <c r="F82" s="338">
        <f>E82-$K19</f>
        <v>94</v>
      </c>
      <c r="G82" s="338">
        <f>F82-$K19</f>
        <v>92</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4.4"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4.4"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9.4" thickTop="1">
      <c r="A87" s="258"/>
      <c r="B87" s="332" t="s">
        <v>1738</v>
      </c>
      <c r="C87" s="348" t="s">
        <v>3933</v>
      </c>
      <c r="D87" s="348" t="s">
        <v>3934</v>
      </c>
      <c r="E87" s="348" t="s">
        <v>3935</v>
      </c>
      <c r="F87" s="348" t="s">
        <v>3936</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4.4" thickBot="1">
      <c r="A88" s="258"/>
      <c r="B88" s="337"/>
      <c r="C88" s="372">
        <v>100</v>
      </c>
      <c r="D88" s="338">
        <f t="shared" ref="D88:M88" si="41">C88-$K25</f>
        <v>100</v>
      </c>
      <c r="E88" s="338">
        <f t="shared" si="41"/>
        <v>100</v>
      </c>
      <c r="F88" s="338">
        <f t="shared" si="41"/>
        <v>100</v>
      </c>
      <c r="G88" s="338">
        <f t="shared" si="41"/>
        <v>100</v>
      </c>
      <c r="H88" s="338">
        <f t="shared" si="41"/>
        <v>100</v>
      </c>
      <c r="I88" s="338">
        <f t="shared" si="41"/>
        <v>100</v>
      </c>
      <c r="J88" s="338">
        <f t="shared" si="41"/>
        <v>100</v>
      </c>
      <c r="K88" s="338">
        <f t="shared" si="41"/>
        <v>100</v>
      </c>
      <c r="L88" s="338">
        <f t="shared" si="41"/>
        <v>100</v>
      </c>
      <c r="M88" s="338">
        <f t="shared" si="41"/>
        <v>100</v>
      </c>
      <c r="N88" s="2044"/>
      <c r="O88" s="2044"/>
      <c r="P88" s="2052"/>
      <c r="Q88" s="2030"/>
      <c r="R88" s="1963"/>
      <c r="S88" s="1963"/>
      <c r="T88" s="1963"/>
      <c r="U88" s="1963"/>
      <c r="V88" s="1963"/>
      <c r="W88" s="1963"/>
      <c r="X88" s="1963"/>
      <c r="Y88" s="1963"/>
      <c r="Z88" s="1963"/>
      <c r="AA88" s="1963"/>
      <c r="AB88" s="1963"/>
      <c r="AC88" s="1963"/>
    </row>
    <row r="89" spans="1:29" s="46" customFormat="1" ht="14.4"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4.4" thickBot="1">
      <c r="A90" s="258"/>
      <c r="B90" s="337"/>
      <c r="C90" s="372">
        <v>100</v>
      </c>
      <c r="D90" s="338">
        <f>C90-$K27</f>
        <v>100</v>
      </c>
      <c r="E90" s="338">
        <f t="shared" ref="E90:M90" si="42">D90-$K27</f>
        <v>100</v>
      </c>
      <c r="F90" s="338">
        <f t="shared" si="42"/>
        <v>100</v>
      </c>
      <c r="G90" s="338">
        <f t="shared" si="42"/>
        <v>100</v>
      </c>
      <c r="H90" s="338">
        <f t="shared" si="42"/>
        <v>100</v>
      </c>
      <c r="I90" s="338">
        <f t="shared" si="42"/>
        <v>100</v>
      </c>
      <c r="J90" s="338">
        <f t="shared" si="42"/>
        <v>100</v>
      </c>
      <c r="K90" s="338">
        <f t="shared" si="42"/>
        <v>100</v>
      </c>
      <c r="L90" s="338">
        <f t="shared" si="42"/>
        <v>100</v>
      </c>
      <c r="M90" s="338">
        <f t="shared" si="42"/>
        <v>100</v>
      </c>
      <c r="N90" s="2044"/>
      <c r="O90" s="2044"/>
      <c r="P90" s="2052"/>
      <c r="Q90" s="2030"/>
      <c r="R90" s="1963"/>
      <c r="S90" s="1963"/>
      <c r="T90" s="1963"/>
      <c r="U90" s="1963"/>
      <c r="V90" s="1963"/>
      <c r="W90" s="1963"/>
      <c r="X90" s="1963"/>
      <c r="Y90" s="1963"/>
      <c r="Z90" s="1963"/>
      <c r="AA90" s="1963"/>
      <c r="AB90" s="1963"/>
      <c r="AC90" s="1963"/>
    </row>
    <row r="91" spans="1:29" s="280" customFormat="1" ht="14.4"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72">
        <v>100</v>
      </c>
      <c r="D92" s="338">
        <f t="shared" ref="D92:M92" si="43">C92-$K28</f>
        <v>100</v>
      </c>
      <c r="E92" s="338">
        <f t="shared" si="43"/>
        <v>100</v>
      </c>
      <c r="F92" s="338">
        <f t="shared" si="43"/>
        <v>100</v>
      </c>
      <c r="G92" s="338">
        <f t="shared" si="43"/>
        <v>100</v>
      </c>
      <c r="H92" s="338">
        <f t="shared" si="43"/>
        <v>100</v>
      </c>
      <c r="I92" s="338">
        <f t="shared" si="43"/>
        <v>100</v>
      </c>
      <c r="J92" s="338">
        <f t="shared" si="43"/>
        <v>100</v>
      </c>
      <c r="K92" s="338">
        <f t="shared" si="43"/>
        <v>100</v>
      </c>
      <c r="L92" s="338">
        <f t="shared" si="43"/>
        <v>100</v>
      </c>
      <c r="M92" s="338">
        <f t="shared" si="43"/>
        <v>100</v>
      </c>
      <c r="N92" s="2045"/>
      <c r="O92" s="2045"/>
      <c r="P92" s="2053"/>
      <c r="Q92" s="2037"/>
      <c r="R92" s="2015"/>
      <c r="S92" s="2015"/>
      <c r="T92" s="2015"/>
      <c r="U92" s="2015"/>
      <c r="V92" s="2015"/>
      <c r="W92" s="2015"/>
      <c r="X92" s="2015"/>
      <c r="Y92" s="2015"/>
      <c r="Z92" s="2015"/>
      <c r="AA92" s="2015"/>
      <c r="AB92" s="2015"/>
      <c r="AC92" s="2015"/>
    </row>
    <row r="93" spans="1:29" ht="14.4"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4.4"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4.4"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4.4"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4.4"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4.4"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ht="14.4">
      <c r="A101" s="263" t="s">
        <v>1609</v>
      </c>
      <c r="B101" s="323" t="s">
        <v>1651</v>
      </c>
      <c r="C101" s="325" t="s">
        <v>3937</v>
      </c>
      <c r="D101" s="325" t="s">
        <v>3938</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38">
        <v>100</v>
      </c>
      <c r="D102" s="338">
        <f t="shared" ref="D102:M102" si="44">C102-$K33</f>
        <v>97</v>
      </c>
      <c r="E102" s="338">
        <f t="shared" si="44"/>
        <v>94</v>
      </c>
      <c r="F102" s="338">
        <f t="shared" si="44"/>
        <v>91</v>
      </c>
      <c r="G102" s="338">
        <f t="shared" si="44"/>
        <v>88</v>
      </c>
      <c r="H102" s="338">
        <f t="shared" si="44"/>
        <v>85</v>
      </c>
      <c r="I102" s="338">
        <f t="shared" si="44"/>
        <v>82</v>
      </c>
      <c r="J102" s="338">
        <f t="shared" si="44"/>
        <v>79</v>
      </c>
      <c r="K102" s="338">
        <f t="shared" si="44"/>
        <v>76</v>
      </c>
      <c r="L102" s="338">
        <f t="shared" si="44"/>
        <v>73</v>
      </c>
      <c r="M102" s="339">
        <f t="shared" si="44"/>
        <v>70</v>
      </c>
      <c r="N102" s="2044"/>
      <c r="O102" s="2044"/>
      <c r="P102" s="2052"/>
      <c r="Q102" s="2030"/>
      <c r="R102" s="2009"/>
      <c r="S102" s="2009"/>
      <c r="T102" s="2009"/>
      <c r="U102" s="2009"/>
      <c r="V102" s="2009"/>
      <c r="W102" s="2009"/>
      <c r="X102" s="2009"/>
      <c r="Y102" s="2009"/>
      <c r="Z102" s="2009"/>
      <c r="AA102" s="2009"/>
      <c r="AB102" s="2009"/>
      <c r="AC102" s="2009"/>
    </row>
    <row r="103" spans="1:29" ht="28.2" thickTop="1">
      <c r="A103" s="255"/>
      <c r="B103" s="332" t="s">
        <v>1652</v>
      </c>
      <c r="C103" s="369" t="str">
        <f>C104&amp;"(含)"&amp;"-"&amp;D104</f>
        <v>0(含)-5000</v>
      </c>
      <c r="D103" s="369" t="str">
        <f t="shared" ref="D103:L103" si="45">D104&amp;"(含)"&amp;"-"&amp;E104</f>
        <v>5000(含)-10000</v>
      </c>
      <c r="E103" s="369" t="str">
        <f t="shared" si="45"/>
        <v>10000(含)-30000</v>
      </c>
      <c r="F103" s="369" t="str">
        <f t="shared" si="45"/>
        <v>30000(含)-</v>
      </c>
      <c r="G103" s="369" t="str">
        <f t="shared" si="45"/>
        <v>(含)-</v>
      </c>
      <c r="H103" s="369" t="str">
        <f t="shared" si="45"/>
        <v>(含)-</v>
      </c>
      <c r="I103" s="369" t="str">
        <f t="shared" si="45"/>
        <v>(含)-</v>
      </c>
      <c r="J103" s="369" t="str">
        <f t="shared" si="45"/>
        <v>(含)-</v>
      </c>
      <c r="K103" s="369" t="str">
        <f t="shared" si="45"/>
        <v>(含)-</v>
      </c>
      <c r="L103" s="369" t="str">
        <f t="shared" si="45"/>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4.4" thickBot="1">
      <c r="A105" s="347"/>
      <c r="B105" s="337"/>
      <c r="C105" s="353">
        <v>100</v>
      </c>
      <c r="D105" s="330">
        <f>C105+1</f>
        <v>101</v>
      </c>
      <c r="E105" s="330">
        <f t="shared" ref="E105:F105" si="46">D105+1</f>
        <v>102</v>
      </c>
      <c r="F105" s="330">
        <f t="shared" si="46"/>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3939</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4.4" thickBot="1">
      <c r="A107" s="255"/>
      <c r="B107" s="337"/>
      <c r="C107" s="338">
        <v>100</v>
      </c>
      <c r="D107" s="338">
        <f t="shared" ref="D107:M107" si="47">C107-$K35</f>
        <v>98</v>
      </c>
      <c r="E107" s="338">
        <f t="shared" si="47"/>
        <v>96</v>
      </c>
      <c r="F107" s="338">
        <f t="shared" si="47"/>
        <v>94</v>
      </c>
      <c r="G107" s="338">
        <f t="shared" si="47"/>
        <v>92</v>
      </c>
      <c r="H107" s="338">
        <f t="shared" si="47"/>
        <v>90</v>
      </c>
      <c r="I107" s="338">
        <f t="shared" si="47"/>
        <v>88</v>
      </c>
      <c r="J107" s="338">
        <f t="shared" si="47"/>
        <v>86</v>
      </c>
      <c r="K107" s="338">
        <f t="shared" si="47"/>
        <v>84</v>
      </c>
      <c r="L107" s="338">
        <f t="shared" si="47"/>
        <v>82</v>
      </c>
      <c r="M107" s="339">
        <f t="shared" si="47"/>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3940</v>
      </c>
      <c r="D108" s="348" t="s">
        <v>3941</v>
      </c>
      <c r="E108" s="348" t="s">
        <v>3942</v>
      </c>
      <c r="F108" s="373" t="s">
        <v>3943</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4.4" thickBot="1">
      <c r="A109" s="255"/>
      <c r="B109" s="337"/>
      <c r="C109" s="338">
        <v>100</v>
      </c>
      <c r="D109" s="338">
        <f t="shared" ref="D109:M109" si="48">C109-$K36</f>
        <v>100</v>
      </c>
      <c r="E109" s="338">
        <f t="shared" si="48"/>
        <v>100</v>
      </c>
      <c r="F109" s="338">
        <f t="shared" si="48"/>
        <v>100</v>
      </c>
      <c r="G109" s="338">
        <f t="shared" si="48"/>
        <v>100</v>
      </c>
      <c r="H109" s="338">
        <f t="shared" si="48"/>
        <v>100</v>
      </c>
      <c r="I109" s="338">
        <f t="shared" si="48"/>
        <v>100</v>
      </c>
      <c r="J109" s="338">
        <f t="shared" si="48"/>
        <v>100</v>
      </c>
      <c r="K109" s="338">
        <f t="shared" si="48"/>
        <v>100</v>
      </c>
      <c r="L109" s="338">
        <f t="shared" si="48"/>
        <v>100</v>
      </c>
      <c r="M109" s="339">
        <f t="shared" si="48"/>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49">H111&amp;"(含)"&amp;"-"&amp;ROUND(I111,0)&amp;"(含)"</f>
        <v>0.75(含)-1(含)</v>
      </c>
      <c r="I110" s="369" t="str">
        <f t="shared" si="49"/>
        <v>0.85(含)-1(含)</v>
      </c>
      <c r="J110" s="369" t="str">
        <f t="shared" si="49"/>
        <v>0.85(含)-1(含)</v>
      </c>
      <c r="K110" s="369" t="str">
        <f t="shared" si="49"/>
        <v>0.9(含)-1(含)</v>
      </c>
      <c r="L110" s="369" t="str">
        <f t="shared" ref="L110" si="50">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4.4" thickBot="1">
      <c r="A112" s="255"/>
      <c r="B112" s="337"/>
      <c r="C112" s="372">
        <v>100</v>
      </c>
      <c r="D112" s="338">
        <f>C112+$K37</f>
        <v>100.5</v>
      </c>
      <c r="E112" s="338">
        <f t="shared" ref="E112:M112" si="51">D112+$K37</f>
        <v>101</v>
      </c>
      <c r="F112" s="338">
        <f t="shared" si="51"/>
        <v>101.5</v>
      </c>
      <c r="G112" s="338">
        <f t="shared" si="51"/>
        <v>102</v>
      </c>
      <c r="H112" s="338">
        <f t="shared" si="51"/>
        <v>102.5</v>
      </c>
      <c r="I112" s="338">
        <f t="shared" si="51"/>
        <v>103</v>
      </c>
      <c r="J112" s="338">
        <f t="shared" si="51"/>
        <v>103.5</v>
      </c>
      <c r="K112" s="338">
        <f t="shared" si="51"/>
        <v>104</v>
      </c>
      <c r="L112" s="338">
        <f t="shared" si="51"/>
        <v>104.5</v>
      </c>
      <c r="M112" s="338">
        <f t="shared" si="51"/>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4.4" thickBot="1">
      <c r="A114" s="347"/>
      <c r="B114" s="337"/>
      <c r="C114" s="338">
        <v>100</v>
      </c>
      <c r="D114" s="338">
        <f>C114-$K38</f>
        <v>100</v>
      </c>
      <c r="E114" s="338">
        <f t="shared" ref="E114:M114" si="52">D114-$K38</f>
        <v>100</v>
      </c>
      <c r="F114" s="338">
        <f t="shared" si="52"/>
        <v>100</v>
      </c>
      <c r="G114" s="338">
        <f t="shared" si="52"/>
        <v>100</v>
      </c>
      <c r="H114" s="338">
        <f t="shared" si="52"/>
        <v>100</v>
      </c>
      <c r="I114" s="338">
        <f t="shared" si="52"/>
        <v>100</v>
      </c>
      <c r="J114" s="338">
        <f t="shared" si="52"/>
        <v>100</v>
      </c>
      <c r="K114" s="338">
        <f t="shared" si="52"/>
        <v>100</v>
      </c>
      <c r="L114" s="338">
        <f t="shared" si="52"/>
        <v>100</v>
      </c>
      <c r="M114" s="338">
        <f t="shared" si="52"/>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3944</v>
      </c>
      <c r="D115" s="348" t="s">
        <v>3945</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4.4" thickBot="1">
      <c r="A116" s="255"/>
      <c r="B116" s="337"/>
      <c r="C116" s="338">
        <v>100</v>
      </c>
      <c r="D116" s="338">
        <f t="shared" ref="D116:M116" si="53">C116-$K39</f>
        <v>98</v>
      </c>
      <c r="E116" s="338">
        <f t="shared" si="53"/>
        <v>96</v>
      </c>
      <c r="F116" s="338">
        <f t="shared" si="53"/>
        <v>94</v>
      </c>
      <c r="G116" s="338">
        <f t="shared" si="53"/>
        <v>92</v>
      </c>
      <c r="H116" s="338">
        <f t="shared" si="53"/>
        <v>90</v>
      </c>
      <c r="I116" s="338">
        <f t="shared" si="53"/>
        <v>88</v>
      </c>
      <c r="J116" s="338">
        <f t="shared" si="53"/>
        <v>86</v>
      </c>
      <c r="K116" s="338">
        <f t="shared" si="53"/>
        <v>84</v>
      </c>
      <c r="L116" s="338">
        <f t="shared" si="53"/>
        <v>82</v>
      </c>
      <c r="M116" s="339">
        <f t="shared" si="53"/>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3946</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4.4" thickBot="1">
      <c r="A120" s="255"/>
      <c r="B120" s="337"/>
      <c r="C120" s="372">
        <v>100</v>
      </c>
      <c r="D120" s="338">
        <f>C120-$K41</f>
        <v>98</v>
      </c>
      <c r="E120" s="338">
        <f t="shared" ref="E120:M120" si="54">D120-$K41</f>
        <v>96</v>
      </c>
      <c r="F120" s="338">
        <f t="shared" si="54"/>
        <v>94</v>
      </c>
      <c r="G120" s="338">
        <f t="shared" si="54"/>
        <v>92</v>
      </c>
      <c r="H120" s="338">
        <f t="shared" si="54"/>
        <v>90</v>
      </c>
      <c r="I120" s="338">
        <f t="shared" si="54"/>
        <v>88</v>
      </c>
      <c r="J120" s="338">
        <f t="shared" si="54"/>
        <v>86</v>
      </c>
      <c r="K120" s="338">
        <f t="shared" si="54"/>
        <v>84</v>
      </c>
      <c r="L120" s="338">
        <f t="shared" si="54"/>
        <v>82</v>
      </c>
      <c r="M120" s="338">
        <f t="shared" si="54"/>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4.4"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3940</v>
      </c>
      <c r="D123" s="348" t="s">
        <v>3941</v>
      </c>
      <c r="E123" s="348" t="s">
        <v>3942</v>
      </c>
      <c r="F123" s="373" t="s">
        <v>3943</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4.4" thickBot="1">
      <c r="A124" s="255"/>
      <c r="B124" s="337"/>
      <c r="C124" s="338">
        <v>100</v>
      </c>
      <c r="D124" s="338">
        <f t="shared" ref="D124:M124" si="55">C124-$K43</f>
        <v>98</v>
      </c>
      <c r="E124" s="338">
        <f t="shared" si="55"/>
        <v>96</v>
      </c>
      <c r="F124" s="338">
        <f t="shared" si="55"/>
        <v>94</v>
      </c>
      <c r="G124" s="338">
        <f t="shared" si="55"/>
        <v>92</v>
      </c>
      <c r="H124" s="338">
        <f t="shared" si="55"/>
        <v>90</v>
      </c>
      <c r="I124" s="338">
        <f t="shared" si="55"/>
        <v>88</v>
      </c>
      <c r="J124" s="338">
        <f t="shared" si="55"/>
        <v>86</v>
      </c>
      <c r="K124" s="338">
        <f t="shared" si="55"/>
        <v>84</v>
      </c>
      <c r="L124" s="338">
        <f t="shared" si="55"/>
        <v>82</v>
      </c>
      <c r="M124" s="339">
        <f t="shared" si="55"/>
        <v>80</v>
      </c>
      <c r="N124" s="2044"/>
      <c r="O124" s="2044"/>
      <c r="P124" s="2052"/>
      <c r="Q124" s="2030"/>
      <c r="R124" s="2009"/>
      <c r="S124" s="2009"/>
      <c r="T124" s="2009"/>
      <c r="U124" s="2009"/>
      <c r="V124" s="2009"/>
      <c r="W124" s="2009"/>
      <c r="X124" s="2009"/>
      <c r="Y124" s="2009"/>
      <c r="Z124" s="2009"/>
      <c r="AA124" s="2009"/>
      <c r="AB124" s="2009"/>
      <c r="AC124" s="2009"/>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8.8" thickTop="1">
      <c r="A127" s="278"/>
      <c r="B127" s="332" t="str">
        <f>B45</f>
        <v>地下占比</v>
      </c>
      <c r="C127" s="348" t="s">
        <v>3947</v>
      </c>
      <c r="D127" s="348" t="s">
        <v>3948</v>
      </c>
      <c r="E127" s="348" t="s">
        <v>3984</v>
      </c>
      <c r="F127" s="348" t="s">
        <v>3985</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4.4" thickBot="1">
      <c r="A128" s="347"/>
      <c r="B128" s="337"/>
      <c r="C128" s="330">
        <f t="shared" ref="C128:D128" si="56">D128+$N$127</f>
        <v>118</v>
      </c>
      <c r="D128" s="330">
        <f t="shared" si="56"/>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4.4"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4.4"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4.4"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4.4"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3"/>
  <sheetViews>
    <sheetView zoomScaleNormal="100" zoomScaleSheetLayoutView="100" workbookViewId="0">
      <selection activeCell="A18" sqref="A18:A19"/>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t="s">
        <v>3911</v>
      </c>
      <c r="D1" s="942" t="s">
        <v>41</v>
      </c>
      <c r="E1" s="943" t="s">
        <v>665</v>
      </c>
      <c r="F1" s="3554">
        <f ca="1">J61</f>
        <v>21.21</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11500</v>
      </c>
      <c r="C2" s="960" t="s">
        <v>791</v>
      </c>
      <c r="D2" s="3462" t="s">
        <v>3967</v>
      </c>
      <c r="E2" s="965"/>
      <c r="F2" s="966"/>
      <c r="G2" s="2000"/>
      <c r="H2" s="1990"/>
      <c r="I2" s="1990"/>
      <c r="J2" s="1990"/>
      <c r="K2" s="1991"/>
      <c r="L2" s="1990"/>
      <c r="M2" s="1990"/>
    </row>
    <row r="3" spans="1:37" ht="18" customHeight="1" thickBot="1">
      <c r="A3" s="967" t="s">
        <v>792</v>
      </c>
      <c r="B3" s="2840">
        <f ca="1">IF(ISERROR(B2*10000/F31),0,ROUND(B2*10000/F31,0))</f>
        <v>18500</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879</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878.07999999999993</v>
      </c>
      <c r="D6" s="2797" t="s">
        <v>3818</v>
      </c>
      <c r="E6" s="2795" t="s">
        <v>3406</v>
      </c>
      <c r="F6" s="3150">
        <f ca="1">INDIRECT("'数据-取费表'!u"&amp;$G$1)</f>
        <v>4.3</v>
      </c>
      <c r="G6" s="963"/>
      <c r="H6" s="730" t="s">
        <v>392</v>
      </c>
      <c r="I6" s="2796" t="s">
        <v>3813</v>
      </c>
      <c r="J6" s="2780">
        <f ca="1">J7-J9</f>
        <v>0</v>
      </c>
      <c r="K6" s="2797" t="s">
        <v>3818</v>
      </c>
      <c r="L6" s="2795" t="s">
        <v>3406</v>
      </c>
      <c r="M6" s="3150">
        <f ca="1">INDIRECT("'数据-取费表'!z"&amp;$G$1)</f>
        <v>0</v>
      </c>
    </row>
    <row r="7" spans="1:37" ht="18" customHeight="1">
      <c r="A7" s="4448" t="s">
        <v>391</v>
      </c>
      <c r="B7" s="4451" t="s">
        <v>3811</v>
      </c>
      <c r="C7" s="4456">
        <f ca="1">ROUND(F6*F7*F8/10000,2)</f>
        <v>975.64</v>
      </c>
      <c r="D7" s="4450" t="s">
        <v>3483</v>
      </c>
      <c r="E7" s="737" t="s">
        <v>683</v>
      </c>
      <c r="F7" s="3555">
        <f ca="1">IF(INDIRECT("'数据-取费表'!ah"&amp;$G$1)="",INDIRECT("'数据-取费表'!k"&amp;$G$1),INDIRECT("'数据-取费表'!ah"&amp;$G$1))</f>
        <v>6216.26</v>
      </c>
      <c r="G7" s="963"/>
      <c r="H7" s="4448" t="s">
        <v>391</v>
      </c>
      <c r="I7" s="4451" t="s">
        <v>3811</v>
      </c>
      <c r="J7" s="4453">
        <f ca="1">ROUND(M6*M8*M7/10000,2)</f>
        <v>0</v>
      </c>
      <c r="K7" s="4450" t="s">
        <v>3483</v>
      </c>
      <c r="L7" s="187" t="s">
        <v>683</v>
      </c>
      <c r="M7" s="3555">
        <f ca="1">F7</f>
        <v>6216.26</v>
      </c>
    </row>
    <row r="8" spans="1:37" ht="18" customHeight="1">
      <c r="A8" s="4449"/>
      <c r="B8" s="4452"/>
      <c r="C8" s="4456"/>
      <c r="D8" s="4450"/>
      <c r="E8" s="187" t="s">
        <v>684</v>
      </c>
      <c r="F8" s="3555">
        <f ca="1">INDIRECT("'数据-取费表'!ai"&amp;$G$1)</f>
        <v>365</v>
      </c>
      <c r="G8" s="963"/>
      <c r="H8" s="4449"/>
      <c r="I8" s="4452"/>
      <c r="J8" s="4453"/>
      <c r="K8" s="4450"/>
      <c r="L8" s="187" t="s">
        <v>684</v>
      </c>
      <c r="M8" s="3555">
        <f ca="1">INDIRECT("'数据-取费表'!ai"&amp;$G$1)</f>
        <v>365</v>
      </c>
    </row>
    <row r="9" spans="1:37" ht="18" customHeight="1">
      <c r="A9" s="2778" t="s">
        <v>3407</v>
      </c>
      <c r="B9" s="3161" t="s">
        <v>3812</v>
      </c>
      <c r="C9" s="4018">
        <f ca="1">ROUND(C7*F9,2)</f>
        <v>97.56</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1.1000000000000001</v>
      </c>
      <c r="D10" s="59" t="s">
        <v>2029</v>
      </c>
      <c r="E10" s="198" t="s">
        <v>687</v>
      </c>
      <c r="F10" s="772" t="s">
        <v>3968</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138</v>
      </c>
      <c r="D13" s="747" t="s">
        <v>3831</v>
      </c>
      <c r="E13" s="748"/>
      <c r="F13" s="733"/>
      <c r="G13" s="963"/>
      <c r="H13" s="739" t="s">
        <v>3692</v>
      </c>
      <c r="I13" s="740" t="s">
        <v>700</v>
      </c>
      <c r="J13" s="3164">
        <f ca="1">ROUND(J14+J21+J23+J25,0)</f>
        <v>44</v>
      </c>
      <c r="K13" s="928" t="s">
        <v>3453</v>
      </c>
      <c r="L13" s="748"/>
      <c r="M13" s="3583"/>
    </row>
    <row r="14" spans="1:37" ht="18" customHeight="1">
      <c r="A14" s="677" t="s">
        <v>392</v>
      </c>
      <c r="B14" s="187" t="s">
        <v>705</v>
      </c>
      <c r="C14" s="2780">
        <f ca="1">ROUND(IF(AND(项目基本情况!B11="自然人",项目基本情况!B10="北京市",M55="住宅"),C6*F14,C15+C18+C19),2)</f>
        <v>114.64</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32.299999999999997</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9.27</v>
      </c>
      <c r="D15" s="2825" t="s">
        <v>3993</v>
      </c>
      <c r="E15" s="187" t="s">
        <v>3446</v>
      </c>
      <c r="F15" s="2854">
        <f>'数据-取费表'!B44</f>
        <v>0.12000000000000001</v>
      </c>
      <c r="G15" s="973"/>
      <c r="H15" s="677" t="s">
        <v>391</v>
      </c>
      <c r="I15" s="2795" t="s">
        <v>3410</v>
      </c>
      <c r="J15" s="2780">
        <f ca="1">ROUND((J16-J17)*M15,2)</f>
        <v>-0.12</v>
      </c>
      <c r="K15" s="1022"/>
      <c r="L15" s="187" t="s">
        <v>3446</v>
      </c>
      <c r="M15" s="2854">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79.03</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1.75</v>
      </c>
      <c r="D17" s="4158" t="s">
        <v>3882</v>
      </c>
      <c r="E17" s="2807"/>
      <c r="F17" s="2854">
        <v>0.06</v>
      </c>
      <c r="G17" s="973"/>
      <c r="H17" s="2572" t="s">
        <v>3290</v>
      </c>
      <c r="I17" s="2800" t="s">
        <v>3412</v>
      </c>
      <c r="J17" s="2826">
        <f ca="1">ROUND(J21*M16+((J23+J25)*M17),2)</f>
        <v>1.04</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105.37</v>
      </c>
      <c r="D18" s="2799" t="s">
        <v>3969</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32.42</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0</v>
      </c>
      <c r="D19" s="208" t="s">
        <v>717</v>
      </c>
      <c r="E19" s="187" t="s">
        <v>718</v>
      </c>
      <c r="F19" s="2855">
        <f>'数据-取费表'!B53</f>
        <v>0</v>
      </c>
      <c r="G19" s="963"/>
      <c r="H19" s="4024" t="s">
        <v>667</v>
      </c>
      <c r="I19" s="56" t="s">
        <v>716</v>
      </c>
      <c r="J19" s="2802">
        <f ca="1">ROUND(M19*M20/10000,2)</f>
        <v>0</v>
      </c>
      <c r="K19" s="208" t="s">
        <v>717</v>
      </c>
      <c r="L19" s="187" t="s">
        <v>718</v>
      </c>
      <c r="M19" s="2855">
        <f>'数据-取费表'!B53</f>
        <v>0</v>
      </c>
    </row>
    <row r="20" spans="1:37" s="974" customFormat="1" ht="18" customHeight="1">
      <c r="A20" s="210"/>
      <c r="B20" s="761"/>
      <c r="C20" s="2803"/>
      <c r="D20" s="211"/>
      <c r="E20" s="187" t="s">
        <v>722</v>
      </c>
      <c r="F20" s="2850">
        <f ca="1">INDIRECT("'数据-取费表'!r"&amp;$G$1)</f>
        <v>0</v>
      </c>
      <c r="G20" s="973"/>
      <c r="H20" s="210"/>
      <c r="I20" s="196"/>
      <c r="J20" s="2803"/>
      <c r="K20" s="211"/>
      <c r="L20" s="187" t="s">
        <v>722</v>
      </c>
      <c r="M20" s="2850">
        <f ca="1">INDIRECT("'数据-取费表'!r"&amp;$G$1)</f>
        <v>0</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11.58</v>
      </c>
      <c r="D21" s="1810" t="s">
        <v>3841</v>
      </c>
      <c r="E21" s="187" t="s">
        <v>698</v>
      </c>
      <c r="F21" s="2856">
        <f ca="1">INDIRECT("'数据-取费表'!Ak"&amp;$G$1)</f>
        <v>3.0000000000000001E-3</v>
      </c>
      <c r="G21" s="973"/>
      <c r="H21" s="4024" t="s">
        <v>396</v>
      </c>
      <c r="I21" s="56" t="s">
        <v>724</v>
      </c>
      <c r="J21" s="4025">
        <f ca="1">ROUND(J34*M21,2)</f>
        <v>11.58</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3860</v>
      </c>
      <c r="G22" s="973"/>
      <c r="H22" s="210"/>
      <c r="I22" s="196"/>
      <c r="J22" s="4026"/>
      <c r="K22" s="4104"/>
      <c r="L22" s="2795" t="s">
        <v>3842</v>
      </c>
      <c r="M22" s="3555">
        <f ca="1">J34</f>
        <v>3860</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2.97</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2972</v>
      </c>
      <c r="G24" s="963"/>
      <c r="H24" s="210"/>
      <c r="I24" s="196"/>
      <c r="J24" s="4026"/>
      <c r="K24" s="4104"/>
      <c r="L24" s="4103" t="s">
        <v>3843</v>
      </c>
      <c r="M24" s="3555">
        <f ca="1">J36</f>
        <v>0</v>
      </c>
    </row>
    <row r="25" spans="1:37" s="974" customFormat="1" ht="18" customHeight="1" thickBot="1">
      <c r="A25" s="749" t="s">
        <v>671</v>
      </c>
      <c r="B25" s="750" t="s">
        <v>714</v>
      </c>
      <c r="C25" s="2804">
        <f ca="1">ROUND(C5*F25,2)</f>
        <v>8.7899999999999991</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741</v>
      </c>
      <c r="D26" s="755" t="s">
        <v>3889</v>
      </c>
      <c r="E26" s="756"/>
      <c r="F26" s="757"/>
      <c r="G26" s="973"/>
      <c r="H26" s="739" t="s">
        <v>3301</v>
      </c>
      <c r="I26" s="754" t="s">
        <v>738</v>
      </c>
      <c r="J26" s="3164">
        <f ca="1">J5-J13</f>
        <v>-44</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10821</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21.21</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0.02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11146</v>
      </c>
      <c r="D30" s="3330"/>
      <c r="E30" s="3995" t="str">
        <f>IF(D30="其他类型公式—收益价值×（1+9%）","销项税率","征收率")</f>
        <v>征收率</v>
      </c>
      <c r="F30" s="2856">
        <f>IF(D30="其他类型公式—收益价值×（1+9%）",9%,3%)</f>
        <v>0.03</v>
      </c>
      <c r="G30" s="973"/>
      <c r="H30" s="200" t="s">
        <v>3695</v>
      </c>
      <c r="I30" s="2810" t="s">
        <v>754</v>
      </c>
      <c r="J30" s="2829">
        <f ca="1">ROUND(J27/(1+F27)^F28,0)</f>
        <v>0</v>
      </c>
      <c r="K30" s="2797" t="s">
        <v>3835</v>
      </c>
      <c r="L30" s="187"/>
      <c r="M30" s="2858">
        <f ca="1">INDIRECT("'数据-取费表'!k"&amp;$G$1)</f>
        <v>6216.26</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17930</v>
      </c>
      <c r="D31" s="3993" t="s">
        <v>3485</v>
      </c>
      <c r="E31" s="221" t="s">
        <v>764</v>
      </c>
      <c r="F31" s="2859">
        <f ca="1">INDIRECT("'数据-取费表'!k"&amp;$G$1)</f>
        <v>6216.26</v>
      </c>
      <c r="G31" s="973"/>
      <c r="H31" s="3984" t="s">
        <v>3696</v>
      </c>
      <c r="I31" s="3985" t="s">
        <v>3482</v>
      </c>
      <c r="J31" s="3986">
        <f ca="1">ROUND(J30*(1+F30),0)</f>
        <v>0</v>
      </c>
      <c r="K31" s="3987">
        <f>D30</f>
        <v>0</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0.15699658703071673</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3151</v>
      </c>
      <c r="D34" s="4097" t="s">
        <v>3422</v>
      </c>
      <c r="E34" s="1022"/>
      <c r="F34" s="3416"/>
      <c r="G34" s="963"/>
      <c r="H34" s="4098" t="s">
        <v>3414</v>
      </c>
      <c r="I34" s="4099" t="s">
        <v>3455</v>
      </c>
      <c r="J34" s="2781">
        <f ca="1">C50</f>
        <v>3860</v>
      </c>
      <c r="K34" s="2824" t="s">
        <v>3451</v>
      </c>
      <c r="L34" s="55"/>
      <c r="M34" s="2758"/>
    </row>
    <row r="35" spans="1:13" ht="18" customHeight="1">
      <c r="A35" s="2778" t="s">
        <v>3409</v>
      </c>
      <c r="B35" s="2742" t="s">
        <v>693</v>
      </c>
      <c r="C35" s="2680">
        <f ca="1">INDIRECT("'数据-取费表'!m"&amp;$G$1)+INDIRECT("'数据-取费表'!t"&amp;$G$1)</f>
        <v>2797</v>
      </c>
      <c r="D35" s="927" t="s">
        <v>694</v>
      </c>
      <c r="E35" s="927"/>
      <c r="F35" s="216"/>
      <c r="G35" s="963"/>
      <c r="H35" s="2833" t="s">
        <v>3456</v>
      </c>
      <c r="I35" s="2838" t="s">
        <v>3442</v>
      </c>
      <c r="J35" s="2725">
        <f ca="1">ROUND(J34*(1-M35),0)</f>
        <v>3860</v>
      </c>
      <c r="K35" s="187" t="s">
        <v>3445</v>
      </c>
      <c r="L35" s="2797" t="s">
        <v>3458</v>
      </c>
      <c r="M35" s="2856">
        <f ca="1">INDIRECT("'数据-取费表'!ad"&amp;$G$1)</f>
        <v>0</v>
      </c>
    </row>
    <row r="36" spans="1:13" ht="18" customHeight="1" thickBot="1">
      <c r="A36" s="2778" t="s">
        <v>3416</v>
      </c>
      <c r="B36" s="2800" t="s">
        <v>3890</v>
      </c>
      <c r="C36" s="2781">
        <f ca="1">ROUND(C35*F36,0)</f>
        <v>140</v>
      </c>
      <c r="D36" s="187" t="s">
        <v>697</v>
      </c>
      <c r="E36" s="187" t="s">
        <v>698</v>
      </c>
      <c r="F36" s="2854">
        <f>'数据-取费表'!B33</f>
        <v>0.05</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186</v>
      </c>
      <c r="D38" s="187" t="s">
        <v>703</v>
      </c>
      <c r="E38" s="187" t="s">
        <v>3837</v>
      </c>
      <c r="F38" s="2855">
        <f>'数据-取费表'!B35</f>
        <v>300</v>
      </c>
      <c r="G38" s="963"/>
    </row>
    <row r="39" spans="1:13" ht="18" customHeight="1">
      <c r="A39" s="2778" t="s">
        <v>3419</v>
      </c>
      <c r="B39" s="2800" t="s">
        <v>3420</v>
      </c>
      <c r="C39" s="2781">
        <f ca="1">ROUND(C35*F39,0)</f>
        <v>28</v>
      </c>
      <c r="D39" s="187" t="s">
        <v>697</v>
      </c>
      <c r="E39" s="187" t="s">
        <v>698</v>
      </c>
      <c r="F39" s="2854">
        <f>'数据-取费表'!B36</f>
        <v>0.01</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63</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73+0.0005V建</v>
      </c>
      <c r="D43" s="2762" t="str">
        <f>IF(F44&lt;=1,"单利计息。","复利计息。")&amp;"建造成本、管理费用、销售费用产生的利息。"</f>
        <v>复利计息。建造成本、管理费用、销售费用产生的利息。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73</v>
      </c>
      <c r="D44" s="55" t="str">
        <f>IF(F44&lt;=1,"(建造成本+管理费用)×利率×(建设周期÷2)","(建造成本+管理费用)×((1+利率)^(建设周期÷2)-1)")</f>
        <v>(建造成本+管理费用)×((1+利率)^(建设周期÷2)-1)</v>
      </c>
      <c r="E44" s="187" t="s">
        <v>727</v>
      </c>
      <c r="F44" s="2855">
        <f>'数据-取费表'!B20</f>
        <v>1.5</v>
      </c>
      <c r="G44" s="963"/>
      <c r="H44" s="47"/>
      <c r="I44" s="47"/>
      <c r="J44" s="47"/>
      <c r="K44" s="1895"/>
      <c r="L44" s="47"/>
      <c r="M44" s="47"/>
    </row>
    <row r="45" spans="1:13" ht="18" customHeight="1">
      <c r="A45" s="2778" t="s">
        <v>731</v>
      </c>
      <c r="B45" s="187" t="s">
        <v>732</v>
      </c>
      <c r="C45" s="3556">
        <f ca="1">ROUND(IF('数据-取费表'!B22&lt;=1,F42*F45*F44/2,F42*(POWER((1+F45),F44/2)-1)),4)</f>
        <v>5.0000000000000001E-4</v>
      </c>
      <c r="D45" s="55" t="str">
        <f>IF(F44&lt;=1,"销售费用×利率×(建设周期÷2)","销售费用×((1+利率)^(建设周期÷2)-1)")</f>
        <v>销售费用×((1+利率)^(建设周期÷2)-1)</v>
      </c>
      <c r="E45" s="187" t="s">
        <v>733</v>
      </c>
      <c r="F45" s="2853">
        <f ca="1">'数据-取费表'!B41</f>
        <v>3.0599999999999999E-2</v>
      </c>
      <c r="G45" s="963"/>
      <c r="H45" s="47"/>
      <c r="I45" s="47"/>
      <c r="J45" s="47"/>
      <c r="K45" s="1895"/>
      <c r="L45" s="47"/>
      <c r="M45" s="47"/>
    </row>
    <row r="46" spans="1:13" ht="18" customHeight="1">
      <c r="A46" s="200" t="s">
        <v>3438</v>
      </c>
      <c r="B46" s="2813" t="s">
        <v>3424</v>
      </c>
      <c r="C46" s="3558" t="str">
        <f ca="1">C47&amp;"+"&amp;C48&amp;"V建"</f>
        <v>482+0.003V建</v>
      </c>
      <c r="D46" s="2762" t="s">
        <v>3439</v>
      </c>
      <c r="E46" s="201"/>
      <c r="F46" s="2855"/>
      <c r="G46" s="963"/>
      <c r="H46" s="47"/>
      <c r="I46" s="47"/>
      <c r="J46" s="47"/>
      <c r="K46" s="1895"/>
      <c r="L46" s="47"/>
      <c r="M46" s="47"/>
    </row>
    <row r="47" spans="1:13" ht="18" customHeight="1">
      <c r="A47" s="2778" t="s">
        <v>391</v>
      </c>
      <c r="B47" s="187" t="s">
        <v>740</v>
      </c>
      <c r="C47" s="2781">
        <f ca="1">ROUND((C34+C41)*F47,0)</f>
        <v>482</v>
      </c>
      <c r="D47" s="207" t="s">
        <v>741</v>
      </c>
      <c r="E47" s="187" t="s">
        <v>742</v>
      </c>
      <c r="F47" s="2856">
        <f ca="1">INDIRECT("'数据-取费表'!q"&amp;$G$1)</f>
        <v>0.15</v>
      </c>
      <c r="G47" s="963"/>
      <c r="H47" s="47"/>
      <c r="I47" s="47"/>
      <c r="J47" s="47"/>
      <c r="K47" s="1895"/>
      <c r="L47" s="47"/>
      <c r="M47" s="47"/>
    </row>
    <row r="48" spans="1:13" ht="18" customHeight="1">
      <c r="A48" s="2778" t="s">
        <v>393</v>
      </c>
      <c r="B48" s="187" t="s">
        <v>746</v>
      </c>
      <c r="C48" s="3559">
        <f ca="1">ROUND(F42*F47,4)</f>
        <v>3.0000000000000001E-3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3860</v>
      </c>
      <c r="D50" s="2824" t="s">
        <v>3451</v>
      </c>
      <c r="E50" s="2810"/>
      <c r="F50" s="2856"/>
      <c r="K50" s="979"/>
    </row>
    <row r="51" spans="1:18" s="963" customFormat="1" ht="18" customHeight="1">
      <c r="A51" s="2814" t="s">
        <v>3441</v>
      </c>
      <c r="B51" s="2813" t="s">
        <v>3442</v>
      </c>
      <c r="C51" s="2829">
        <f ca="1">ROUND(C50*(1-F51),0)</f>
        <v>888</v>
      </c>
      <c r="D51" s="187" t="s">
        <v>3445</v>
      </c>
      <c r="E51" s="187" t="s">
        <v>692</v>
      </c>
      <c r="F51" s="2854">
        <f ca="1">INDIRECT("'数据-取费表'!y"&amp;$G$1)</f>
        <v>0.77</v>
      </c>
      <c r="K51" s="979"/>
    </row>
    <row r="52" spans="1:18" s="963" customFormat="1" ht="18" customHeight="1" thickBot="1">
      <c r="A52" s="2815" t="s">
        <v>3443</v>
      </c>
      <c r="B52" s="2823" t="s">
        <v>3449</v>
      </c>
      <c r="C52" s="2840">
        <f ca="1">C50-C51</f>
        <v>2972</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8" thickBot="1">
      <c r="A54" s="981" t="s">
        <v>795</v>
      </c>
      <c r="C54" s="4043">
        <f ca="1">IF(D2="含税",C81-C30,C78-C27)</f>
        <v>-11356</v>
      </c>
      <c r="D54" s="983" t="str">
        <f>C2</f>
        <v>万元</v>
      </c>
      <c r="E54" s="977"/>
      <c r="F54" s="977"/>
      <c r="I54" s="984" t="s">
        <v>796</v>
      </c>
      <c r="J54" s="985"/>
      <c r="K54" s="986"/>
      <c r="L54" s="4064">
        <f ca="1">IF(M55="住宅",0,IF(L56&gt;J59,L68,J68))</f>
        <v>344</v>
      </c>
      <c r="O54" s="988" t="s">
        <v>797</v>
      </c>
      <c r="P54" s="989" t="s">
        <v>798</v>
      </c>
      <c r="Q54" s="990" t="s">
        <v>799</v>
      </c>
      <c r="R54" s="990" t="s">
        <v>800</v>
      </c>
    </row>
    <row r="55" spans="1:18" s="963" customFormat="1" ht="13.8" thickBot="1">
      <c r="A55" s="4100" t="s">
        <v>674</v>
      </c>
      <c r="B55" s="4101" t="s">
        <v>675</v>
      </c>
      <c r="C55" s="4094" t="s">
        <v>3840</v>
      </c>
      <c r="D55" s="4101" t="s">
        <v>677</v>
      </c>
      <c r="E55" s="4102" t="s">
        <v>678</v>
      </c>
      <c r="F55" s="720"/>
      <c r="G55" s="491"/>
      <c r="I55" s="991" t="s">
        <v>801</v>
      </c>
      <c r="J55" s="992" t="s">
        <v>3939</v>
      </c>
      <c r="K55" s="993" t="s">
        <v>802</v>
      </c>
      <c r="L55" s="4065">
        <f ca="1">INDIRECT("'数据-取费表'!d"&amp;$G$1)</f>
        <v>50</v>
      </c>
      <c r="M55" s="959" t="str">
        <f>IF(ISNUMBER(FIND("住宅",C1)),"住宅","非住宅")</f>
        <v>非住宅</v>
      </c>
      <c r="O55" s="995" t="s">
        <v>397</v>
      </c>
      <c r="P55" s="996" t="s">
        <v>803</v>
      </c>
      <c r="Q55" s="3152">
        <f ca="1">C27+J30</f>
        <v>10821</v>
      </c>
      <c r="R55" s="997" t="s">
        <v>804</v>
      </c>
    </row>
    <row r="56" spans="1:18" s="963" customFormat="1" ht="40.200000000000003" thickBot="1">
      <c r="A56" s="672" t="s">
        <v>432</v>
      </c>
      <c r="B56" s="185" t="s">
        <v>679</v>
      </c>
      <c r="C56" s="2843">
        <f ca="1">ROUND(C57+C61+C63,0)</f>
        <v>0</v>
      </c>
      <c r="D56" s="944" t="s">
        <v>3816</v>
      </c>
      <c r="E56" s="770"/>
      <c r="F56" s="657"/>
      <c r="G56" s="491"/>
      <c r="H56" s="492"/>
      <c r="I56" s="998" t="s">
        <v>805</v>
      </c>
      <c r="J56" s="999" t="s">
        <v>3970</v>
      </c>
      <c r="K56" s="1000" t="s">
        <v>806</v>
      </c>
      <c r="L56" s="4054">
        <f ca="1">INDIRECT("'数据-取费表'!f"&amp;$G$1)</f>
        <v>21.21</v>
      </c>
      <c r="O56" s="995" t="s">
        <v>398</v>
      </c>
      <c r="P56" s="996" t="s">
        <v>807</v>
      </c>
      <c r="Q56" s="3152">
        <f ca="1">J68</f>
        <v>344</v>
      </c>
      <c r="R56" s="997" t="s">
        <v>808</v>
      </c>
    </row>
    <row r="57" spans="1:18" s="963" customFormat="1" ht="16.2" thickBot="1">
      <c r="A57" s="4029" t="s">
        <v>3823</v>
      </c>
      <c r="B57" s="2796" t="s">
        <v>3813</v>
      </c>
      <c r="C57" s="4019">
        <f ca="1">C58-C60</f>
        <v>0</v>
      </c>
      <c r="D57" s="2797" t="s">
        <v>3818</v>
      </c>
      <c r="E57" s="2822" t="s">
        <v>3448</v>
      </c>
      <c r="F57" s="3560"/>
      <c r="H57" s="492"/>
      <c r="I57" s="998" t="s">
        <v>809</v>
      </c>
      <c r="J57" s="4052">
        <f>'数据-取费表'!N18</f>
        <v>2012</v>
      </c>
      <c r="K57" s="1000" t="s">
        <v>810</v>
      </c>
      <c r="L57" s="4066"/>
      <c r="O57" s="1004" t="s">
        <v>399</v>
      </c>
      <c r="P57" s="996" t="s">
        <v>811</v>
      </c>
      <c r="Q57" s="3152">
        <f ca="1">C50</f>
        <v>3860</v>
      </c>
      <c r="R57" s="997" t="s">
        <v>804</v>
      </c>
    </row>
    <row r="58" spans="1:18" s="963" customFormat="1" ht="13.8" thickBot="1">
      <c r="A58" s="4036" t="s">
        <v>3409</v>
      </c>
      <c r="B58" s="4457" t="s">
        <v>3811</v>
      </c>
      <c r="C58" s="4458">
        <f ca="1">ROUND(F57*F59*F58/10000,2)</f>
        <v>0</v>
      </c>
      <c r="D58" s="4450" t="s">
        <v>3483</v>
      </c>
      <c r="E58" s="717" t="s">
        <v>683</v>
      </c>
      <c r="F58" s="3561">
        <f ca="1">F7</f>
        <v>6216.26</v>
      </c>
      <c r="H58" s="492"/>
      <c r="I58" s="998" t="s">
        <v>812</v>
      </c>
      <c r="J58" s="4053">
        <f>SUMPRODUCT((I71:I73=J55)*(J70:L70=J56)*(J71:L73))</f>
        <v>60</v>
      </c>
      <c r="K58" s="1000" t="s">
        <v>813</v>
      </c>
      <c r="L58" s="4066"/>
      <c r="M58" s="1006"/>
      <c r="O58" s="1004" t="s">
        <v>400</v>
      </c>
      <c r="P58" s="996" t="s">
        <v>814</v>
      </c>
      <c r="Q58" s="1007">
        <f ca="1">J66</f>
        <v>0.41299999999999998</v>
      </c>
      <c r="R58" s="997"/>
    </row>
    <row r="59" spans="1:18" s="963" customFormat="1" ht="13.8" thickBot="1">
      <c r="A59" s="4037"/>
      <c r="B59" s="4457"/>
      <c r="C59" s="4459"/>
      <c r="D59" s="4450"/>
      <c r="E59" s="676" t="s">
        <v>684</v>
      </c>
      <c r="F59" s="3555">
        <f ca="1">F8</f>
        <v>365</v>
      </c>
      <c r="I59" s="1008" t="s">
        <v>815</v>
      </c>
      <c r="J59" s="4054">
        <f>IF(J57="",J58,J57+J58-YEAR('数据-取费表'!B2))</f>
        <v>46</v>
      </c>
      <c r="K59" s="1009" t="s">
        <v>816</v>
      </c>
      <c r="L59" s="4041">
        <f ca="1">ROUND(-PV(INDIRECT("'数据-取费表'!h"&amp;$G$1),J59,(C26-C51*C86),0),0)</f>
        <v>12138</v>
      </c>
      <c r="M59" s="1011"/>
      <c r="O59" s="1004" t="s">
        <v>401</v>
      </c>
      <c r="P59" s="996" t="s">
        <v>817</v>
      </c>
      <c r="Q59" s="1007">
        <f>J60</f>
        <v>7.4999999999999997E-2</v>
      </c>
      <c r="R59" s="997"/>
    </row>
    <row r="60" spans="1:18" s="963" customFormat="1" ht="13.8"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21.21</v>
      </c>
      <c r="R60" s="997" t="s">
        <v>821</v>
      </c>
    </row>
    <row r="61" spans="1:18" s="963" customFormat="1" ht="36.6"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21.21</v>
      </c>
      <c r="K61" s="4454" t="s">
        <v>823</v>
      </c>
      <c r="L61" s="4455"/>
      <c r="O61" s="995" t="s">
        <v>403</v>
      </c>
      <c r="P61" s="996" t="s">
        <v>824</v>
      </c>
      <c r="Q61" s="3152">
        <f ca="1">Q55+Q56</f>
        <v>11165</v>
      </c>
      <c r="R61" s="997" t="s">
        <v>404</v>
      </c>
    </row>
    <row r="62" spans="1:18" s="963" customFormat="1" ht="24.6"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8" thickBot="1">
      <c r="A63" s="4031" t="s">
        <v>3824</v>
      </c>
      <c r="B63" s="948" t="s">
        <v>689</v>
      </c>
      <c r="C63" s="4016"/>
      <c r="D63" s="59"/>
      <c r="E63" s="953"/>
      <c r="F63" s="1015"/>
      <c r="I63" s="1018" t="s">
        <v>826</v>
      </c>
      <c r="J63" s="4058">
        <f ca="1">ROUND(IF(J55="钢混",J65/J58,1-(1-2%)*(J58-J65)/J58),3)</f>
        <v>0.41299999999999998</v>
      </c>
      <c r="K63" s="1020" t="s">
        <v>827</v>
      </c>
      <c r="L63" s="1021"/>
      <c r="O63" s="988" t="s">
        <v>797</v>
      </c>
      <c r="P63" s="989" t="s">
        <v>798</v>
      </c>
      <c r="Q63" s="990" t="s">
        <v>799</v>
      </c>
      <c r="R63" s="990" t="s">
        <v>800</v>
      </c>
    </row>
    <row r="64" spans="1:18" s="963" customFormat="1" ht="37.200000000000003" thickTop="1" thickBot="1">
      <c r="A64" s="200" t="s">
        <v>3692</v>
      </c>
      <c r="B64" s="653" t="s">
        <v>700</v>
      </c>
      <c r="C64" s="2829">
        <f ca="1">ROUND(C65+C72+C74+C76,0)</f>
        <v>14</v>
      </c>
      <c r="D64" s="655" t="s">
        <v>701</v>
      </c>
      <c r="E64" s="656"/>
      <c r="F64" s="657"/>
      <c r="I64" s="1024" t="s">
        <v>828</v>
      </c>
      <c r="J64" s="4059"/>
      <c r="K64" s="998" t="s">
        <v>829</v>
      </c>
      <c r="L64" s="4054" t="str">
        <f ca="1">IF(L56&lt;J59,"——",L56-J61)</f>
        <v>——</v>
      </c>
      <c r="O64" s="995" t="s">
        <v>397</v>
      </c>
      <c r="P64" s="996" t="s">
        <v>803</v>
      </c>
      <c r="Q64" s="3152">
        <f ca="1">C27+J30</f>
        <v>10821</v>
      </c>
      <c r="R64" s="997" t="s">
        <v>804</v>
      </c>
    </row>
    <row r="65" spans="1:18" s="963" customFormat="1" ht="24.6" thickBot="1">
      <c r="A65" s="538" t="s">
        <v>392</v>
      </c>
      <c r="B65" s="645" t="s">
        <v>705</v>
      </c>
      <c r="C65" s="2780">
        <f ca="1">ROUND(IF(AND(项目基本情况!B11="自然人",项目基本情况!B10="北京市",M55="住宅"),C57*F65,C66+C69+C70),2)</f>
        <v>-0.15</v>
      </c>
      <c r="D65" s="658" t="s">
        <v>3453</v>
      </c>
      <c r="E65" s="659" t="str">
        <f>E14</f>
        <v/>
      </c>
      <c r="F65" s="3994" t="str">
        <f>IF(M55="非住宅","",IF(F57*F58*F59/12/(1+'数据-取费表'!F30)&gt;100000,4%,2.5%))</f>
        <v/>
      </c>
      <c r="I65" s="1030" t="s">
        <v>830</v>
      </c>
      <c r="J65" s="4060">
        <f ca="1">IF(OR(M55="住宅",J59&lt;L56,J64="是"),"——",J59-L56)</f>
        <v>24.79</v>
      </c>
      <c r="K65" s="998" t="s">
        <v>831</v>
      </c>
      <c r="L65" s="4067" t="str">
        <f ca="1">IF(L56&lt;J59,"——",IF(L63="比较法",L57,IF(L63="基准地价",L58,L59)))</f>
        <v>——</v>
      </c>
      <c r="O65" s="995" t="s">
        <v>398</v>
      </c>
      <c r="P65" s="996" t="s">
        <v>832</v>
      </c>
      <c r="Q65" s="3151">
        <f ca="1">L68</f>
        <v>0</v>
      </c>
      <c r="R65" s="997" t="s">
        <v>833</v>
      </c>
    </row>
    <row r="66" spans="1:18" s="963" customFormat="1" ht="24.6" thickBot="1">
      <c r="A66" s="4010" t="s">
        <v>391</v>
      </c>
      <c r="B66" s="2795" t="s">
        <v>3410</v>
      </c>
      <c r="C66" s="2780">
        <f ca="1">ROUND((C67-C68)*F66,2)</f>
        <v>-0.15</v>
      </c>
      <c r="D66" s="2825" t="s">
        <v>3452</v>
      </c>
      <c r="E66" s="187" t="s">
        <v>3446</v>
      </c>
      <c r="F66" s="2854">
        <f>F15</f>
        <v>0.12000000000000001</v>
      </c>
      <c r="I66" s="1030" t="s">
        <v>834</v>
      </c>
      <c r="J66" s="4061">
        <f ca="1">IF(J63&lt;0.4,0.4,J63)</f>
        <v>0.41299999999999998</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6" thickBot="1">
      <c r="A67" s="4010"/>
      <c r="B67" s="4021" t="s">
        <v>3411</v>
      </c>
      <c r="C67" s="2780">
        <f ca="1">ROUND(C57*F67,2)</f>
        <v>0</v>
      </c>
      <c r="D67" s="1022" t="s">
        <v>3894</v>
      </c>
      <c r="E67" s="2806" t="s">
        <v>3413</v>
      </c>
      <c r="F67" s="2854">
        <f t="shared" ref="F67:F68" si="0">F16</f>
        <v>0.09</v>
      </c>
      <c r="I67" s="1030" t="s">
        <v>837</v>
      </c>
      <c r="J67" s="4062">
        <f ca="1">IF(OR(M55="住宅",J59&lt;L56,J64="是"),"——",ROUND(C50*J66,0))</f>
        <v>1594</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2" thickBot="1">
      <c r="A68" s="4011"/>
      <c r="B68" s="4021" t="s">
        <v>3412</v>
      </c>
      <c r="C68" s="2780">
        <f ca="1">ROUND(C72*F67+((C74+C76)*F68),2)</f>
        <v>1.22</v>
      </c>
      <c r="D68" s="4158" t="s">
        <v>3895</v>
      </c>
      <c r="E68" s="2807"/>
      <c r="F68" s="2854">
        <f t="shared" si="0"/>
        <v>0.06</v>
      </c>
      <c r="I68" s="1033" t="s">
        <v>839</v>
      </c>
      <c r="J68" s="4063">
        <f ca="1">IF(OR(M55="住宅",J59&lt;L56,J64="是"),"0",ROUND(J67/(1+J60)^J61,0))</f>
        <v>344</v>
      </c>
      <c r="K68" s="1035" t="s">
        <v>840</v>
      </c>
      <c r="L68" s="4063">
        <f ca="1">IF(OR(M55="住宅",L56&lt;J59),0,ROUND(L65*(L66/L67-1),0))</f>
        <v>0</v>
      </c>
      <c r="O68" s="1004" t="s">
        <v>401</v>
      </c>
      <c r="P68" s="996" t="s">
        <v>841</v>
      </c>
      <c r="Q68" s="3564" t="e">
        <f ca="1">L66</f>
        <v>#DIV/0!</v>
      </c>
      <c r="R68" s="997" t="s">
        <v>842</v>
      </c>
    </row>
    <row r="69" spans="1:18" s="963" customFormat="1" ht="13.8"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8" thickBot="1">
      <c r="A70" s="4010" t="s">
        <v>770</v>
      </c>
      <c r="B70" s="4022" t="s">
        <v>771</v>
      </c>
      <c r="C70" s="2802">
        <f ca="1">IF(项目基本情况!B11="自然人","——",ROUND(F70*F71/10000,2))</f>
        <v>0</v>
      </c>
      <c r="D70" s="660" t="s">
        <v>772</v>
      </c>
      <c r="E70" s="645" t="s">
        <v>773</v>
      </c>
      <c r="F70" s="3563">
        <f t="shared" si="1"/>
        <v>0</v>
      </c>
      <c r="I70" s="1037" t="s">
        <v>844</v>
      </c>
      <c r="J70" s="1038" t="s">
        <v>845</v>
      </c>
      <c r="K70" s="1038" t="s">
        <v>846</v>
      </c>
      <c r="L70" s="1038" t="s">
        <v>847</v>
      </c>
      <c r="M70" s="1039" t="s">
        <v>848</v>
      </c>
      <c r="O70" s="995" t="s">
        <v>403</v>
      </c>
      <c r="P70" s="996" t="s">
        <v>849</v>
      </c>
      <c r="Q70" s="3151">
        <f ca="1">Q64+Q65</f>
        <v>10821</v>
      </c>
      <c r="R70" s="997" t="s">
        <v>404</v>
      </c>
    </row>
    <row r="71" spans="1:18" s="963" customFormat="1" ht="13.8" thickBot="1">
      <c r="A71" s="210"/>
      <c r="B71" s="4023"/>
      <c r="C71" s="2803"/>
      <c r="D71" s="661"/>
      <c r="E71" s="645" t="s">
        <v>774</v>
      </c>
      <c r="F71" s="3150">
        <f t="shared" ca="1" si="1"/>
        <v>0</v>
      </c>
      <c r="I71" s="1037" t="s">
        <v>850</v>
      </c>
      <c r="J71" s="224">
        <v>70</v>
      </c>
      <c r="K71" s="224">
        <v>50</v>
      </c>
      <c r="L71" s="224">
        <v>80</v>
      </c>
      <c r="M71" s="1040">
        <v>0.02</v>
      </c>
      <c r="O71" s="980" t="s">
        <v>851</v>
      </c>
      <c r="P71" s="960"/>
      <c r="Q71" s="960"/>
      <c r="R71" s="960"/>
    </row>
    <row r="72" spans="1:18" s="963" customFormat="1" ht="13.8" thickBot="1">
      <c r="A72" s="4033" t="s">
        <v>775</v>
      </c>
      <c r="B72" s="644" t="s">
        <v>776</v>
      </c>
      <c r="C72" s="4025">
        <f ca="1">ROUND(F72*F73,2)</f>
        <v>11.58</v>
      </c>
      <c r="D72" s="4027" t="s">
        <v>3447</v>
      </c>
      <c r="E72" s="4040" t="s">
        <v>3819</v>
      </c>
      <c r="F72" s="4041">
        <f ca="1">C50</f>
        <v>3860</v>
      </c>
      <c r="I72" s="1037" t="s">
        <v>852</v>
      </c>
      <c r="J72" s="224">
        <v>50</v>
      </c>
      <c r="K72" s="224">
        <v>35</v>
      </c>
      <c r="L72" s="224">
        <v>60</v>
      </c>
      <c r="M72" s="1039">
        <v>0</v>
      </c>
      <c r="O72" s="988" t="s">
        <v>797</v>
      </c>
      <c r="P72" s="989" t="s">
        <v>798</v>
      </c>
      <c r="Q72" s="990" t="s">
        <v>799</v>
      </c>
      <c r="R72" s="990" t="s">
        <v>800</v>
      </c>
    </row>
    <row r="73" spans="1:18" s="963" customFormat="1" ht="13.8"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10821</v>
      </c>
      <c r="R73" s="997" t="s">
        <v>804</v>
      </c>
    </row>
    <row r="74" spans="1:18" s="963" customFormat="1" ht="16.2" thickBot="1">
      <c r="A74" s="4033" t="s">
        <v>778</v>
      </c>
      <c r="B74" s="644" t="s">
        <v>728</v>
      </c>
      <c r="C74" s="4025">
        <f ca="1">ROUND(F74*F75,2)</f>
        <v>2.97</v>
      </c>
      <c r="D74" s="4027" t="s">
        <v>3450</v>
      </c>
      <c r="E74" s="4040" t="s">
        <v>3820</v>
      </c>
      <c r="F74" s="4042">
        <f ca="1">C52</f>
        <v>2972</v>
      </c>
      <c r="O74" s="995" t="s">
        <v>398</v>
      </c>
      <c r="P74" s="996" t="s">
        <v>832</v>
      </c>
      <c r="Q74" s="3151">
        <f ca="1">L68</f>
        <v>0</v>
      </c>
      <c r="R74" s="997" t="s">
        <v>855</v>
      </c>
    </row>
    <row r="75" spans="1:18" s="963" customFormat="1" ht="13.8" thickBot="1">
      <c r="A75" s="4035"/>
      <c r="B75" s="651"/>
      <c r="C75" s="4026"/>
      <c r="D75" s="4028"/>
      <c r="E75" s="645" t="s">
        <v>730</v>
      </c>
      <c r="F75" s="2856">
        <f ca="1">F23</f>
        <v>1E-3</v>
      </c>
      <c r="O75" s="995"/>
      <c r="P75" s="996"/>
      <c r="Q75" s="3151"/>
      <c r="R75" s="997"/>
    </row>
    <row r="76" spans="1:18" s="963" customFormat="1" ht="17.399999999999999" thickBot="1">
      <c r="A76" s="4035" t="s">
        <v>779</v>
      </c>
      <c r="B76" s="645" t="s">
        <v>714</v>
      </c>
      <c r="C76" s="2780">
        <f ca="1">ROUND(C56*F76,2)</f>
        <v>0</v>
      </c>
      <c r="D76" s="659" t="s">
        <v>3892</v>
      </c>
      <c r="E76" s="645" t="s">
        <v>698</v>
      </c>
      <c r="F76" s="2856">
        <f ca="1">F25</f>
        <v>0.01</v>
      </c>
      <c r="O76" s="1004" t="s">
        <v>399</v>
      </c>
      <c r="P76" s="996" t="s">
        <v>836</v>
      </c>
      <c r="Q76" s="3152">
        <f ca="1">L59</f>
        <v>12138</v>
      </c>
      <c r="R76" s="997" t="s">
        <v>856</v>
      </c>
    </row>
    <row r="77" spans="1:18" s="963" customFormat="1" ht="24.6" thickBot="1">
      <c r="A77" s="652" t="s">
        <v>3821</v>
      </c>
      <c r="B77" s="662" t="s">
        <v>738</v>
      </c>
      <c r="C77" s="2829">
        <f ca="1">C56-C64</f>
        <v>-14</v>
      </c>
      <c r="D77" s="658" t="s">
        <v>3889</v>
      </c>
      <c r="E77" s="663"/>
      <c r="F77" s="2857"/>
      <c r="O77" s="1004"/>
      <c r="P77" s="996"/>
      <c r="Q77" s="3152"/>
      <c r="R77" s="997"/>
    </row>
    <row r="78" spans="1:18" s="963" customFormat="1" ht="16.2" thickBot="1">
      <c r="A78" s="3332" t="s">
        <v>3822</v>
      </c>
      <c r="B78" s="643" t="s">
        <v>760</v>
      </c>
      <c r="C78" s="3162">
        <f ca="1">ROUND(C77*(1-((1+F80)/(1+F78))^F79)/(F78-F80),0)</f>
        <v>-204</v>
      </c>
      <c r="D78" s="2875" t="s">
        <v>744</v>
      </c>
      <c r="E78" s="645" t="s">
        <v>745</v>
      </c>
      <c r="F78" s="2856">
        <f ca="1">F27</f>
        <v>5.5E-2</v>
      </c>
      <c r="O78" s="1004" t="s">
        <v>400</v>
      </c>
      <c r="P78" s="1042" t="s">
        <v>857</v>
      </c>
      <c r="Q78" s="3152">
        <f ca="1">ROUND(Q79-Q80*Q81,0)</f>
        <v>679</v>
      </c>
      <c r="R78" s="997" t="s">
        <v>408</v>
      </c>
    </row>
    <row r="79" spans="1:18" s="963" customFormat="1" ht="13.8" thickBot="1">
      <c r="A79" s="3333"/>
      <c r="B79" s="647"/>
      <c r="C79" s="3163"/>
      <c r="D79" s="2876" t="s">
        <v>748</v>
      </c>
      <c r="E79" s="645" t="s">
        <v>749</v>
      </c>
      <c r="F79" s="2858">
        <f ca="1">F28</f>
        <v>21.21</v>
      </c>
      <c r="O79" s="1004" t="s">
        <v>405</v>
      </c>
      <c r="P79" s="1042" t="s">
        <v>858</v>
      </c>
      <c r="Q79" s="3152">
        <f ca="1">C26</f>
        <v>741</v>
      </c>
      <c r="R79" s="997" t="s">
        <v>804</v>
      </c>
    </row>
    <row r="80" spans="1:18" s="963" customFormat="1" ht="13.8" thickBot="1">
      <c r="A80" s="3334"/>
      <c r="B80" s="2877"/>
      <c r="C80" s="2877"/>
      <c r="D80" s="2874"/>
      <c r="E80" s="645" t="s">
        <v>752</v>
      </c>
      <c r="F80" s="2851">
        <v>0.02</v>
      </c>
      <c r="O80" s="1004" t="s">
        <v>406</v>
      </c>
      <c r="P80" s="1042" t="s">
        <v>859</v>
      </c>
      <c r="Q80" s="3152">
        <f ca="1">C51</f>
        <v>888</v>
      </c>
      <c r="R80" s="997" t="s">
        <v>804</v>
      </c>
    </row>
    <row r="81" spans="1:18" s="963" customFormat="1" ht="13.8" thickBot="1">
      <c r="A81" s="649" t="s">
        <v>3825</v>
      </c>
      <c r="B81" s="2827" t="s">
        <v>3454</v>
      </c>
      <c r="C81" s="3164">
        <f ca="1">ROUND(C78*(1+F30),0)</f>
        <v>-210</v>
      </c>
      <c r="D81" s="3335">
        <f>D30</f>
        <v>0</v>
      </c>
      <c r="E81" s="960"/>
      <c r="F81" s="3336"/>
      <c r="O81" s="1004" t="s">
        <v>407</v>
      </c>
      <c r="P81" s="1042" t="s">
        <v>860</v>
      </c>
      <c r="Q81" s="1007">
        <f ca="1">C86</f>
        <v>7.0000000000000007E-2</v>
      </c>
      <c r="R81" s="997"/>
    </row>
    <row r="82" spans="1:18" s="963" customFormat="1" ht="13.8" thickBot="1">
      <c r="A82" s="666" t="s">
        <v>390</v>
      </c>
      <c r="B82" s="667" t="s">
        <v>762</v>
      </c>
      <c r="C82" s="2840">
        <f ca="1">ROUND(C81*10000/F82,0)</f>
        <v>-338</v>
      </c>
      <c r="D82" s="668" t="s">
        <v>3485</v>
      </c>
      <c r="E82" s="669" t="s">
        <v>764</v>
      </c>
      <c r="F82" s="2859">
        <f ca="1">F31</f>
        <v>6216.26</v>
      </c>
      <c r="O82" s="1004" t="s">
        <v>401</v>
      </c>
      <c r="P82" s="996" t="s">
        <v>838</v>
      </c>
      <c r="Q82" s="1007">
        <f>L60</f>
        <v>0</v>
      </c>
      <c r="R82" s="997"/>
    </row>
    <row r="83" spans="1:18" ht="16.2" thickBot="1">
      <c r="A83" s="963"/>
      <c r="B83" s="495"/>
      <c r="C83" s="495"/>
      <c r="D83" s="963"/>
      <c r="E83" s="963"/>
      <c r="F83" s="963"/>
      <c r="O83" s="1004" t="s">
        <v>402</v>
      </c>
      <c r="P83" s="996" t="s">
        <v>841</v>
      </c>
      <c r="Q83" s="3153" t="e">
        <f ca="1">L66</f>
        <v>#DIV/0!</v>
      </c>
      <c r="R83" s="997" t="s">
        <v>842</v>
      </c>
    </row>
    <row r="84" spans="1:18" ht="13.8"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8" thickBot="1">
      <c r="A85" s="963"/>
      <c r="B85" s="223" t="s">
        <v>781</v>
      </c>
      <c r="C85" s="2925">
        <f ca="1">ROUND(C52*C86,0)</f>
        <v>208</v>
      </c>
      <c r="D85" s="963"/>
      <c r="E85" s="963"/>
      <c r="F85" s="963"/>
      <c r="K85" s="979"/>
      <c r="L85" s="963"/>
      <c r="O85" s="995" t="s">
        <v>403</v>
      </c>
      <c r="P85" s="996" t="s">
        <v>824</v>
      </c>
      <c r="Q85" s="3152">
        <f ca="1">Q73+Q74</f>
        <v>10821</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0.71899999999999997</v>
      </c>
    </row>
    <row r="90" spans="1:18">
      <c r="B90" s="223" t="s">
        <v>786</v>
      </c>
      <c r="C90" s="2926">
        <f ca="1">ROUND(C85/C26,3)</f>
        <v>0.28100000000000003</v>
      </c>
    </row>
    <row r="91" spans="1:18">
      <c r="B91" s="166" t="s">
        <v>787</v>
      </c>
      <c r="C91" s="134"/>
    </row>
    <row r="92" spans="1:18">
      <c r="B92" s="169" t="s">
        <v>788</v>
      </c>
      <c r="C92" s="2927">
        <f ca="1">1-C93</f>
        <v>0.73399999999999999</v>
      </c>
    </row>
    <row r="93" spans="1:18">
      <c r="B93" s="169" t="s">
        <v>789</v>
      </c>
      <c r="C93" s="2926">
        <f ca="1">ROUND(C52/(C27+J30+L54),3)</f>
        <v>0.26600000000000001</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600-000000000000}">
      <formula1>"按不含税租金收入（有效毛租金收入）计税,按房产原值计税"</formula1>
    </dataValidation>
    <dataValidation type="list" allowBlank="1" showInputMessage="1" showErrorMessage="1" sqref="D69 D18"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5" xr:uid="{00000000-0002-0000-1600-000003000000}">
      <formula1>"钢,钢混,砖混"</formula1>
    </dataValidation>
    <dataValidation type="list" allowBlank="1" showInputMessage="1" showErrorMessage="1" sqref="J56" xr:uid="{00000000-0002-0000-1600-000004000000}">
      <formula1>"非生产用房,生产用房,受腐蚀的生产用房"</formula1>
    </dataValidation>
    <dataValidation type="list" allowBlank="1" showInputMessage="1" showErrorMessage="1" sqref="J64" xr:uid="{00000000-0002-0000-1600-000005000000}">
      <formula1>估价范围判定</formula1>
    </dataValidation>
    <dataValidation type="list" allowBlank="1" showInputMessage="1" showErrorMessage="1" sqref="L63" xr:uid="{00000000-0002-0000-1600-000006000000}">
      <formula1>"比较法,基准地价,收益还原"</formula1>
    </dataValidation>
    <dataValidation type="list" allowBlank="1" showInputMessage="1" showErrorMessage="1" sqref="M10 F10 F61"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1"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48" t="s">
        <v>391</v>
      </c>
      <c r="B7" s="4451" t="s">
        <v>3811</v>
      </c>
      <c r="C7" s="4461">
        <f ca="1">ROUND(F6*F7*F8,0)</f>
        <v>0</v>
      </c>
      <c r="D7" s="4450" t="s">
        <v>3483</v>
      </c>
      <c r="E7" s="737" t="s">
        <v>683</v>
      </c>
      <c r="F7" s="3555">
        <f ca="1">IF(INDIRECT("'数据-取费表'!ah"&amp;$G$1)="",INDIRECT("'数据-取费表'!k"&amp;$G$1),INDIRECT("'数据-取费表'!ah"&amp;$G$1))</f>
        <v>0</v>
      </c>
      <c r="G7" s="963"/>
      <c r="H7" s="4448" t="s">
        <v>391</v>
      </c>
      <c r="I7" s="4451" t="s">
        <v>3811</v>
      </c>
      <c r="J7" s="4460">
        <f ca="1">ROUND(M6*M8*M7,0)</f>
        <v>0</v>
      </c>
      <c r="K7" s="4450" t="s">
        <v>3483</v>
      </c>
      <c r="L7" s="1902" t="s">
        <v>683</v>
      </c>
      <c r="M7" s="3591">
        <f ca="1">F7</f>
        <v>0</v>
      </c>
    </row>
    <row r="8" spans="1:37" ht="18" customHeight="1">
      <c r="A8" s="4449"/>
      <c r="B8" s="4452"/>
      <c r="C8" s="4461"/>
      <c r="D8" s="4450"/>
      <c r="E8" s="187" t="s">
        <v>684</v>
      </c>
      <c r="F8" s="3555">
        <f ca="1">INDIRECT("'数据-取费表'!ai"&amp;$G$1)</f>
        <v>0</v>
      </c>
      <c r="G8" s="963"/>
      <c r="H8" s="4449"/>
      <c r="I8" s="4452"/>
      <c r="J8" s="4460"/>
      <c r="K8" s="4450"/>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0.12000000000000001</v>
      </c>
      <c r="G15" s="973"/>
      <c r="H15" s="677" t="s">
        <v>391</v>
      </c>
      <c r="I15" s="2795" t="s">
        <v>3286</v>
      </c>
      <c r="J15" s="2781">
        <f ca="1">ROUND((J16-J17)*(1+M15),0)</f>
        <v>0</v>
      </c>
      <c r="K15" s="1022"/>
      <c r="L15" s="1902" t="s">
        <v>3446</v>
      </c>
      <c r="M15" s="3584">
        <f>'数据-取费表'!B44</f>
        <v>0.12000000000000001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0</v>
      </c>
      <c r="G19" s="963"/>
      <c r="H19" s="4024" t="s">
        <v>667</v>
      </c>
      <c r="I19" s="56" t="s">
        <v>716</v>
      </c>
      <c r="J19" s="3147">
        <f ca="1">ROUND(M19*M20,0)</f>
        <v>0</v>
      </c>
      <c r="K19" s="208" t="s">
        <v>717</v>
      </c>
      <c r="L19" s="1902" t="s">
        <v>718</v>
      </c>
      <c r="M19" s="3589">
        <f>'数据-取费表'!B53</f>
        <v>0</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0.05</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0.01</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0+0.0005V建</v>
      </c>
      <c r="D42" s="2762" t="str">
        <f>IF(F43&lt;=1,"单利计息。","复利计息。")&amp;"建造成本、管理费用、销售费用产生的利息。"</f>
        <v>复利计息。建造成本、管理费用、销售费用产生的利息。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63">
        <f>'数据-取费表'!B20</f>
        <v>1.5</v>
      </c>
      <c r="G43" s="963"/>
      <c r="H43" s="47"/>
      <c r="I43" s="47"/>
      <c r="J43" s="47"/>
      <c r="K43" s="1895"/>
      <c r="L43" s="47"/>
      <c r="M43" s="47"/>
    </row>
    <row r="44" spans="1:13" ht="18" customHeight="1">
      <c r="A44" s="2778" t="s">
        <v>731</v>
      </c>
      <c r="B44" s="187" t="s">
        <v>732</v>
      </c>
      <c r="C44" s="3556">
        <f ca="1">ROUND(IF('数据-取费表'!B22&lt;=1,F41*F44*F43/2,F41*(POWER((1+F44),F43/2)-1)),4)</f>
        <v>5.0000000000000001E-4</v>
      </c>
      <c r="D44" s="55" t="str">
        <f>IF(F43&lt;=1,"销售费用×利率×(建设周期÷2)","销售费用×((1+利率)^(建设周期÷2)-1)")</f>
        <v>销售费用×((1+利率)^(建设周期÷2)-1)</v>
      </c>
      <c r="E44" s="187" t="s">
        <v>733</v>
      </c>
      <c r="F44" s="2853">
        <f ca="1">'数据-取费表'!B41</f>
        <v>3.0599999999999999E-2</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8"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8"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40.200000000000003"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1" t="s">
        <v>3811</v>
      </c>
      <c r="C57" s="3162">
        <f ca="1">ROUND(F56*F58*F57,0)</f>
        <v>0</v>
      </c>
      <c r="D57" s="4450"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2"/>
      <c r="C58" s="4015"/>
      <c r="D58" s="4450"/>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36.6"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54" t="s">
        <v>823</v>
      </c>
      <c r="L60" s="4455"/>
      <c r="O60" s="995" t="s">
        <v>403</v>
      </c>
      <c r="P60" s="996" t="s">
        <v>824</v>
      </c>
      <c r="Q60" s="3574" t="e">
        <f ca="1">Q54+Q55</f>
        <v>#DIV/0!</v>
      </c>
      <c r="R60" s="997" t="s">
        <v>404</v>
      </c>
    </row>
    <row r="61" spans="1:18" s="963" customFormat="1" ht="24.6"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8"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37.200000000000003"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6"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6" thickBot="1">
      <c r="A65" s="2778" t="s">
        <v>391</v>
      </c>
      <c r="B65" s="2795" t="s">
        <v>3286</v>
      </c>
      <c r="C65" s="2781">
        <f ca="1">ROUND((C66-C67)*(1+F65),0)</f>
        <v>0</v>
      </c>
      <c r="D65" s="2825" t="s">
        <v>3452</v>
      </c>
      <c r="E65" s="187" t="s">
        <v>3446</v>
      </c>
      <c r="F65" s="2854">
        <f>F15</f>
        <v>0.12000000000000001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6"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2"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8"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8" thickBot="1">
      <c r="A69" s="4010" t="s">
        <v>770</v>
      </c>
      <c r="B69" s="644" t="s">
        <v>771</v>
      </c>
      <c r="C69" s="3147">
        <f ca="1">IF(项目基本情况!B11="自然人","——",ROUND(F69*F70,0))</f>
        <v>0</v>
      </c>
      <c r="D69" s="660" t="s">
        <v>772</v>
      </c>
      <c r="E69" s="645" t="s">
        <v>718</v>
      </c>
      <c r="F69" s="3563">
        <f t="shared" si="0"/>
        <v>0</v>
      </c>
      <c r="I69" s="1037" t="s">
        <v>844</v>
      </c>
      <c r="J69" s="1038" t="s">
        <v>845</v>
      </c>
      <c r="K69" s="1038" t="s">
        <v>846</v>
      </c>
      <c r="L69" s="1038" t="s">
        <v>847</v>
      </c>
      <c r="M69" s="1039" t="s">
        <v>848</v>
      </c>
      <c r="O69" s="995" t="s">
        <v>403</v>
      </c>
      <c r="P69" s="996" t="s">
        <v>824</v>
      </c>
      <c r="Q69" s="3574" t="e">
        <f ca="1">Q63+Q64</f>
        <v>#DIV/0!</v>
      </c>
      <c r="R69" s="997" t="s">
        <v>404</v>
      </c>
    </row>
    <row r="70" spans="1:18" s="963" customFormat="1" ht="13.8"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8"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8"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2"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8" thickBot="1">
      <c r="A74" s="4035"/>
      <c r="B74" s="651"/>
      <c r="C74" s="4045"/>
      <c r="D74" s="4028"/>
      <c r="E74" s="645" t="s">
        <v>698</v>
      </c>
      <c r="F74" s="2856">
        <f ca="1">F23</f>
        <v>0</v>
      </c>
      <c r="O74" s="995"/>
      <c r="P74" s="996"/>
      <c r="Q74" s="3578"/>
      <c r="R74" s="997"/>
    </row>
    <row r="75" spans="1:18" s="963" customFormat="1" ht="17.399999999999999"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24.6" thickBot="1">
      <c r="A76" s="652" t="s">
        <v>388</v>
      </c>
      <c r="B76" s="662" t="s">
        <v>738</v>
      </c>
      <c r="C76" s="2829">
        <f ca="1">C55-C63</f>
        <v>0</v>
      </c>
      <c r="D76" s="658" t="s">
        <v>3889</v>
      </c>
      <c r="E76" s="663"/>
      <c r="F76" s="2857"/>
      <c r="O76" s="1004"/>
      <c r="P76" s="996"/>
      <c r="Q76" s="3579"/>
      <c r="R76" s="997"/>
    </row>
    <row r="77" spans="1:18" s="963" customFormat="1" ht="16.2"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8" thickBot="1">
      <c r="A78" s="3333"/>
      <c r="B78" s="647"/>
      <c r="C78" s="3163"/>
      <c r="D78" s="2876" t="s">
        <v>748</v>
      </c>
      <c r="E78" s="645" t="s">
        <v>749</v>
      </c>
      <c r="F78" s="2858">
        <f ca="1">F28</f>
        <v>0</v>
      </c>
      <c r="O78" s="1004" t="s">
        <v>405</v>
      </c>
      <c r="P78" s="1042" t="s">
        <v>858</v>
      </c>
      <c r="Q78" s="3579">
        <f ca="1">C26</f>
        <v>0</v>
      </c>
      <c r="R78" s="997" t="s">
        <v>804</v>
      </c>
    </row>
    <row r="79" spans="1:18" s="963" customFormat="1" ht="13.8" thickBot="1">
      <c r="A79" s="3334"/>
      <c r="B79" s="2877"/>
      <c r="C79" s="2877"/>
      <c r="D79" s="2874"/>
      <c r="E79" s="645" t="s">
        <v>752</v>
      </c>
      <c r="F79" s="2851"/>
      <c r="O79" s="1004" t="s">
        <v>406</v>
      </c>
      <c r="P79" s="1042" t="s">
        <v>859</v>
      </c>
      <c r="Q79" s="3579">
        <f ca="1">C50</f>
        <v>0</v>
      </c>
      <c r="R79" s="997" t="s">
        <v>804</v>
      </c>
    </row>
    <row r="80" spans="1:18" s="963" customFormat="1" ht="13.8"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8"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2" thickBot="1">
      <c r="A82" s="963"/>
      <c r="B82" s="495"/>
      <c r="C82" s="495"/>
      <c r="D82" s="963"/>
      <c r="E82" s="963"/>
      <c r="F82" s="963"/>
      <c r="O82" s="1004" t="s">
        <v>402</v>
      </c>
      <c r="P82" s="996" t="s">
        <v>841</v>
      </c>
      <c r="Q82" s="3578" t="e">
        <f ca="1">L65</f>
        <v>#DIV/0!</v>
      </c>
      <c r="R82" s="997" t="s">
        <v>842</v>
      </c>
    </row>
    <row r="83" spans="1:18" ht="13.8"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8"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0" xr:uid="{00000000-0002-0000-1700-000002000000}">
      <formula1>"押一,押二,押三,自定义"</formula1>
    </dataValidation>
    <dataValidation type="list" allowBlank="1" showInputMessage="1" showErrorMessage="1" sqref="L62" xr:uid="{00000000-0002-0000-1700-000003000000}">
      <formula1>"比较法,基准地价,收益还原"</formula1>
    </dataValidation>
    <dataValidation type="list" allowBlank="1" showInputMessage="1" showErrorMessage="1" sqref="J63" xr:uid="{00000000-0002-0000-1700-000004000000}">
      <formula1>估价范围判定</formula1>
    </dataValidation>
    <dataValidation type="list" allowBlank="1" showInputMessage="1" showErrorMessage="1" sqref="J55" xr:uid="{00000000-0002-0000-1700-000005000000}">
      <formula1>"非生产用房,生产用房,受腐蚀的生产用房"</formula1>
    </dataValidation>
    <dataValidation type="list" allowBlank="1" showInputMessage="1" showErrorMessage="1" sqref="J54"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"按不含税租金收入（有效毛租金收入）计税,按房产原值计税,按票据"</formula1>
    </dataValidation>
    <dataValidation type="list" allowBlank="1" showInputMessage="1" showErrorMessage="1" sqref="K18" xr:uid="{00000000-0002-0000-1700-000009000000}">
      <formula1>"按不含税租金收入（有效毛租金收入）计税,按房产原值计税"</formula1>
    </dataValidation>
    <dataValidation type="list" allowBlank="1" showInputMessage="1" showErrorMessage="1" sqref="D30"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62" t="s">
        <v>680</v>
      </c>
      <c r="C6" s="735">
        <f ca="1">ROUND(F6*F8*F7*(1-F9),0)</f>
        <v>0</v>
      </c>
      <c r="D6" s="56" t="s">
        <v>2021</v>
      </c>
      <c r="E6" s="187" t="s">
        <v>682</v>
      </c>
      <c r="F6" s="188">
        <f ca="1">INDIRECT("'数据-取费表'!u"&amp;$G$1)</f>
        <v>0</v>
      </c>
      <c r="G6" s="963"/>
      <c r="H6" s="730" t="s">
        <v>392</v>
      </c>
      <c r="I6" s="4462" t="s">
        <v>680</v>
      </c>
      <c r="J6" s="186">
        <f ca="1">ROUND(M6*M8*M7*(1-M9),0)</f>
        <v>0</v>
      </c>
      <c r="K6" s="955" t="s">
        <v>2022</v>
      </c>
      <c r="L6" s="187" t="s">
        <v>682</v>
      </c>
      <c r="M6" s="188">
        <f ca="1">INDIRECT("'数据-取费表'!z"&amp;$G$1)</f>
        <v>0</v>
      </c>
    </row>
    <row r="7" spans="1:37" ht="18" customHeight="1">
      <c r="A7" s="734"/>
      <c r="B7" s="4463"/>
      <c r="C7" s="736"/>
      <c r="D7" s="192"/>
      <c r="E7" s="737" t="s">
        <v>683</v>
      </c>
      <c r="F7" s="188">
        <f ca="1">IF(INDIRECT("'数据-取费表'!ah"&amp;$G$1)="",INDIRECT("'数据-取费表'!k"&amp;$G$1),INDIRECT("'数据-取费表'!ah"&amp;$G$1))</f>
        <v>0</v>
      </c>
      <c r="G7" s="963"/>
      <c r="H7" s="189"/>
      <c r="I7" s="4463"/>
      <c r="J7" s="191"/>
      <c r="K7" s="192"/>
      <c r="L7" s="187" t="s">
        <v>683</v>
      </c>
      <c r="M7" s="188">
        <f ca="1">F7</f>
        <v>0</v>
      </c>
    </row>
    <row r="8" spans="1:37" ht="18" customHeight="1">
      <c r="A8" s="189"/>
      <c r="B8" s="4463"/>
      <c r="C8" s="191"/>
      <c r="D8" s="192"/>
      <c r="E8" s="187" t="s">
        <v>684</v>
      </c>
      <c r="F8" s="188">
        <f ca="1">INDIRECT("'数据-取费表'!ai"&amp;$G$1)</f>
        <v>0</v>
      </c>
      <c r="G8" s="963"/>
      <c r="H8" s="189"/>
      <c r="I8" s="4463"/>
      <c r="J8" s="191"/>
      <c r="K8" s="192"/>
      <c r="L8" s="187" t="s">
        <v>684</v>
      </c>
      <c r="M8" s="188">
        <f ca="1">INDIRECT("'数据-取费表'!ai"&amp;$G$1)</f>
        <v>0</v>
      </c>
    </row>
    <row r="9" spans="1:37" ht="18" customHeight="1">
      <c r="A9" s="189"/>
      <c r="B9" s="4464"/>
      <c r="C9" s="191"/>
      <c r="D9" s="192"/>
      <c r="E9" s="187" t="s">
        <v>685</v>
      </c>
      <c r="F9" s="197">
        <f ca="1">INDIRECT("'数据-取费表'!w"&amp;$G$1)</f>
        <v>0</v>
      </c>
      <c r="G9" s="963"/>
      <c r="H9" s="189"/>
      <c r="I9" s="4464"/>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0.05</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0.01</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0</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复利计息。建造成本、管理费用、销售费用产生的利息。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1.5</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5.0000000000000001E-4</v>
      </c>
      <c r="D24" s="55" t="str">
        <f>IF(F23&lt;=1,"销售费用×利率×(建设周期÷2)","销售费用×((1+利率)^(建设周期÷2)-1)")</f>
        <v>销售费用×((1+利率)^(建设周期÷2)-1)</v>
      </c>
      <c r="E24" s="187" t="s">
        <v>733</v>
      </c>
      <c r="F24" s="214">
        <f ca="1">'数据-取费表'!B41</f>
        <v>3.0599999999999999E-2</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0</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8"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8"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40.200000000000003"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8"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8"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8"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8"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54" t="s">
        <v>823</v>
      </c>
      <c r="L53" s="4455"/>
      <c r="O53" s="995" t="s">
        <v>403</v>
      </c>
      <c r="P53" s="996" t="s">
        <v>824</v>
      </c>
      <c r="Q53" s="997" t="e">
        <f ca="1">Q47+Q48</f>
        <v>#DIV/0!</v>
      </c>
      <c r="R53" s="997" t="s">
        <v>404</v>
      </c>
    </row>
    <row r="54" spans="1:18" s="963" customFormat="1" ht="13.8"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8"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6"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6"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6"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2"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8"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8" thickBot="1">
      <c r="A62" s="677" t="s">
        <v>770</v>
      </c>
      <c r="B62" s="644" t="s">
        <v>771</v>
      </c>
      <c r="C62" s="13">
        <f ca="1">IF(项目基本情况!B11="自然人","——",ROUND(F62*F63,0))</f>
        <v>0</v>
      </c>
      <c r="D62" s="660" t="s">
        <v>772</v>
      </c>
      <c r="E62" s="645" t="s">
        <v>773</v>
      </c>
      <c r="F62" s="209">
        <f t="shared" si="0"/>
        <v>0</v>
      </c>
      <c r="I62" s="1037" t="s">
        <v>844</v>
      </c>
      <c r="J62" s="1038" t="s">
        <v>845</v>
      </c>
      <c r="K62" s="1038" t="s">
        <v>846</v>
      </c>
      <c r="L62" s="1038" t="s">
        <v>847</v>
      </c>
      <c r="M62" s="1039" t="s">
        <v>848</v>
      </c>
      <c r="O62" s="995" t="s">
        <v>403</v>
      </c>
      <c r="P62" s="996" t="s">
        <v>849</v>
      </c>
      <c r="Q62" s="997" t="e">
        <f ca="1">Q56+Q57</f>
        <v>#DIV/0!</v>
      </c>
      <c r="R62" s="997" t="s">
        <v>404</v>
      </c>
    </row>
    <row r="63" spans="1:18" s="963" customFormat="1" ht="13.8"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8"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8"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2"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24.6" thickBot="1">
      <c r="A67" s="652" t="s">
        <v>388</v>
      </c>
      <c r="B67" s="662" t="s">
        <v>738</v>
      </c>
      <c r="C67" s="201">
        <f ca="1">C48-C58</f>
        <v>0</v>
      </c>
      <c r="D67" s="658" t="s">
        <v>739</v>
      </c>
      <c r="E67" s="663"/>
      <c r="F67" s="664"/>
      <c r="O67" s="1004" t="s">
        <v>399</v>
      </c>
      <c r="P67" s="996" t="s">
        <v>836</v>
      </c>
      <c r="Q67" s="1041">
        <f ca="1">L51</f>
        <v>0</v>
      </c>
      <c r="R67" s="997" t="s">
        <v>856</v>
      </c>
    </row>
    <row r="68" spans="1:18" s="963" customFormat="1" ht="16.2"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8" thickBot="1">
      <c r="A69" s="646"/>
      <c r="B69" s="647"/>
      <c r="C69" s="191"/>
      <c r="D69" s="665" t="s">
        <v>748</v>
      </c>
      <c r="E69" s="645" t="s">
        <v>749</v>
      </c>
      <c r="F69" s="216">
        <f ca="1">F41</f>
        <v>0</v>
      </c>
      <c r="O69" s="1004" t="s">
        <v>405</v>
      </c>
      <c r="P69" s="1042" t="s">
        <v>858</v>
      </c>
      <c r="Q69" s="997">
        <f ca="1">C39</f>
        <v>0</v>
      </c>
      <c r="R69" s="997" t="s">
        <v>804</v>
      </c>
    </row>
    <row r="70" spans="1:18" s="963" customFormat="1" ht="13.8" thickBot="1">
      <c r="A70" s="649"/>
      <c r="B70" s="650"/>
      <c r="C70" s="195"/>
      <c r="D70" s="661"/>
      <c r="E70" s="645" t="s">
        <v>752</v>
      </c>
      <c r="F70" s="715"/>
      <c r="O70" s="1004" t="s">
        <v>406</v>
      </c>
      <c r="P70" s="1042" t="s">
        <v>859</v>
      </c>
      <c r="Q70" s="997">
        <f ca="1">C13</f>
        <v>0</v>
      </c>
      <c r="R70" s="997" t="s">
        <v>804</v>
      </c>
    </row>
    <row r="71" spans="1:18" s="963" customFormat="1" ht="13.8"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8" thickBot="1">
      <c r="B72" s="495"/>
      <c r="C72" s="495"/>
      <c r="O72" s="1004" t="s">
        <v>401</v>
      </c>
      <c r="P72" s="996" t="s">
        <v>838</v>
      </c>
      <c r="Q72" s="1007">
        <f>L52</f>
        <v>0</v>
      </c>
      <c r="R72" s="997"/>
    </row>
    <row r="73" spans="1:18" ht="16.2" thickBot="1">
      <c r="A73" s="963"/>
      <c r="B73" s="495"/>
      <c r="C73" s="495"/>
      <c r="D73" s="963"/>
      <c r="E73" s="963"/>
      <c r="F73" s="963"/>
      <c r="O73" s="1004" t="s">
        <v>402</v>
      </c>
      <c r="P73" s="996" t="s">
        <v>841</v>
      </c>
      <c r="Q73" s="997" t="e">
        <f ca="1">L58</f>
        <v>#DIV/0!</v>
      </c>
      <c r="R73" s="997" t="s">
        <v>842</v>
      </c>
    </row>
    <row r="74" spans="1:18" ht="13.8"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8"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1" customWidth="1"/>
    <col min="2" max="2" width="8.88671875" style="2101"/>
    <col min="3" max="5" width="12.88671875" style="2101" customWidth="1"/>
    <col min="6" max="6" width="47.44140625" style="2101" customWidth="1"/>
    <col min="7" max="7" width="13" style="2095" customWidth="1"/>
    <col min="8" max="8" width="8.88671875" style="2095"/>
    <col min="9" max="9" width="8.88671875" style="2096"/>
    <col min="10" max="10" width="5.77734375" style="2214" customWidth="1"/>
    <col min="11" max="11" width="11.77734375" style="2214" customWidth="1"/>
    <col min="12" max="13" width="10.77734375" style="2214" customWidth="1"/>
    <col min="14" max="14" width="10" style="2214" customWidth="1"/>
    <col min="15" max="16" width="10.44140625" style="2214" bestFit="1"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096"/>
    <col min="23" max="256" width="8.88671875" style="2101"/>
    <col min="257" max="257" width="9.44140625" style="2101" customWidth="1"/>
    <col min="258" max="258" width="8.88671875" style="2101"/>
    <col min="259" max="261" width="12.88671875" style="2101" customWidth="1"/>
    <col min="262" max="262" width="47.44140625" style="2101" customWidth="1"/>
    <col min="263" max="263" width="13" style="2101" customWidth="1"/>
    <col min="264" max="265" width="8.88671875" style="2101"/>
    <col min="266" max="266" width="5.77734375" style="2101" customWidth="1"/>
    <col min="267" max="267" width="11.77734375" style="2101" customWidth="1"/>
    <col min="268" max="269" width="10.77734375" style="2101" customWidth="1"/>
    <col min="270" max="270" width="10" style="2101" customWidth="1"/>
    <col min="271" max="272" width="10.44140625" style="2101" bestFit="1" customWidth="1"/>
    <col min="273" max="273" width="10" style="2101" customWidth="1"/>
    <col min="274" max="274" width="10.109375" style="2101" customWidth="1"/>
    <col min="275" max="275" width="10" style="2101" customWidth="1"/>
    <col min="276" max="276" width="26.109375" style="2101" customWidth="1"/>
    <col min="277" max="512" width="8.88671875" style="2101"/>
    <col min="513" max="513" width="9.44140625" style="2101" customWidth="1"/>
    <col min="514" max="514" width="8.88671875" style="2101"/>
    <col min="515" max="517" width="12.88671875" style="2101" customWidth="1"/>
    <col min="518" max="518" width="47.44140625" style="2101" customWidth="1"/>
    <col min="519" max="519" width="13" style="2101" customWidth="1"/>
    <col min="520" max="521" width="8.88671875" style="2101"/>
    <col min="522" max="522" width="5.77734375" style="2101" customWidth="1"/>
    <col min="523" max="523" width="11.77734375" style="2101" customWidth="1"/>
    <col min="524" max="525" width="10.77734375" style="2101" customWidth="1"/>
    <col min="526" max="526" width="10" style="2101" customWidth="1"/>
    <col min="527" max="528" width="10.44140625" style="2101" bestFit="1" customWidth="1"/>
    <col min="529" max="529" width="10" style="2101" customWidth="1"/>
    <col min="530" max="530" width="10.109375" style="2101" customWidth="1"/>
    <col min="531" max="531" width="10" style="2101" customWidth="1"/>
    <col min="532" max="532" width="26.109375" style="2101" customWidth="1"/>
    <col min="533" max="768" width="8.88671875" style="2101"/>
    <col min="769" max="769" width="9.44140625" style="2101" customWidth="1"/>
    <col min="770" max="770" width="8.88671875" style="2101"/>
    <col min="771" max="773" width="12.88671875" style="2101" customWidth="1"/>
    <col min="774" max="774" width="47.44140625" style="2101" customWidth="1"/>
    <col min="775" max="775" width="13" style="2101" customWidth="1"/>
    <col min="776" max="777" width="8.88671875" style="2101"/>
    <col min="778" max="778" width="5.77734375" style="2101" customWidth="1"/>
    <col min="779" max="779" width="11.77734375" style="2101" customWidth="1"/>
    <col min="780" max="781" width="10.77734375" style="2101" customWidth="1"/>
    <col min="782" max="782" width="10" style="2101" customWidth="1"/>
    <col min="783" max="784" width="10.44140625" style="2101" bestFit="1" customWidth="1"/>
    <col min="785" max="785" width="10" style="2101" customWidth="1"/>
    <col min="786" max="786" width="10.109375" style="2101" customWidth="1"/>
    <col min="787" max="787" width="10" style="2101" customWidth="1"/>
    <col min="788" max="788" width="26.109375" style="2101" customWidth="1"/>
    <col min="789" max="1024" width="8.88671875" style="2101"/>
    <col min="1025" max="1025" width="9.44140625" style="2101" customWidth="1"/>
    <col min="1026" max="1026" width="8.88671875" style="2101"/>
    <col min="1027" max="1029" width="12.88671875" style="2101" customWidth="1"/>
    <col min="1030" max="1030" width="47.44140625" style="2101" customWidth="1"/>
    <col min="1031" max="1031" width="13" style="2101" customWidth="1"/>
    <col min="1032" max="1033" width="8.88671875" style="2101"/>
    <col min="1034" max="1034" width="5.77734375" style="2101" customWidth="1"/>
    <col min="1035" max="1035" width="11.77734375" style="2101" customWidth="1"/>
    <col min="1036" max="1037" width="10.77734375" style="2101" customWidth="1"/>
    <col min="1038" max="1038" width="10" style="2101" customWidth="1"/>
    <col min="1039" max="1040" width="10.44140625" style="2101" bestFit="1" customWidth="1"/>
    <col min="1041" max="1041" width="10" style="2101" customWidth="1"/>
    <col min="1042" max="1042" width="10.109375" style="2101" customWidth="1"/>
    <col min="1043" max="1043" width="10" style="2101" customWidth="1"/>
    <col min="1044" max="1044" width="26.109375" style="2101" customWidth="1"/>
    <col min="1045" max="1280" width="8.88671875" style="2101"/>
    <col min="1281" max="1281" width="9.44140625" style="2101" customWidth="1"/>
    <col min="1282" max="1282" width="8.88671875" style="2101"/>
    <col min="1283" max="1285" width="12.88671875" style="2101" customWidth="1"/>
    <col min="1286" max="1286" width="47.44140625" style="2101" customWidth="1"/>
    <col min="1287" max="1287" width="13" style="2101" customWidth="1"/>
    <col min="1288" max="1289" width="8.88671875" style="2101"/>
    <col min="1290" max="1290" width="5.77734375" style="2101" customWidth="1"/>
    <col min="1291" max="1291" width="11.77734375" style="2101" customWidth="1"/>
    <col min="1292" max="1293" width="10.77734375" style="2101" customWidth="1"/>
    <col min="1294" max="1294" width="10" style="2101" customWidth="1"/>
    <col min="1295" max="1296" width="10.44140625" style="2101" bestFit="1" customWidth="1"/>
    <col min="1297" max="1297" width="10" style="2101" customWidth="1"/>
    <col min="1298" max="1298" width="10.109375" style="2101" customWidth="1"/>
    <col min="1299" max="1299" width="10" style="2101" customWidth="1"/>
    <col min="1300" max="1300" width="26.109375" style="2101" customWidth="1"/>
    <col min="1301" max="1536" width="8.88671875" style="2101"/>
    <col min="1537" max="1537" width="9.44140625" style="2101" customWidth="1"/>
    <col min="1538" max="1538" width="8.88671875" style="2101"/>
    <col min="1539" max="1541" width="12.88671875" style="2101" customWidth="1"/>
    <col min="1542" max="1542" width="47.44140625" style="2101" customWidth="1"/>
    <col min="1543" max="1543" width="13" style="2101" customWidth="1"/>
    <col min="1544" max="1545" width="8.88671875" style="2101"/>
    <col min="1546" max="1546" width="5.77734375" style="2101" customWidth="1"/>
    <col min="1547" max="1547" width="11.77734375" style="2101" customWidth="1"/>
    <col min="1548" max="1549" width="10.77734375" style="2101" customWidth="1"/>
    <col min="1550" max="1550" width="10" style="2101" customWidth="1"/>
    <col min="1551" max="1552" width="10.44140625" style="2101" bestFit="1" customWidth="1"/>
    <col min="1553" max="1553" width="10" style="2101" customWidth="1"/>
    <col min="1554" max="1554" width="10.109375" style="2101" customWidth="1"/>
    <col min="1555" max="1555" width="10" style="2101" customWidth="1"/>
    <col min="1556" max="1556" width="26.109375" style="2101" customWidth="1"/>
    <col min="1557" max="1792" width="8.88671875" style="2101"/>
    <col min="1793" max="1793" width="9.44140625" style="2101" customWidth="1"/>
    <col min="1794" max="1794" width="8.88671875" style="2101"/>
    <col min="1795" max="1797" width="12.88671875" style="2101" customWidth="1"/>
    <col min="1798" max="1798" width="47.44140625" style="2101" customWidth="1"/>
    <col min="1799" max="1799" width="13" style="2101" customWidth="1"/>
    <col min="1800" max="1801" width="8.88671875" style="2101"/>
    <col min="1802" max="1802" width="5.77734375" style="2101" customWidth="1"/>
    <col min="1803" max="1803" width="11.77734375" style="2101" customWidth="1"/>
    <col min="1804" max="1805" width="10.77734375" style="2101" customWidth="1"/>
    <col min="1806" max="1806" width="10" style="2101" customWidth="1"/>
    <col min="1807" max="1808" width="10.44140625" style="2101" bestFit="1" customWidth="1"/>
    <col min="1809" max="1809" width="10" style="2101" customWidth="1"/>
    <col min="1810" max="1810" width="10.109375" style="2101" customWidth="1"/>
    <col min="1811" max="1811" width="10" style="2101" customWidth="1"/>
    <col min="1812" max="1812" width="26.109375" style="2101" customWidth="1"/>
    <col min="1813" max="2048" width="8.88671875" style="2101"/>
    <col min="2049" max="2049" width="9.44140625" style="2101" customWidth="1"/>
    <col min="2050" max="2050" width="8.88671875" style="2101"/>
    <col min="2051" max="2053" width="12.88671875" style="2101" customWidth="1"/>
    <col min="2054" max="2054" width="47.44140625" style="2101" customWidth="1"/>
    <col min="2055" max="2055" width="13" style="2101" customWidth="1"/>
    <col min="2056" max="2057" width="8.88671875" style="2101"/>
    <col min="2058" max="2058" width="5.77734375" style="2101" customWidth="1"/>
    <col min="2059" max="2059" width="11.77734375" style="2101" customWidth="1"/>
    <col min="2060" max="2061" width="10.77734375" style="2101" customWidth="1"/>
    <col min="2062" max="2062" width="10" style="2101" customWidth="1"/>
    <col min="2063" max="2064" width="10.44140625" style="2101" bestFit="1" customWidth="1"/>
    <col min="2065" max="2065" width="10" style="2101" customWidth="1"/>
    <col min="2066" max="2066" width="10.109375" style="2101" customWidth="1"/>
    <col min="2067" max="2067" width="10" style="2101" customWidth="1"/>
    <col min="2068" max="2068" width="26.109375" style="2101" customWidth="1"/>
    <col min="2069" max="2304" width="8.88671875" style="2101"/>
    <col min="2305" max="2305" width="9.44140625" style="2101" customWidth="1"/>
    <col min="2306" max="2306" width="8.88671875" style="2101"/>
    <col min="2307" max="2309" width="12.88671875" style="2101" customWidth="1"/>
    <col min="2310" max="2310" width="47.44140625" style="2101" customWidth="1"/>
    <col min="2311" max="2311" width="13" style="2101" customWidth="1"/>
    <col min="2312" max="2313" width="8.88671875" style="2101"/>
    <col min="2314" max="2314" width="5.77734375" style="2101" customWidth="1"/>
    <col min="2315" max="2315" width="11.77734375" style="2101" customWidth="1"/>
    <col min="2316" max="2317" width="10.77734375" style="2101" customWidth="1"/>
    <col min="2318" max="2318" width="10" style="2101" customWidth="1"/>
    <col min="2319" max="2320" width="10.44140625" style="2101" bestFit="1" customWidth="1"/>
    <col min="2321" max="2321" width="10" style="2101" customWidth="1"/>
    <col min="2322" max="2322" width="10.109375" style="2101" customWidth="1"/>
    <col min="2323" max="2323" width="10" style="2101" customWidth="1"/>
    <col min="2324" max="2324" width="26.109375" style="2101" customWidth="1"/>
    <col min="2325" max="2560" width="8.88671875" style="2101"/>
    <col min="2561" max="2561" width="9.44140625" style="2101" customWidth="1"/>
    <col min="2562" max="2562" width="8.88671875" style="2101"/>
    <col min="2563" max="2565" width="12.88671875" style="2101" customWidth="1"/>
    <col min="2566" max="2566" width="47.44140625" style="2101" customWidth="1"/>
    <col min="2567" max="2567" width="13" style="2101" customWidth="1"/>
    <col min="2568" max="2569" width="8.88671875" style="2101"/>
    <col min="2570" max="2570" width="5.77734375" style="2101" customWidth="1"/>
    <col min="2571" max="2571" width="11.77734375" style="2101" customWidth="1"/>
    <col min="2572" max="2573" width="10.77734375" style="2101" customWidth="1"/>
    <col min="2574" max="2574" width="10" style="2101" customWidth="1"/>
    <col min="2575" max="2576" width="10.44140625" style="2101" bestFit="1" customWidth="1"/>
    <col min="2577" max="2577" width="10" style="2101" customWidth="1"/>
    <col min="2578" max="2578" width="10.109375" style="2101" customWidth="1"/>
    <col min="2579" max="2579" width="10" style="2101" customWidth="1"/>
    <col min="2580" max="2580" width="26.109375" style="2101" customWidth="1"/>
    <col min="2581" max="2816" width="8.88671875" style="2101"/>
    <col min="2817" max="2817" width="9.44140625" style="2101" customWidth="1"/>
    <col min="2818" max="2818" width="8.88671875" style="2101"/>
    <col min="2819" max="2821" width="12.88671875" style="2101" customWidth="1"/>
    <col min="2822" max="2822" width="47.44140625" style="2101" customWidth="1"/>
    <col min="2823" max="2823" width="13" style="2101" customWidth="1"/>
    <col min="2824" max="2825" width="8.88671875" style="2101"/>
    <col min="2826" max="2826" width="5.77734375" style="2101" customWidth="1"/>
    <col min="2827" max="2827" width="11.77734375" style="2101" customWidth="1"/>
    <col min="2828" max="2829" width="10.77734375" style="2101" customWidth="1"/>
    <col min="2830" max="2830" width="10" style="2101" customWidth="1"/>
    <col min="2831" max="2832" width="10.44140625" style="2101" bestFit="1" customWidth="1"/>
    <col min="2833" max="2833" width="10" style="2101" customWidth="1"/>
    <col min="2834" max="2834" width="10.109375" style="2101" customWidth="1"/>
    <col min="2835" max="2835" width="10" style="2101" customWidth="1"/>
    <col min="2836" max="2836" width="26.109375" style="2101" customWidth="1"/>
    <col min="2837" max="3072" width="8.88671875" style="2101"/>
    <col min="3073" max="3073" width="9.44140625" style="2101" customWidth="1"/>
    <col min="3074" max="3074" width="8.88671875" style="2101"/>
    <col min="3075" max="3077" width="12.88671875" style="2101" customWidth="1"/>
    <col min="3078" max="3078" width="47.44140625" style="2101" customWidth="1"/>
    <col min="3079" max="3079" width="13" style="2101" customWidth="1"/>
    <col min="3080" max="3081" width="8.88671875" style="2101"/>
    <col min="3082" max="3082" width="5.77734375" style="2101" customWidth="1"/>
    <col min="3083" max="3083" width="11.77734375" style="2101" customWidth="1"/>
    <col min="3084" max="3085" width="10.77734375" style="2101" customWidth="1"/>
    <col min="3086" max="3086" width="10" style="2101" customWidth="1"/>
    <col min="3087" max="3088" width="10.44140625" style="2101" bestFit="1" customWidth="1"/>
    <col min="3089" max="3089" width="10" style="2101" customWidth="1"/>
    <col min="3090" max="3090" width="10.109375" style="2101" customWidth="1"/>
    <col min="3091" max="3091" width="10" style="2101" customWidth="1"/>
    <col min="3092" max="3092" width="26.109375" style="2101" customWidth="1"/>
    <col min="3093" max="3328" width="8.88671875" style="2101"/>
    <col min="3329" max="3329" width="9.44140625" style="2101" customWidth="1"/>
    <col min="3330" max="3330" width="8.88671875" style="2101"/>
    <col min="3331" max="3333" width="12.88671875" style="2101" customWidth="1"/>
    <col min="3334" max="3334" width="47.44140625" style="2101" customWidth="1"/>
    <col min="3335" max="3335" width="13" style="2101" customWidth="1"/>
    <col min="3336" max="3337" width="8.88671875" style="2101"/>
    <col min="3338" max="3338" width="5.77734375" style="2101" customWidth="1"/>
    <col min="3339" max="3339" width="11.77734375" style="2101" customWidth="1"/>
    <col min="3340" max="3341" width="10.77734375" style="2101" customWidth="1"/>
    <col min="3342" max="3342" width="10" style="2101" customWidth="1"/>
    <col min="3343" max="3344" width="10.44140625" style="2101" bestFit="1" customWidth="1"/>
    <col min="3345" max="3345" width="10" style="2101" customWidth="1"/>
    <col min="3346" max="3346" width="10.109375" style="2101" customWidth="1"/>
    <col min="3347" max="3347" width="10" style="2101" customWidth="1"/>
    <col min="3348" max="3348" width="26.109375" style="2101" customWidth="1"/>
    <col min="3349" max="3584" width="8.88671875" style="2101"/>
    <col min="3585" max="3585" width="9.44140625" style="2101" customWidth="1"/>
    <col min="3586" max="3586" width="8.88671875" style="2101"/>
    <col min="3587" max="3589" width="12.88671875" style="2101" customWidth="1"/>
    <col min="3590" max="3590" width="47.44140625" style="2101" customWidth="1"/>
    <col min="3591" max="3591" width="13" style="2101" customWidth="1"/>
    <col min="3592" max="3593" width="8.88671875" style="2101"/>
    <col min="3594" max="3594" width="5.77734375" style="2101" customWidth="1"/>
    <col min="3595" max="3595" width="11.77734375" style="2101" customWidth="1"/>
    <col min="3596" max="3597" width="10.77734375" style="2101" customWidth="1"/>
    <col min="3598" max="3598" width="10" style="2101" customWidth="1"/>
    <col min="3599" max="3600" width="10.44140625" style="2101" bestFit="1" customWidth="1"/>
    <col min="3601" max="3601" width="10" style="2101" customWidth="1"/>
    <col min="3602" max="3602" width="10.109375" style="2101" customWidth="1"/>
    <col min="3603" max="3603" width="10" style="2101" customWidth="1"/>
    <col min="3604" max="3604" width="26.109375" style="2101" customWidth="1"/>
    <col min="3605" max="3840" width="8.88671875" style="2101"/>
    <col min="3841" max="3841" width="9.44140625" style="2101" customWidth="1"/>
    <col min="3842" max="3842" width="8.88671875" style="2101"/>
    <col min="3843" max="3845" width="12.88671875" style="2101" customWidth="1"/>
    <col min="3846" max="3846" width="47.44140625" style="2101" customWidth="1"/>
    <col min="3847" max="3847" width="13" style="2101" customWidth="1"/>
    <col min="3848" max="3849" width="8.88671875" style="2101"/>
    <col min="3850" max="3850" width="5.77734375" style="2101" customWidth="1"/>
    <col min="3851" max="3851" width="11.77734375" style="2101" customWidth="1"/>
    <col min="3852" max="3853" width="10.77734375" style="2101" customWidth="1"/>
    <col min="3854" max="3854" width="10" style="2101" customWidth="1"/>
    <col min="3855" max="3856" width="10.44140625" style="2101" bestFit="1" customWidth="1"/>
    <col min="3857" max="3857" width="10" style="2101" customWidth="1"/>
    <col min="3858" max="3858" width="10.109375" style="2101" customWidth="1"/>
    <col min="3859" max="3859" width="10" style="2101" customWidth="1"/>
    <col min="3860" max="3860" width="26.109375" style="2101" customWidth="1"/>
    <col min="3861" max="4096" width="8.88671875" style="2101"/>
    <col min="4097" max="4097" width="9.44140625" style="2101" customWidth="1"/>
    <col min="4098" max="4098" width="8.88671875" style="2101"/>
    <col min="4099" max="4101" width="12.88671875" style="2101" customWidth="1"/>
    <col min="4102" max="4102" width="47.44140625" style="2101" customWidth="1"/>
    <col min="4103" max="4103" width="13" style="2101" customWidth="1"/>
    <col min="4104" max="4105" width="8.88671875" style="2101"/>
    <col min="4106" max="4106" width="5.77734375" style="2101" customWidth="1"/>
    <col min="4107" max="4107" width="11.77734375" style="2101" customWidth="1"/>
    <col min="4108" max="4109" width="10.77734375" style="2101" customWidth="1"/>
    <col min="4110" max="4110" width="10" style="2101" customWidth="1"/>
    <col min="4111" max="4112" width="10.44140625" style="2101" bestFit="1" customWidth="1"/>
    <col min="4113" max="4113" width="10" style="2101" customWidth="1"/>
    <col min="4114" max="4114" width="10.109375" style="2101" customWidth="1"/>
    <col min="4115" max="4115" width="10" style="2101" customWidth="1"/>
    <col min="4116" max="4116" width="26.109375" style="2101" customWidth="1"/>
    <col min="4117" max="4352" width="8.88671875" style="2101"/>
    <col min="4353" max="4353" width="9.44140625" style="2101" customWidth="1"/>
    <col min="4354" max="4354" width="8.88671875" style="2101"/>
    <col min="4355" max="4357" width="12.88671875" style="2101" customWidth="1"/>
    <col min="4358" max="4358" width="47.44140625" style="2101" customWidth="1"/>
    <col min="4359" max="4359" width="13" style="2101" customWidth="1"/>
    <col min="4360" max="4361" width="8.88671875" style="2101"/>
    <col min="4362" max="4362" width="5.77734375" style="2101" customWidth="1"/>
    <col min="4363" max="4363" width="11.77734375" style="2101" customWidth="1"/>
    <col min="4364" max="4365" width="10.77734375" style="2101" customWidth="1"/>
    <col min="4366" max="4366" width="10" style="2101" customWidth="1"/>
    <col min="4367" max="4368" width="10.44140625" style="2101" bestFit="1" customWidth="1"/>
    <col min="4369" max="4369" width="10" style="2101" customWidth="1"/>
    <col min="4370" max="4370" width="10.109375" style="2101" customWidth="1"/>
    <col min="4371" max="4371" width="10" style="2101" customWidth="1"/>
    <col min="4372" max="4372" width="26.109375" style="2101" customWidth="1"/>
    <col min="4373" max="4608" width="8.88671875" style="2101"/>
    <col min="4609" max="4609" width="9.44140625" style="2101" customWidth="1"/>
    <col min="4610" max="4610" width="8.88671875" style="2101"/>
    <col min="4611" max="4613" width="12.88671875" style="2101" customWidth="1"/>
    <col min="4614" max="4614" width="47.44140625" style="2101" customWidth="1"/>
    <col min="4615" max="4615" width="13" style="2101" customWidth="1"/>
    <col min="4616" max="4617" width="8.88671875" style="2101"/>
    <col min="4618" max="4618" width="5.77734375" style="2101" customWidth="1"/>
    <col min="4619" max="4619" width="11.77734375" style="2101" customWidth="1"/>
    <col min="4620" max="4621" width="10.77734375" style="2101" customWidth="1"/>
    <col min="4622" max="4622" width="10" style="2101" customWidth="1"/>
    <col min="4623" max="4624" width="10.44140625" style="2101" bestFit="1" customWidth="1"/>
    <col min="4625" max="4625" width="10" style="2101" customWidth="1"/>
    <col min="4626" max="4626" width="10.109375" style="2101" customWidth="1"/>
    <col min="4627" max="4627" width="10" style="2101" customWidth="1"/>
    <col min="4628" max="4628" width="26.109375" style="2101" customWidth="1"/>
    <col min="4629" max="4864" width="8.88671875" style="2101"/>
    <col min="4865" max="4865" width="9.44140625" style="2101" customWidth="1"/>
    <col min="4866" max="4866" width="8.88671875" style="2101"/>
    <col min="4867" max="4869" width="12.88671875" style="2101" customWidth="1"/>
    <col min="4870" max="4870" width="47.44140625" style="2101" customWidth="1"/>
    <col min="4871" max="4871" width="13" style="2101" customWidth="1"/>
    <col min="4872" max="4873" width="8.88671875" style="2101"/>
    <col min="4874" max="4874" width="5.77734375" style="2101" customWidth="1"/>
    <col min="4875" max="4875" width="11.77734375" style="2101" customWidth="1"/>
    <col min="4876" max="4877" width="10.77734375" style="2101" customWidth="1"/>
    <col min="4878" max="4878" width="10" style="2101" customWidth="1"/>
    <col min="4879" max="4880" width="10.44140625" style="2101" bestFit="1" customWidth="1"/>
    <col min="4881" max="4881" width="10" style="2101" customWidth="1"/>
    <col min="4882" max="4882" width="10.109375" style="2101" customWidth="1"/>
    <col min="4883" max="4883" width="10" style="2101" customWidth="1"/>
    <col min="4884" max="4884" width="26.109375" style="2101" customWidth="1"/>
    <col min="4885" max="5120" width="8.88671875" style="2101"/>
    <col min="5121" max="5121" width="9.44140625" style="2101" customWidth="1"/>
    <col min="5122" max="5122" width="8.88671875" style="2101"/>
    <col min="5123" max="5125" width="12.88671875" style="2101" customWidth="1"/>
    <col min="5126" max="5126" width="47.44140625" style="2101" customWidth="1"/>
    <col min="5127" max="5127" width="13" style="2101" customWidth="1"/>
    <col min="5128" max="5129" width="8.88671875" style="2101"/>
    <col min="5130" max="5130" width="5.77734375" style="2101" customWidth="1"/>
    <col min="5131" max="5131" width="11.77734375" style="2101" customWidth="1"/>
    <col min="5132" max="5133" width="10.77734375" style="2101" customWidth="1"/>
    <col min="5134" max="5134" width="10" style="2101" customWidth="1"/>
    <col min="5135" max="5136" width="10.44140625" style="2101" bestFit="1" customWidth="1"/>
    <col min="5137" max="5137" width="10" style="2101" customWidth="1"/>
    <col min="5138" max="5138" width="10.109375" style="2101" customWidth="1"/>
    <col min="5139" max="5139" width="10" style="2101" customWidth="1"/>
    <col min="5140" max="5140" width="26.109375" style="2101" customWidth="1"/>
    <col min="5141" max="5376" width="8.88671875" style="2101"/>
    <col min="5377" max="5377" width="9.44140625" style="2101" customWidth="1"/>
    <col min="5378" max="5378" width="8.88671875" style="2101"/>
    <col min="5379" max="5381" width="12.88671875" style="2101" customWidth="1"/>
    <col min="5382" max="5382" width="47.44140625" style="2101" customWidth="1"/>
    <col min="5383" max="5383" width="13" style="2101" customWidth="1"/>
    <col min="5384" max="5385" width="8.88671875" style="2101"/>
    <col min="5386" max="5386" width="5.77734375" style="2101" customWidth="1"/>
    <col min="5387" max="5387" width="11.77734375" style="2101" customWidth="1"/>
    <col min="5388" max="5389" width="10.77734375" style="2101" customWidth="1"/>
    <col min="5390" max="5390" width="10" style="2101" customWidth="1"/>
    <col min="5391" max="5392" width="10.44140625" style="2101" bestFit="1" customWidth="1"/>
    <col min="5393" max="5393" width="10" style="2101" customWidth="1"/>
    <col min="5394" max="5394" width="10.109375" style="2101" customWidth="1"/>
    <col min="5395" max="5395" width="10" style="2101" customWidth="1"/>
    <col min="5396" max="5396" width="26.109375" style="2101" customWidth="1"/>
    <col min="5397" max="5632" width="8.88671875" style="2101"/>
    <col min="5633" max="5633" width="9.44140625" style="2101" customWidth="1"/>
    <col min="5634" max="5634" width="8.88671875" style="2101"/>
    <col min="5635" max="5637" width="12.88671875" style="2101" customWidth="1"/>
    <col min="5638" max="5638" width="47.44140625" style="2101" customWidth="1"/>
    <col min="5639" max="5639" width="13" style="2101" customWidth="1"/>
    <col min="5640" max="5641" width="8.88671875" style="2101"/>
    <col min="5642" max="5642" width="5.77734375" style="2101" customWidth="1"/>
    <col min="5643" max="5643" width="11.77734375" style="2101" customWidth="1"/>
    <col min="5644" max="5645" width="10.77734375" style="2101" customWidth="1"/>
    <col min="5646" max="5646" width="10" style="2101" customWidth="1"/>
    <col min="5647" max="5648" width="10.44140625" style="2101" bestFit="1" customWidth="1"/>
    <col min="5649" max="5649" width="10" style="2101" customWidth="1"/>
    <col min="5650" max="5650" width="10.109375" style="2101" customWidth="1"/>
    <col min="5651" max="5651" width="10" style="2101" customWidth="1"/>
    <col min="5652" max="5652" width="26.109375" style="2101" customWidth="1"/>
    <col min="5653" max="5888" width="8.88671875" style="2101"/>
    <col min="5889" max="5889" width="9.44140625" style="2101" customWidth="1"/>
    <col min="5890" max="5890" width="8.88671875" style="2101"/>
    <col min="5891" max="5893" width="12.88671875" style="2101" customWidth="1"/>
    <col min="5894" max="5894" width="47.44140625" style="2101" customWidth="1"/>
    <col min="5895" max="5895" width="13" style="2101" customWidth="1"/>
    <col min="5896" max="5897" width="8.88671875" style="2101"/>
    <col min="5898" max="5898" width="5.77734375" style="2101" customWidth="1"/>
    <col min="5899" max="5899" width="11.77734375" style="2101" customWidth="1"/>
    <col min="5900" max="5901" width="10.77734375" style="2101" customWidth="1"/>
    <col min="5902" max="5902" width="10" style="2101" customWidth="1"/>
    <col min="5903" max="5904" width="10.44140625" style="2101" bestFit="1" customWidth="1"/>
    <col min="5905" max="5905" width="10" style="2101" customWidth="1"/>
    <col min="5906" max="5906" width="10.109375" style="2101" customWidth="1"/>
    <col min="5907" max="5907" width="10" style="2101" customWidth="1"/>
    <col min="5908" max="5908" width="26.109375" style="2101" customWidth="1"/>
    <col min="5909" max="6144" width="8.88671875" style="2101"/>
    <col min="6145" max="6145" width="9.44140625" style="2101" customWidth="1"/>
    <col min="6146" max="6146" width="8.88671875" style="2101"/>
    <col min="6147" max="6149" width="12.88671875" style="2101" customWidth="1"/>
    <col min="6150" max="6150" width="47.44140625" style="2101" customWidth="1"/>
    <col min="6151" max="6151" width="13" style="2101" customWidth="1"/>
    <col min="6152" max="6153" width="8.88671875" style="2101"/>
    <col min="6154" max="6154" width="5.77734375" style="2101" customWidth="1"/>
    <col min="6155" max="6155" width="11.77734375" style="2101" customWidth="1"/>
    <col min="6156" max="6157" width="10.77734375" style="2101" customWidth="1"/>
    <col min="6158" max="6158" width="10" style="2101" customWidth="1"/>
    <col min="6159" max="6160" width="10.44140625" style="2101" bestFit="1" customWidth="1"/>
    <col min="6161" max="6161" width="10" style="2101" customWidth="1"/>
    <col min="6162" max="6162" width="10.109375" style="2101" customWidth="1"/>
    <col min="6163" max="6163" width="10" style="2101" customWidth="1"/>
    <col min="6164" max="6164" width="26.109375" style="2101" customWidth="1"/>
    <col min="6165" max="6400" width="8.88671875" style="2101"/>
    <col min="6401" max="6401" width="9.44140625" style="2101" customWidth="1"/>
    <col min="6402" max="6402" width="8.88671875" style="2101"/>
    <col min="6403" max="6405" width="12.88671875" style="2101" customWidth="1"/>
    <col min="6406" max="6406" width="47.44140625" style="2101" customWidth="1"/>
    <col min="6407" max="6407" width="13" style="2101" customWidth="1"/>
    <col min="6408" max="6409" width="8.88671875" style="2101"/>
    <col min="6410" max="6410" width="5.77734375" style="2101" customWidth="1"/>
    <col min="6411" max="6411" width="11.77734375" style="2101" customWidth="1"/>
    <col min="6412" max="6413" width="10.77734375" style="2101" customWidth="1"/>
    <col min="6414" max="6414" width="10" style="2101" customWidth="1"/>
    <col min="6415" max="6416" width="10.44140625" style="2101" bestFit="1" customWidth="1"/>
    <col min="6417" max="6417" width="10" style="2101" customWidth="1"/>
    <col min="6418" max="6418" width="10.109375" style="2101" customWidth="1"/>
    <col min="6419" max="6419" width="10" style="2101" customWidth="1"/>
    <col min="6420" max="6420" width="26.109375" style="2101" customWidth="1"/>
    <col min="6421" max="6656" width="8.88671875" style="2101"/>
    <col min="6657" max="6657" width="9.44140625" style="2101" customWidth="1"/>
    <col min="6658" max="6658" width="8.88671875" style="2101"/>
    <col min="6659" max="6661" width="12.88671875" style="2101" customWidth="1"/>
    <col min="6662" max="6662" width="47.44140625" style="2101" customWidth="1"/>
    <col min="6663" max="6663" width="13" style="2101" customWidth="1"/>
    <col min="6664" max="6665" width="8.88671875" style="2101"/>
    <col min="6666" max="6666" width="5.77734375" style="2101" customWidth="1"/>
    <col min="6667" max="6667" width="11.77734375" style="2101" customWidth="1"/>
    <col min="6668" max="6669" width="10.77734375" style="2101" customWidth="1"/>
    <col min="6670" max="6670" width="10" style="2101" customWidth="1"/>
    <col min="6671" max="6672" width="10.44140625" style="2101" bestFit="1" customWidth="1"/>
    <col min="6673" max="6673" width="10" style="2101" customWidth="1"/>
    <col min="6674" max="6674" width="10.109375" style="2101" customWidth="1"/>
    <col min="6675" max="6675" width="10" style="2101" customWidth="1"/>
    <col min="6676" max="6676" width="26.109375" style="2101" customWidth="1"/>
    <col min="6677" max="6912" width="8.88671875" style="2101"/>
    <col min="6913" max="6913" width="9.44140625" style="2101" customWidth="1"/>
    <col min="6914" max="6914" width="8.88671875" style="2101"/>
    <col min="6915" max="6917" width="12.88671875" style="2101" customWidth="1"/>
    <col min="6918" max="6918" width="47.44140625" style="2101" customWidth="1"/>
    <col min="6919" max="6919" width="13" style="2101" customWidth="1"/>
    <col min="6920" max="6921" width="8.88671875" style="2101"/>
    <col min="6922" max="6922" width="5.77734375" style="2101" customWidth="1"/>
    <col min="6923" max="6923" width="11.77734375" style="2101" customWidth="1"/>
    <col min="6924" max="6925" width="10.77734375" style="2101" customWidth="1"/>
    <col min="6926" max="6926" width="10" style="2101" customWidth="1"/>
    <col min="6927" max="6928" width="10.44140625" style="2101" bestFit="1" customWidth="1"/>
    <col min="6929" max="6929" width="10" style="2101" customWidth="1"/>
    <col min="6930" max="6930" width="10.109375" style="2101" customWidth="1"/>
    <col min="6931" max="6931" width="10" style="2101" customWidth="1"/>
    <col min="6932" max="6932" width="26.109375" style="2101" customWidth="1"/>
    <col min="6933" max="7168" width="8.88671875" style="2101"/>
    <col min="7169" max="7169" width="9.44140625" style="2101" customWidth="1"/>
    <col min="7170" max="7170" width="8.88671875" style="2101"/>
    <col min="7171" max="7173" width="12.88671875" style="2101" customWidth="1"/>
    <col min="7174" max="7174" width="47.44140625" style="2101" customWidth="1"/>
    <col min="7175" max="7175" width="13" style="2101" customWidth="1"/>
    <col min="7176" max="7177" width="8.88671875" style="2101"/>
    <col min="7178" max="7178" width="5.77734375" style="2101" customWidth="1"/>
    <col min="7179" max="7179" width="11.77734375" style="2101" customWidth="1"/>
    <col min="7180" max="7181" width="10.77734375" style="2101" customWidth="1"/>
    <col min="7182" max="7182" width="10" style="2101" customWidth="1"/>
    <col min="7183" max="7184" width="10.44140625" style="2101" bestFit="1" customWidth="1"/>
    <col min="7185" max="7185" width="10" style="2101" customWidth="1"/>
    <col min="7186" max="7186" width="10.109375" style="2101" customWidth="1"/>
    <col min="7187" max="7187" width="10" style="2101" customWidth="1"/>
    <col min="7188" max="7188" width="26.109375" style="2101" customWidth="1"/>
    <col min="7189" max="7424" width="8.88671875" style="2101"/>
    <col min="7425" max="7425" width="9.44140625" style="2101" customWidth="1"/>
    <col min="7426" max="7426" width="8.88671875" style="2101"/>
    <col min="7427" max="7429" width="12.88671875" style="2101" customWidth="1"/>
    <col min="7430" max="7430" width="47.44140625" style="2101" customWidth="1"/>
    <col min="7431" max="7431" width="13" style="2101" customWidth="1"/>
    <col min="7432" max="7433" width="8.88671875" style="2101"/>
    <col min="7434" max="7434" width="5.77734375" style="2101" customWidth="1"/>
    <col min="7435" max="7435" width="11.77734375" style="2101" customWidth="1"/>
    <col min="7436" max="7437" width="10.77734375" style="2101" customWidth="1"/>
    <col min="7438" max="7438" width="10" style="2101" customWidth="1"/>
    <col min="7439" max="7440" width="10.44140625" style="2101" bestFit="1" customWidth="1"/>
    <col min="7441" max="7441" width="10" style="2101" customWidth="1"/>
    <col min="7442" max="7442" width="10.109375" style="2101" customWidth="1"/>
    <col min="7443" max="7443" width="10" style="2101" customWidth="1"/>
    <col min="7444" max="7444" width="26.109375" style="2101" customWidth="1"/>
    <col min="7445" max="7680" width="8.88671875" style="2101"/>
    <col min="7681" max="7681" width="9.44140625" style="2101" customWidth="1"/>
    <col min="7682" max="7682" width="8.88671875" style="2101"/>
    <col min="7683" max="7685" width="12.88671875" style="2101" customWidth="1"/>
    <col min="7686" max="7686" width="47.44140625" style="2101" customWidth="1"/>
    <col min="7687" max="7687" width="13" style="2101" customWidth="1"/>
    <col min="7688" max="7689" width="8.88671875" style="2101"/>
    <col min="7690" max="7690" width="5.77734375" style="2101" customWidth="1"/>
    <col min="7691" max="7691" width="11.77734375" style="2101" customWidth="1"/>
    <col min="7692" max="7693" width="10.77734375" style="2101" customWidth="1"/>
    <col min="7694" max="7694" width="10" style="2101" customWidth="1"/>
    <col min="7695" max="7696" width="10.44140625" style="2101" bestFit="1" customWidth="1"/>
    <col min="7697" max="7697" width="10" style="2101" customWidth="1"/>
    <col min="7698" max="7698" width="10.109375" style="2101" customWidth="1"/>
    <col min="7699" max="7699" width="10" style="2101" customWidth="1"/>
    <col min="7700" max="7700" width="26.109375" style="2101" customWidth="1"/>
    <col min="7701" max="7936" width="8.88671875" style="2101"/>
    <col min="7937" max="7937" width="9.44140625" style="2101" customWidth="1"/>
    <col min="7938" max="7938" width="8.88671875" style="2101"/>
    <col min="7939" max="7941" width="12.88671875" style="2101" customWidth="1"/>
    <col min="7942" max="7942" width="47.44140625" style="2101" customWidth="1"/>
    <col min="7943" max="7943" width="13" style="2101" customWidth="1"/>
    <col min="7944" max="7945" width="8.88671875" style="2101"/>
    <col min="7946" max="7946" width="5.77734375" style="2101" customWidth="1"/>
    <col min="7947" max="7947" width="11.77734375" style="2101" customWidth="1"/>
    <col min="7948" max="7949" width="10.77734375" style="2101" customWidth="1"/>
    <col min="7950" max="7950" width="10" style="2101" customWidth="1"/>
    <col min="7951" max="7952" width="10.44140625" style="2101" bestFit="1" customWidth="1"/>
    <col min="7953" max="7953" width="10" style="2101" customWidth="1"/>
    <col min="7954" max="7954" width="10.109375" style="2101" customWidth="1"/>
    <col min="7955" max="7955" width="10" style="2101" customWidth="1"/>
    <col min="7956" max="7956" width="26.109375" style="2101" customWidth="1"/>
    <col min="7957" max="8192" width="8.88671875" style="2101"/>
    <col min="8193" max="8193" width="9.44140625" style="2101" customWidth="1"/>
    <col min="8194" max="8194" width="8.88671875" style="2101"/>
    <col min="8195" max="8197" width="12.88671875" style="2101" customWidth="1"/>
    <col min="8198" max="8198" width="47.44140625" style="2101" customWidth="1"/>
    <col min="8199" max="8199" width="13" style="2101" customWidth="1"/>
    <col min="8200" max="8201" width="8.88671875" style="2101"/>
    <col min="8202" max="8202" width="5.77734375" style="2101" customWidth="1"/>
    <col min="8203" max="8203" width="11.77734375" style="2101" customWidth="1"/>
    <col min="8204" max="8205" width="10.77734375" style="2101" customWidth="1"/>
    <col min="8206" max="8206" width="10" style="2101" customWidth="1"/>
    <col min="8207" max="8208" width="10.44140625" style="2101" bestFit="1" customWidth="1"/>
    <col min="8209" max="8209" width="10" style="2101" customWidth="1"/>
    <col min="8210" max="8210" width="10.109375" style="2101" customWidth="1"/>
    <col min="8211" max="8211" width="10" style="2101" customWidth="1"/>
    <col min="8212" max="8212" width="26.109375" style="2101" customWidth="1"/>
    <col min="8213" max="8448" width="8.88671875" style="2101"/>
    <col min="8449" max="8449" width="9.44140625" style="2101" customWidth="1"/>
    <col min="8450" max="8450" width="8.88671875" style="2101"/>
    <col min="8451" max="8453" width="12.88671875" style="2101" customWidth="1"/>
    <col min="8454" max="8454" width="47.44140625" style="2101" customWidth="1"/>
    <col min="8455" max="8455" width="13" style="2101" customWidth="1"/>
    <col min="8456" max="8457" width="8.88671875" style="2101"/>
    <col min="8458" max="8458" width="5.77734375" style="2101" customWidth="1"/>
    <col min="8459" max="8459" width="11.77734375" style="2101" customWidth="1"/>
    <col min="8460" max="8461" width="10.77734375" style="2101" customWidth="1"/>
    <col min="8462" max="8462" width="10" style="2101" customWidth="1"/>
    <col min="8463" max="8464" width="10.44140625" style="2101" bestFit="1" customWidth="1"/>
    <col min="8465" max="8465" width="10" style="2101" customWidth="1"/>
    <col min="8466" max="8466" width="10.109375" style="2101" customWidth="1"/>
    <col min="8467" max="8467" width="10" style="2101" customWidth="1"/>
    <col min="8468" max="8468" width="26.109375" style="2101" customWidth="1"/>
    <col min="8469" max="8704" width="8.88671875" style="2101"/>
    <col min="8705" max="8705" width="9.44140625" style="2101" customWidth="1"/>
    <col min="8706" max="8706" width="8.88671875" style="2101"/>
    <col min="8707" max="8709" width="12.88671875" style="2101" customWidth="1"/>
    <col min="8710" max="8710" width="47.44140625" style="2101" customWidth="1"/>
    <col min="8711" max="8711" width="13" style="2101" customWidth="1"/>
    <col min="8712" max="8713" width="8.88671875" style="2101"/>
    <col min="8714" max="8714" width="5.77734375" style="2101" customWidth="1"/>
    <col min="8715" max="8715" width="11.77734375" style="2101" customWidth="1"/>
    <col min="8716" max="8717" width="10.77734375" style="2101" customWidth="1"/>
    <col min="8718" max="8718" width="10" style="2101" customWidth="1"/>
    <col min="8719" max="8720" width="10.44140625" style="2101" bestFit="1" customWidth="1"/>
    <col min="8721" max="8721" width="10" style="2101" customWidth="1"/>
    <col min="8722" max="8722" width="10.109375" style="2101" customWidth="1"/>
    <col min="8723" max="8723" width="10" style="2101" customWidth="1"/>
    <col min="8724" max="8724" width="26.109375" style="2101" customWidth="1"/>
    <col min="8725" max="8960" width="8.88671875" style="2101"/>
    <col min="8961" max="8961" width="9.44140625" style="2101" customWidth="1"/>
    <col min="8962" max="8962" width="8.88671875" style="2101"/>
    <col min="8963" max="8965" width="12.88671875" style="2101" customWidth="1"/>
    <col min="8966" max="8966" width="47.44140625" style="2101" customWidth="1"/>
    <col min="8967" max="8967" width="13" style="2101" customWidth="1"/>
    <col min="8968" max="8969" width="8.88671875" style="2101"/>
    <col min="8970" max="8970" width="5.77734375" style="2101" customWidth="1"/>
    <col min="8971" max="8971" width="11.77734375" style="2101" customWidth="1"/>
    <col min="8972" max="8973" width="10.77734375" style="2101" customWidth="1"/>
    <col min="8974" max="8974" width="10" style="2101" customWidth="1"/>
    <col min="8975" max="8976" width="10.44140625" style="2101" bestFit="1" customWidth="1"/>
    <col min="8977" max="8977" width="10" style="2101" customWidth="1"/>
    <col min="8978" max="8978" width="10.109375" style="2101" customWidth="1"/>
    <col min="8979" max="8979" width="10" style="2101" customWidth="1"/>
    <col min="8980" max="8980" width="26.109375" style="2101" customWidth="1"/>
    <col min="8981" max="9216" width="8.88671875" style="2101"/>
    <col min="9217" max="9217" width="9.44140625" style="2101" customWidth="1"/>
    <col min="9218" max="9218" width="8.88671875" style="2101"/>
    <col min="9219" max="9221" width="12.88671875" style="2101" customWidth="1"/>
    <col min="9222" max="9222" width="47.44140625" style="2101" customWidth="1"/>
    <col min="9223" max="9223" width="13" style="2101" customWidth="1"/>
    <col min="9224" max="9225" width="8.88671875" style="2101"/>
    <col min="9226" max="9226" width="5.77734375" style="2101" customWidth="1"/>
    <col min="9227" max="9227" width="11.77734375" style="2101" customWidth="1"/>
    <col min="9228" max="9229" width="10.77734375" style="2101" customWidth="1"/>
    <col min="9230" max="9230" width="10" style="2101" customWidth="1"/>
    <col min="9231" max="9232" width="10.44140625" style="2101" bestFit="1" customWidth="1"/>
    <col min="9233" max="9233" width="10" style="2101" customWidth="1"/>
    <col min="9234" max="9234" width="10.109375" style="2101" customWidth="1"/>
    <col min="9235" max="9235" width="10" style="2101" customWidth="1"/>
    <col min="9236" max="9236" width="26.109375" style="2101" customWidth="1"/>
    <col min="9237" max="9472" width="8.88671875" style="2101"/>
    <col min="9473" max="9473" width="9.44140625" style="2101" customWidth="1"/>
    <col min="9474" max="9474" width="8.88671875" style="2101"/>
    <col min="9475" max="9477" width="12.88671875" style="2101" customWidth="1"/>
    <col min="9478" max="9478" width="47.44140625" style="2101" customWidth="1"/>
    <col min="9479" max="9479" width="13" style="2101" customWidth="1"/>
    <col min="9480" max="9481" width="8.88671875" style="2101"/>
    <col min="9482" max="9482" width="5.77734375" style="2101" customWidth="1"/>
    <col min="9483" max="9483" width="11.77734375" style="2101" customWidth="1"/>
    <col min="9484" max="9485" width="10.77734375" style="2101" customWidth="1"/>
    <col min="9486" max="9486" width="10" style="2101" customWidth="1"/>
    <col min="9487" max="9488" width="10.44140625" style="2101" bestFit="1" customWidth="1"/>
    <col min="9489" max="9489" width="10" style="2101" customWidth="1"/>
    <col min="9490" max="9490" width="10.109375" style="2101" customWidth="1"/>
    <col min="9491" max="9491" width="10" style="2101" customWidth="1"/>
    <col min="9492" max="9492" width="26.109375" style="2101" customWidth="1"/>
    <col min="9493" max="9728" width="8.88671875" style="2101"/>
    <col min="9729" max="9729" width="9.44140625" style="2101" customWidth="1"/>
    <col min="9730" max="9730" width="8.88671875" style="2101"/>
    <col min="9731" max="9733" width="12.88671875" style="2101" customWidth="1"/>
    <col min="9734" max="9734" width="47.44140625" style="2101" customWidth="1"/>
    <col min="9735" max="9735" width="13" style="2101" customWidth="1"/>
    <col min="9736" max="9737" width="8.88671875" style="2101"/>
    <col min="9738" max="9738" width="5.77734375" style="2101" customWidth="1"/>
    <col min="9739" max="9739" width="11.77734375" style="2101" customWidth="1"/>
    <col min="9740" max="9741" width="10.77734375" style="2101" customWidth="1"/>
    <col min="9742" max="9742" width="10" style="2101" customWidth="1"/>
    <col min="9743" max="9744" width="10.44140625" style="2101" bestFit="1" customWidth="1"/>
    <col min="9745" max="9745" width="10" style="2101" customWidth="1"/>
    <col min="9746" max="9746" width="10.109375" style="2101" customWidth="1"/>
    <col min="9747" max="9747" width="10" style="2101" customWidth="1"/>
    <col min="9748" max="9748" width="26.109375" style="2101" customWidth="1"/>
    <col min="9749" max="9984" width="8.88671875" style="2101"/>
    <col min="9985" max="9985" width="9.44140625" style="2101" customWidth="1"/>
    <col min="9986" max="9986" width="8.88671875" style="2101"/>
    <col min="9987" max="9989" width="12.88671875" style="2101" customWidth="1"/>
    <col min="9990" max="9990" width="47.44140625" style="2101" customWidth="1"/>
    <col min="9991" max="9991" width="13" style="2101" customWidth="1"/>
    <col min="9992" max="9993" width="8.88671875" style="2101"/>
    <col min="9994" max="9994" width="5.77734375" style="2101" customWidth="1"/>
    <col min="9995" max="9995" width="11.77734375" style="2101" customWidth="1"/>
    <col min="9996" max="9997" width="10.77734375" style="2101" customWidth="1"/>
    <col min="9998" max="9998" width="10" style="2101" customWidth="1"/>
    <col min="9999" max="10000" width="10.44140625" style="2101" bestFit="1" customWidth="1"/>
    <col min="10001" max="10001" width="10" style="2101" customWidth="1"/>
    <col min="10002" max="10002" width="10.109375" style="2101" customWidth="1"/>
    <col min="10003" max="10003" width="10" style="2101" customWidth="1"/>
    <col min="10004" max="10004" width="26.109375" style="2101" customWidth="1"/>
    <col min="10005" max="10240" width="8.88671875" style="2101"/>
    <col min="10241" max="10241" width="9.44140625" style="2101" customWidth="1"/>
    <col min="10242" max="10242" width="8.88671875" style="2101"/>
    <col min="10243" max="10245" width="12.88671875" style="2101" customWidth="1"/>
    <col min="10246" max="10246" width="47.44140625" style="2101" customWidth="1"/>
    <col min="10247" max="10247" width="13" style="2101" customWidth="1"/>
    <col min="10248" max="10249" width="8.88671875" style="2101"/>
    <col min="10250" max="10250" width="5.77734375" style="2101" customWidth="1"/>
    <col min="10251" max="10251" width="11.77734375" style="2101" customWidth="1"/>
    <col min="10252" max="10253" width="10.77734375" style="2101" customWidth="1"/>
    <col min="10254" max="10254" width="10" style="2101" customWidth="1"/>
    <col min="10255" max="10256" width="10.44140625" style="2101" bestFit="1" customWidth="1"/>
    <col min="10257" max="10257" width="10" style="2101" customWidth="1"/>
    <col min="10258" max="10258" width="10.109375" style="2101" customWidth="1"/>
    <col min="10259" max="10259" width="10" style="2101" customWidth="1"/>
    <col min="10260" max="10260" width="26.109375" style="2101" customWidth="1"/>
    <col min="10261" max="10496" width="8.88671875" style="2101"/>
    <col min="10497" max="10497" width="9.44140625" style="2101" customWidth="1"/>
    <col min="10498" max="10498" width="8.88671875" style="2101"/>
    <col min="10499" max="10501" width="12.88671875" style="2101" customWidth="1"/>
    <col min="10502" max="10502" width="47.44140625" style="2101" customWidth="1"/>
    <col min="10503" max="10503" width="13" style="2101" customWidth="1"/>
    <col min="10504" max="10505" width="8.88671875" style="2101"/>
    <col min="10506" max="10506" width="5.77734375" style="2101" customWidth="1"/>
    <col min="10507" max="10507" width="11.77734375" style="2101" customWidth="1"/>
    <col min="10508" max="10509" width="10.77734375" style="2101" customWidth="1"/>
    <col min="10510" max="10510" width="10" style="2101" customWidth="1"/>
    <col min="10511" max="10512" width="10.44140625" style="2101" bestFit="1" customWidth="1"/>
    <col min="10513" max="10513" width="10" style="2101" customWidth="1"/>
    <col min="10514" max="10514" width="10.109375" style="2101" customWidth="1"/>
    <col min="10515" max="10515" width="10" style="2101" customWidth="1"/>
    <col min="10516" max="10516" width="26.109375" style="2101" customWidth="1"/>
    <col min="10517" max="10752" width="8.88671875" style="2101"/>
    <col min="10753" max="10753" width="9.44140625" style="2101" customWidth="1"/>
    <col min="10754" max="10754" width="8.88671875" style="2101"/>
    <col min="10755" max="10757" width="12.88671875" style="2101" customWidth="1"/>
    <col min="10758" max="10758" width="47.44140625" style="2101" customWidth="1"/>
    <col min="10759" max="10759" width="13" style="2101" customWidth="1"/>
    <col min="10760" max="10761" width="8.88671875" style="2101"/>
    <col min="10762" max="10762" width="5.77734375" style="2101" customWidth="1"/>
    <col min="10763" max="10763" width="11.77734375" style="2101" customWidth="1"/>
    <col min="10764" max="10765" width="10.77734375" style="2101" customWidth="1"/>
    <col min="10766" max="10766" width="10" style="2101" customWidth="1"/>
    <col min="10767" max="10768" width="10.44140625" style="2101" bestFit="1" customWidth="1"/>
    <col min="10769" max="10769" width="10" style="2101" customWidth="1"/>
    <col min="10770" max="10770" width="10.109375" style="2101" customWidth="1"/>
    <col min="10771" max="10771" width="10" style="2101" customWidth="1"/>
    <col min="10772" max="10772" width="26.109375" style="2101" customWidth="1"/>
    <col min="10773" max="11008" width="8.88671875" style="2101"/>
    <col min="11009" max="11009" width="9.44140625" style="2101" customWidth="1"/>
    <col min="11010" max="11010" width="8.88671875" style="2101"/>
    <col min="11011" max="11013" width="12.88671875" style="2101" customWidth="1"/>
    <col min="11014" max="11014" width="47.44140625" style="2101" customWidth="1"/>
    <col min="11015" max="11015" width="13" style="2101" customWidth="1"/>
    <col min="11016" max="11017" width="8.88671875" style="2101"/>
    <col min="11018" max="11018" width="5.77734375" style="2101" customWidth="1"/>
    <col min="11019" max="11019" width="11.77734375" style="2101" customWidth="1"/>
    <col min="11020" max="11021" width="10.77734375" style="2101" customWidth="1"/>
    <col min="11022" max="11022" width="10" style="2101" customWidth="1"/>
    <col min="11023" max="11024" width="10.44140625" style="2101" bestFit="1" customWidth="1"/>
    <col min="11025" max="11025" width="10" style="2101" customWidth="1"/>
    <col min="11026" max="11026" width="10.109375" style="2101" customWidth="1"/>
    <col min="11027" max="11027" width="10" style="2101" customWidth="1"/>
    <col min="11028" max="11028" width="26.109375" style="2101" customWidth="1"/>
    <col min="11029" max="11264" width="8.88671875" style="2101"/>
    <col min="11265" max="11265" width="9.44140625" style="2101" customWidth="1"/>
    <col min="11266" max="11266" width="8.88671875" style="2101"/>
    <col min="11267" max="11269" width="12.88671875" style="2101" customWidth="1"/>
    <col min="11270" max="11270" width="47.44140625" style="2101" customWidth="1"/>
    <col min="11271" max="11271" width="13" style="2101" customWidth="1"/>
    <col min="11272" max="11273" width="8.88671875" style="2101"/>
    <col min="11274" max="11274" width="5.77734375" style="2101" customWidth="1"/>
    <col min="11275" max="11275" width="11.77734375" style="2101" customWidth="1"/>
    <col min="11276" max="11277" width="10.77734375" style="2101" customWidth="1"/>
    <col min="11278" max="11278" width="10" style="2101" customWidth="1"/>
    <col min="11279" max="11280" width="10.44140625" style="2101" bestFit="1" customWidth="1"/>
    <col min="11281" max="11281" width="10" style="2101" customWidth="1"/>
    <col min="11282" max="11282" width="10.109375" style="2101" customWidth="1"/>
    <col min="11283" max="11283" width="10" style="2101" customWidth="1"/>
    <col min="11284" max="11284" width="26.109375" style="2101" customWidth="1"/>
    <col min="11285" max="11520" width="8.88671875" style="2101"/>
    <col min="11521" max="11521" width="9.44140625" style="2101" customWidth="1"/>
    <col min="11522" max="11522" width="8.88671875" style="2101"/>
    <col min="11523" max="11525" width="12.88671875" style="2101" customWidth="1"/>
    <col min="11526" max="11526" width="47.44140625" style="2101" customWidth="1"/>
    <col min="11527" max="11527" width="13" style="2101" customWidth="1"/>
    <col min="11528" max="11529" width="8.88671875" style="2101"/>
    <col min="11530" max="11530" width="5.77734375" style="2101" customWidth="1"/>
    <col min="11531" max="11531" width="11.77734375" style="2101" customWidth="1"/>
    <col min="11532" max="11533" width="10.77734375" style="2101" customWidth="1"/>
    <col min="11534" max="11534" width="10" style="2101" customWidth="1"/>
    <col min="11535" max="11536" width="10.44140625" style="2101" bestFit="1" customWidth="1"/>
    <col min="11537" max="11537" width="10" style="2101" customWidth="1"/>
    <col min="11538" max="11538" width="10.109375" style="2101" customWidth="1"/>
    <col min="11539" max="11539" width="10" style="2101" customWidth="1"/>
    <col min="11540" max="11540" width="26.109375" style="2101" customWidth="1"/>
    <col min="11541" max="11776" width="8.88671875" style="2101"/>
    <col min="11777" max="11777" width="9.44140625" style="2101" customWidth="1"/>
    <col min="11778" max="11778" width="8.88671875" style="2101"/>
    <col min="11779" max="11781" width="12.88671875" style="2101" customWidth="1"/>
    <col min="11782" max="11782" width="47.44140625" style="2101" customWidth="1"/>
    <col min="11783" max="11783" width="13" style="2101" customWidth="1"/>
    <col min="11784" max="11785" width="8.88671875" style="2101"/>
    <col min="11786" max="11786" width="5.77734375" style="2101" customWidth="1"/>
    <col min="11787" max="11787" width="11.77734375" style="2101" customWidth="1"/>
    <col min="11788" max="11789" width="10.77734375" style="2101" customWidth="1"/>
    <col min="11790" max="11790" width="10" style="2101" customWidth="1"/>
    <col min="11791" max="11792" width="10.44140625" style="2101" bestFit="1" customWidth="1"/>
    <col min="11793" max="11793" width="10" style="2101" customWidth="1"/>
    <col min="11794" max="11794" width="10.109375" style="2101" customWidth="1"/>
    <col min="11795" max="11795" width="10" style="2101" customWidth="1"/>
    <col min="11796" max="11796" width="26.109375" style="2101" customWidth="1"/>
    <col min="11797" max="12032" width="8.88671875" style="2101"/>
    <col min="12033" max="12033" width="9.44140625" style="2101" customWidth="1"/>
    <col min="12034" max="12034" width="8.88671875" style="2101"/>
    <col min="12035" max="12037" width="12.88671875" style="2101" customWidth="1"/>
    <col min="12038" max="12038" width="47.44140625" style="2101" customWidth="1"/>
    <col min="12039" max="12039" width="13" style="2101" customWidth="1"/>
    <col min="12040" max="12041" width="8.88671875" style="2101"/>
    <col min="12042" max="12042" width="5.77734375" style="2101" customWidth="1"/>
    <col min="12043" max="12043" width="11.77734375" style="2101" customWidth="1"/>
    <col min="12044" max="12045" width="10.77734375" style="2101" customWidth="1"/>
    <col min="12046" max="12046" width="10" style="2101" customWidth="1"/>
    <col min="12047" max="12048" width="10.44140625" style="2101" bestFit="1" customWidth="1"/>
    <col min="12049" max="12049" width="10" style="2101" customWidth="1"/>
    <col min="12050" max="12050" width="10.109375" style="2101" customWidth="1"/>
    <col min="12051" max="12051" width="10" style="2101" customWidth="1"/>
    <col min="12052" max="12052" width="26.109375" style="2101" customWidth="1"/>
    <col min="12053" max="12288" width="8.88671875" style="2101"/>
    <col min="12289" max="12289" width="9.44140625" style="2101" customWidth="1"/>
    <col min="12290" max="12290" width="8.88671875" style="2101"/>
    <col min="12291" max="12293" width="12.88671875" style="2101" customWidth="1"/>
    <col min="12294" max="12294" width="47.44140625" style="2101" customWidth="1"/>
    <col min="12295" max="12295" width="13" style="2101" customWidth="1"/>
    <col min="12296" max="12297" width="8.88671875" style="2101"/>
    <col min="12298" max="12298" width="5.77734375" style="2101" customWidth="1"/>
    <col min="12299" max="12299" width="11.77734375" style="2101" customWidth="1"/>
    <col min="12300" max="12301" width="10.77734375" style="2101" customWidth="1"/>
    <col min="12302" max="12302" width="10" style="2101" customWidth="1"/>
    <col min="12303" max="12304" width="10.44140625" style="2101" bestFit="1" customWidth="1"/>
    <col min="12305" max="12305" width="10" style="2101" customWidth="1"/>
    <col min="12306" max="12306" width="10.109375" style="2101" customWidth="1"/>
    <col min="12307" max="12307" width="10" style="2101" customWidth="1"/>
    <col min="12308" max="12308" width="26.109375" style="2101" customWidth="1"/>
    <col min="12309" max="12544" width="8.88671875" style="2101"/>
    <col min="12545" max="12545" width="9.44140625" style="2101" customWidth="1"/>
    <col min="12546" max="12546" width="8.88671875" style="2101"/>
    <col min="12547" max="12549" width="12.88671875" style="2101" customWidth="1"/>
    <col min="12550" max="12550" width="47.44140625" style="2101" customWidth="1"/>
    <col min="12551" max="12551" width="13" style="2101" customWidth="1"/>
    <col min="12552" max="12553" width="8.88671875" style="2101"/>
    <col min="12554" max="12554" width="5.77734375" style="2101" customWidth="1"/>
    <col min="12555" max="12555" width="11.77734375" style="2101" customWidth="1"/>
    <col min="12556" max="12557" width="10.77734375" style="2101" customWidth="1"/>
    <col min="12558" max="12558" width="10" style="2101" customWidth="1"/>
    <col min="12559" max="12560" width="10.44140625" style="2101" bestFit="1" customWidth="1"/>
    <col min="12561" max="12561" width="10" style="2101" customWidth="1"/>
    <col min="12562" max="12562" width="10.109375" style="2101" customWidth="1"/>
    <col min="12563" max="12563" width="10" style="2101" customWidth="1"/>
    <col min="12564" max="12564" width="26.109375" style="2101" customWidth="1"/>
    <col min="12565" max="12800" width="8.88671875" style="2101"/>
    <col min="12801" max="12801" width="9.44140625" style="2101" customWidth="1"/>
    <col min="12802" max="12802" width="8.88671875" style="2101"/>
    <col min="12803" max="12805" width="12.88671875" style="2101" customWidth="1"/>
    <col min="12806" max="12806" width="47.44140625" style="2101" customWidth="1"/>
    <col min="12807" max="12807" width="13" style="2101" customWidth="1"/>
    <col min="12808" max="12809" width="8.88671875" style="2101"/>
    <col min="12810" max="12810" width="5.77734375" style="2101" customWidth="1"/>
    <col min="12811" max="12811" width="11.77734375" style="2101" customWidth="1"/>
    <col min="12812" max="12813" width="10.77734375" style="2101" customWidth="1"/>
    <col min="12814" max="12814" width="10" style="2101" customWidth="1"/>
    <col min="12815" max="12816" width="10.44140625" style="2101" bestFit="1" customWidth="1"/>
    <col min="12817" max="12817" width="10" style="2101" customWidth="1"/>
    <col min="12818" max="12818" width="10.109375" style="2101" customWidth="1"/>
    <col min="12819" max="12819" width="10" style="2101" customWidth="1"/>
    <col min="12820" max="12820" width="26.109375" style="2101" customWidth="1"/>
    <col min="12821" max="13056" width="8.88671875" style="2101"/>
    <col min="13057" max="13057" width="9.44140625" style="2101" customWidth="1"/>
    <col min="13058" max="13058" width="8.88671875" style="2101"/>
    <col min="13059" max="13061" width="12.88671875" style="2101" customWidth="1"/>
    <col min="13062" max="13062" width="47.44140625" style="2101" customWidth="1"/>
    <col min="13063" max="13063" width="13" style="2101" customWidth="1"/>
    <col min="13064" max="13065" width="8.88671875" style="2101"/>
    <col min="13066" max="13066" width="5.77734375" style="2101" customWidth="1"/>
    <col min="13067" max="13067" width="11.77734375" style="2101" customWidth="1"/>
    <col min="13068" max="13069" width="10.77734375" style="2101" customWidth="1"/>
    <col min="13070" max="13070" width="10" style="2101" customWidth="1"/>
    <col min="13071" max="13072" width="10.44140625" style="2101" bestFit="1" customWidth="1"/>
    <col min="13073" max="13073" width="10" style="2101" customWidth="1"/>
    <col min="13074" max="13074" width="10.109375" style="2101" customWidth="1"/>
    <col min="13075" max="13075" width="10" style="2101" customWidth="1"/>
    <col min="13076" max="13076" width="26.109375" style="2101" customWidth="1"/>
    <col min="13077" max="13312" width="8.88671875" style="2101"/>
    <col min="13313" max="13313" width="9.44140625" style="2101" customWidth="1"/>
    <col min="13314" max="13314" width="8.88671875" style="2101"/>
    <col min="13315" max="13317" width="12.88671875" style="2101" customWidth="1"/>
    <col min="13318" max="13318" width="47.44140625" style="2101" customWidth="1"/>
    <col min="13319" max="13319" width="13" style="2101" customWidth="1"/>
    <col min="13320" max="13321" width="8.88671875" style="2101"/>
    <col min="13322" max="13322" width="5.77734375" style="2101" customWidth="1"/>
    <col min="13323" max="13323" width="11.77734375" style="2101" customWidth="1"/>
    <col min="13324" max="13325" width="10.77734375" style="2101" customWidth="1"/>
    <col min="13326" max="13326" width="10" style="2101" customWidth="1"/>
    <col min="13327" max="13328" width="10.44140625" style="2101" bestFit="1" customWidth="1"/>
    <col min="13329" max="13329" width="10" style="2101" customWidth="1"/>
    <col min="13330" max="13330" width="10.109375" style="2101" customWidth="1"/>
    <col min="13331" max="13331" width="10" style="2101" customWidth="1"/>
    <col min="13332" max="13332" width="26.109375" style="2101" customWidth="1"/>
    <col min="13333" max="13568" width="8.88671875" style="2101"/>
    <col min="13569" max="13569" width="9.44140625" style="2101" customWidth="1"/>
    <col min="13570" max="13570" width="8.88671875" style="2101"/>
    <col min="13571" max="13573" width="12.88671875" style="2101" customWidth="1"/>
    <col min="13574" max="13574" width="47.44140625" style="2101" customWidth="1"/>
    <col min="13575" max="13575" width="13" style="2101" customWidth="1"/>
    <col min="13576" max="13577" width="8.88671875" style="2101"/>
    <col min="13578" max="13578" width="5.77734375" style="2101" customWidth="1"/>
    <col min="13579" max="13579" width="11.77734375" style="2101" customWidth="1"/>
    <col min="13580" max="13581" width="10.77734375" style="2101" customWidth="1"/>
    <col min="13582" max="13582" width="10" style="2101" customWidth="1"/>
    <col min="13583" max="13584" width="10.44140625" style="2101" bestFit="1" customWidth="1"/>
    <col min="13585" max="13585" width="10" style="2101" customWidth="1"/>
    <col min="13586" max="13586" width="10.109375" style="2101" customWidth="1"/>
    <col min="13587" max="13587" width="10" style="2101" customWidth="1"/>
    <col min="13588" max="13588" width="26.109375" style="2101" customWidth="1"/>
    <col min="13589" max="13824" width="8.88671875" style="2101"/>
    <col min="13825" max="13825" width="9.44140625" style="2101" customWidth="1"/>
    <col min="13826" max="13826" width="8.88671875" style="2101"/>
    <col min="13827" max="13829" width="12.88671875" style="2101" customWidth="1"/>
    <col min="13830" max="13830" width="47.44140625" style="2101" customWidth="1"/>
    <col min="13831" max="13831" width="13" style="2101" customWidth="1"/>
    <col min="13832" max="13833" width="8.88671875" style="2101"/>
    <col min="13834" max="13834" width="5.77734375" style="2101" customWidth="1"/>
    <col min="13835" max="13835" width="11.77734375" style="2101" customWidth="1"/>
    <col min="13836" max="13837" width="10.77734375" style="2101" customWidth="1"/>
    <col min="13838" max="13838" width="10" style="2101" customWidth="1"/>
    <col min="13839" max="13840" width="10.44140625" style="2101" bestFit="1" customWidth="1"/>
    <col min="13841" max="13841" width="10" style="2101" customWidth="1"/>
    <col min="13842" max="13842" width="10.109375" style="2101" customWidth="1"/>
    <col min="13843" max="13843" width="10" style="2101" customWidth="1"/>
    <col min="13844" max="13844" width="26.109375" style="2101" customWidth="1"/>
    <col min="13845" max="14080" width="8.88671875" style="2101"/>
    <col min="14081" max="14081" width="9.44140625" style="2101" customWidth="1"/>
    <col min="14082" max="14082" width="8.88671875" style="2101"/>
    <col min="14083" max="14085" width="12.88671875" style="2101" customWidth="1"/>
    <col min="14086" max="14086" width="47.44140625" style="2101" customWidth="1"/>
    <col min="14087" max="14087" width="13" style="2101" customWidth="1"/>
    <col min="14088" max="14089" width="8.88671875" style="2101"/>
    <col min="14090" max="14090" width="5.77734375" style="2101" customWidth="1"/>
    <col min="14091" max="14091" width="11.77734375" style="2101" customWidth="1"/>
    <col min="14092" max="14093" width="10.77734375" style="2101" customWidth="1"/>
    <col min="14094" max="14094" width="10" style="2101" customWidth="1"/>
    <col min="14095" max="14096" width="10.44140625" style="2101" bestFit="1" customWidth="1"/>
    <col min="14097" max="14097" width="10" style="2101" customWidth="1"/>
    <col min="14098" max="14098" width="10.109375" style="2101" customWidth="1"/>
    <col min="14099" max="14099" width="10" style="2101" customWidth="1"/>
    <col min="14100" max="14100" width="26.109375" style="2101" customWidth="1"/>
    <col min="14101" max="14336" width="8.88671875" style="2101"/>
    <col min="14337" max="14337" width="9.44140625" style="2101" customWidth="1"/>
    <col min="14338" max="14338" width="8.88671875" style="2101"/>
    <col min="14339" max="14341" width="12.88671875" style="2101" customWidth="1"/>
    <col min="14342" max="14342" width="47.44140625" style="2101" customWidth="1"/>
    <col min="14343" max="14343" width="13" style="2101" customWidth="1"/>
    <col min="14344" max="14345" width="8.88671875" style="2101"/>
    <col min="14346" max="14346" width="5.77734375" style="2101" customWidth="1"/>
    <col min="14347" max="14347" width="11.77734375" style="2101" customWidth="1"/>
    <col min="14348" max="14349" width="10.77734375" style="2101" customWidth="1"/>
    <col min="14350" max="14350" width="10" style="2101" customWidth="1"/>
    <col min="14351" max="14352" width="10.44140625" style="2101" bestFit="1" customWidth="1"/>
    <col min="14353" max="14353" width="10" style="2101" customWidth="1"/>
    <col min="14354" max="14354" width="10.109375" style="2101" customWidth="1"/>
    <col min="14355" max="14355" width="10" style="2101" customWidth="1"/>
    <col min="14356" max="14356" width="26.109375" style="2101" customWidth="1"/>
    <col min="14357" max="14592" width="8.88671875" style="2101"/>
    <col min="14593" max="14593" width="9.44140625" style="2101" customWidth="1"/>
    <col min="14594" max="14594" width="8.88671875" style="2101"/>
    <col min="14595" max="14597" width="12.88671875" style="2101" customWidth="1"/>
    <col min="14598" max="14598" width="47.44140625" style="2101" customWidth="1"/>
    <col min="14599" max="14599" width="13" style="2101" customWidth="1"/>
    <col min="14600" max="14601" width="8.88671875" style="2101"/>
    <col min="14602" max="14602" width="5.77734375" style="2101" customWidth="1"/>
    <col min="14603" max="14603" width="11.77734375" style="2101" customWidth="1"/>
    <col min="14604" max="14605" width="10.77734375" style="2101" customWidth="1"/>
    <col min="14606" max="14606" width="10" style="2101" customWidth="1"/>
    <col min="14607" max="14608" width="10.44140625" style="2101" bestFit="1" customWidth="1"/>
    <col min="14609" max="14609" width="10" style="2101" customWidth="1"/>
    <col min="14610" max="14610" width="10.109375" style="2101" customWidth="1"/>
    <col min="14611" max="14611" width="10" style="2101" customWidth="1"/>
    <col min="14612" max="14612" width="26.109375" style="2101" customWidth="1"/>
    <col min="14613" max="14848" width="8.88671875" style="2101"/>
    <col min="14849" max="14849" width="9.44140625" style="2101" customWidth="1"/>
    <col min="14850" max="14850" width="8.88671875" style="2101"/>
    <col min="14851" max="14853" width="12.88671875" style="2101" customWidth="1"/>
    <col min="14854" max="14854" width="47.44140625" style="2101" customWidth="1"/>
    <col min="14855" max="14855" width="13" style="2101" customWidth="1"/>
    <col min="14856" max="14857" width="8.88671875" style="2101"/>
    <col min="14858" max="14858" width="5.77734375" style="2101" customWidth="1"/>
    <col min="14859" max="14859" width="11.77734375" style="2101" customWidth="1"/>
    <col min="14860" max="14861" width="10.77734375" style="2101" customWidth="1"/>
    <col min="14862" max="14862" width="10" style="2101" customWidth="1"/>
    <col min="14863" max="14864" width="10.44140625" style="2101" bestFit="1" customWidth="1"/>
    <col min="14865" max="14865" width="10" style="2101" customWidth="1"/>
    <col min="14866" max="14866" width="10.109375" style="2101" customWidth="1"/>
    <col min="14867" max="14867" width="10" style="2101" customWidth="1"/>
    <col min="14868" max="14868" width="26.109375" style="2101" customWidth="1"/>
    <col min="14869" max="15104" width="8.88671875" style="2101"/>
    <col min="15105" max="15105" width="9.44140625" style="2101" customWidth="1"/>
    <col min="15106" max="15106" width="8.88671875" style="2101"/>
    <col min="15107" max="15109" width="12.88671875" style="2101" customWidth="1"/>
    <col min="15110" max="15110" width="47.44140625" style="2101" customWidth="1"/>
    <col min="15111" max="15111" width="13" style="2101" customWidth="1"/>
    <col min="15112" max="15113" width="8.88671875" style="2101"/>
    <col min="15114" max="15114" width="5.77734375" style="2101" customWidth="1"/>
    <col min="15115" max="15115" width="11.77734375" style="2101" customWidth="1"/>
    <col min="15116" max="15117" width="10.77734375" style="2101" customWidth="1"/>
    <col min="15118" max="15118" width="10" style="2101" customWidth="1"/>
    <col min="15119" max="15120" width="10.44140625" style="2101" bestFit="1" customWidth="1"/>
    <col min="15121" max="15121" width="10" style="2101" customWidth="1"/>
    <col min="15122" max="15122" width="10.109375" style="2101" customWidth="1"/>
    <col min="15123" max="15123" width="10" style="2101" customWidth="1"/>
    <col min="15124" max="15124" width="26.109375" style="2101" customWidth="1"/>
    <col min="15125" max="15360" width="8.88671875" style="2101"/>
    <col min="15361" max="15361" width="9.44140625" style="2101" customWidth="1"/>
    <col min="15362" max="15362" width="8.88671875" style="2101"/>
    <col min="15363" max="15365" width="12.88671875" style="2101" customWidth="1"/>
    <col min="15366" max="15366" width="47.44140625" style="2101" customWidth="1"/>
    <col min="15367" max="15367" width="13" style="2101" customWidth="1"/>
    <col min="15368" max="15369" width="8.88671875" style="2101"/>
    <col min="15370" max="15370" width="5.77734375" style="2101" customWidth="1"/>
    <col min="15371" max="15371" width="11.77734375" style="2101" customWidth="1"/>
    <col min="15372" max="15373" width="10.77734375" style="2101" customWidth="1"/>
    <col min="15374" max="15374" width="10" style="2101" customWidth="1"/>
    <col min="15375" max="15376" width="10.44140625" style="2101" bestFit="1" customWidth="1"/>
    <col min="15377" max="15377" width="10" style="2101" customWidth="1"/>
    <col min="15378" max="15378" width="10.109375" style="2101" customWidth="1"/>
    <col min="15379" max="15379" width="10" style="2101" customWidth="1"/>
    <col min="15380" max="15380" width="26.109375" style="2101" customWidth="1"/>
    <col min="15381" max="15616" width="8.88671875" style="2101"/>
    <col min="15617" max="15617" width="9.44140625" style="2101" customWidth="1"/>
    <col min="15618" max="15618" width="8.88671875" style="2101"/>
    <col min="15619" max="15621" width="12.88671875" style="2101" customWidth="1"/>
    <col min="15622" max="15622" width="47.44140625" style="2101" customWidth="1"/>
    <col min="15623" max="15623" width="13" style="2101" customWidth="1"/>
    <col min="15624" max="15625" width="8.88671875" style="2101"/>
    <col min="15626" max="15626" width="5.77734375" style="2101" customWidth="1"/>
    <col min="15627" max="15627" width="11.77734375" style="2101" customWidth="1"/>
    <col min="15628" max="15629" width="10.77734375" style="2101" customWidth="1"/>
    <col min="15630" max="15630" width="10" style="2101" customWidth="1"/>
    <col min="15631" max="15632" width="10.44140625" style="2101" bestFit="1" customWidth="1"/>
    <col min="15633" max="15633" width="10" style="2101" customWidth="1"/>
    <col min="15634" max="15634" width="10.109375" style="2101" customWidth="1"/>
    <col min="15635" max="15635" width="10" style="2101" customWidth="1"/>
    <col min="15636" max="15636" width="26.109375" style="2101" customWidth="1"/>
    <col min="15637" max="15872" width="8.88671875" style="2101"/>
    <col min="15873" max="15873" width="9.44140625" style="2101" customWidth="1"/>
    <col min="15874" max="15874" width="8.88671875" style="2101"/>
    <col min="15875" max="15877" width="12.88671875" style="2101" customWidth="1"/>
    <col min="15878" max="15878" width="47.44140625" style="2101" customWidth="1"/>
    <col min="15879" max="15879" width="13" style="2101" customWidth="1"/>
    <col min="15880" max="15881" width="8.88671875" style="2101"/>
    <col min="15882" max="15882" width="5.77734375" style="2101" customWidth="1"/>
    <col min="15883" max="15883" width="11.77734375" style="2101" customWidth="1"/>
    <col min="15884" max="15885" width="10.77734375" style="2101" customWidth="1"/>
    <col min="15886" max="15886" width="10" style="2101" customWidth="1"/>
    <col min="15887" max="15888" width="10.44140625" style="2101" bestFit="1" customWidth="1"/>
    <col min="15889" max="15889" width="10" style="2101" customWidth="1"/>
    <col min="15890" max="15890" width="10.109375" style="2101" customWidth="1"/>
    <col min="15891" max="15891" width="10" style="2101" customWidth="1"/>
    <col min="15892" max="15892" width="26.109375" style="2101" customWidth="1"/>
    <col min="15893" max="16128" width="8.88671875" style="2101"/>
    <col min="16129" max="16129" width="9.44140625" style="2101" customWidth="1"/>
    <col min="16130" max="16130" width="8.88671875" style="2101"/>
    <col min="16131" max="16133" width="12.88671875" style="2101" customWidth="1"/>
    <col min="16134" max="16134" width="47.44140625" style="2101" customWidth="1"/>
    <col min="16135" max="16135" width="13" style="2101" customWidth="1"/>
    <col min="16136" max="16137" width="8.88671875" style="2101"/>
    <col min="16138" max="16138" width="5.77734375" style="2101" customWidth="1"/>
    <col min="16139" max="16139" width="11.77734375" style="2101" customWidth="1"/>
    <col min="16140" max="16141" width="10.77734375" style="2101" customWidth="1"/>
    <col min="16142" max="16142" width="10" style="2101" customWidth="1"/>
    <col min="16143" max="16144" width="10.44140625" style="2101" bestFit="1" customWidth="1"/>
    <col min="16145" max="16145" width="10" style="2101" customWidth="1"/>
    <col min="16146" max="16146" width="10.109375" style="2101" customWidth="1"/>
    <col min="16147" max="16147" width="10" style="2101" customWidth="1"/>
    <col min="16148" max="16148" width="26.109375" style="2101" customWidth="1"/>
    <col min="16149" max="16384" width="8.88671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2" customHeight="1">
      <c r="A2" s="964" t="s">
        <v>2209</v>
      </c>
      <c r="B2" s="3592" t="e">
        <f>IF(D2="——",C40,C40+E2)</f>
        <v>#DIV/0!</v>
      </c>
      <c r="C2" s="2102" t="s">
        <v>2210</v>
      </c>
      <c r="D2" s="2547" t="s">
        <v>3245</v>
      </c>
      <c r="E2" s="2548"/>
      <c r="F2" s="2104"/>
      <c r="G2" s="2105"/>
      <c r="H2" s="2106"/>
      <c r="I2" s="2107"/>
      <c r="J2" s="4471" t="s">
        <v>2211</v>
      </c>
      <c r="K2" s="4472"/>
      <c r="L2" s="2108" t="s">
        <v>2212</v>
      </c>
      <c r="M2" s="2108" t="s">
        <v>2213</v>
      </c>
      <c r="N2" s="2108" t="s">
        <v>2214</v>
      </c>
      <c r="O2" s="2108" t="s">
        <v>2215</v>
      </c>
      <c r="P2" s="2108" t="s">
        <v>2216</v>
      </c>
      <c r="Q2" s="2109" t="s">
        <v>2217</v>
      </c>
      <c r="R2" s="2110" t="s">
        <v>2218</v>
      </c>
      <c r="S2" s="2100"/>
      <c r="T2" s="2100"/>
      <c r="U2" s="2100"/>
      <c r="V2" s="2107"/>
    </row>
    <row r="3" spans="1:22" s="2111" customFormat="1" ht="13.2" customHeight="1">
      <c r="A3" s="2112" t="s">
        <v>2219</v>
      </c>
      <c r="B3" s="3593" t="e">
        <f>ROUND(B2*10000/B4,0)</f>
        <v>#DIV/0!</v>
      </c>
      <c r="C3" s="2102" t="s">
        <v>2220</v>
      </c>
      <c r="D3" s="2102"/>
      <c r="E3" s="2103"/>
      <c r="F3" s="2104"/>
      <c r="G3" s="2105"/>
      <c r="H3" s="2106"/>
      <c r="I3" s="2107"/>
      <c r="J3" s="4473" t="s">
        <v>2221</v>
      </c>
      <c r="K3" s="4474"/>
      <c r="L3" s="2113"/>
      <c r="M3" s="2113"/>
      <c r="N3" s="2113"/>
      <c r="O3" s="2113"/>
      <c r="P3" s="2113"/>
      <c r="Q3" s="2114"/>
      <c r="R3" s="2115">
        <f>SUM(L3:Q3)</f>
        <v>0</v>
      </c>
      <c r="S3" s="2100"/>
      <c r="T3" s="2100"/>
      <c r="U3" s="2100"/>
      <c r="V3" s="2107"/>
    </row>
    <row r="4" spans="1:22" s="2111" customFormat="1" ht="13.2" customHeight="1">
      <c r="A4" s="2116" t="s">
        <v>2222</v>
      </c>
      <c r="B4" s="2150"/>
      <c r="C4" s="2102"/>
      <c r="D4" s="2102"/>
      <c r="E4" s="2103"/>
      <c r="F4" s="2104"/>
      <c r="G4" s="2105"/>
      <c r="H4" s="2106"/>
      <c r="I4" s="2107"/>
      <c r="J4" s="4473" t="s">
        <v>2223</v>
      </c>
      <c r="K4" s="4474"/>
      <c r="L4" s="2118"/>
      <c r="M4" s="2118"/>
      <c r="N4" s="2118"/>
      <c r="O4" s="2118"/>
      <c r="P4" s="2118"/>
      <c r="Q4" s="2119"/>
      <c r="R4" s="2120">
        <f>SUM(L4:Q4)</f>
        <v>0</v>
      </c>
      <c r="S4" s="2100"/>
      <c r="T4" s="2100"/>
      <c r="U4" s="2100"/>
      <c r="V4" s="2107"/>
    </row>
    <row r="5" spans="1:22" s="2111" customFormat="1" ht="13.2"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2" customHeight="1" thickBot="1">
      <c r="A6" s="4480" t="s">
        <v>3809</v>
      </c>
      <c r="B6" s="4481"/>
      <c r="C6" s="4482"/>
      <c r="D6" s="3595"/>
      <c r="E6" s="3734"/>
      <c r="F6" s="2127"/>
      <c r="G6" s="2128"/>
      <c r="H6" s="2106"/>
      <c r="I6" s="2107"/>
      <c r="J6" s="4465">
        <v>1</v>
      </c>
      <c r="K6" s="4466"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2" customHeight="1">
      <c r="A7" s="2131" t="s">
        <v>2236</v>
      </c>
      <c r="B7" s="2132"/>
      <c r="C7" s="2133"/>
      <c r="D7" s="3596">
        <f>SUM(D9,D10,D11,D17,0)</f>
        <v>0</v>
      </c>
      <c r="E7" s="2134" t="e">
        <f>E9+E10+E11+E17</f>
        <v>#DIV/0!</v>
      </c>
      <c r="F7" s="2135"/>
      <c r="G7" s="2136"/>
      <c r="H7" s="2106"/>
      <c r="I7" s="2107"/>
      <c r="J7" s="4465"/>
      <c r="K7" s="4467"/>
      <c r="L7" s="2137" t="s">
        <v>2237</v>
      </c>
      <c r="M7" s="3832"/>
      <c r="N7" s="3831"/>
      <c r="O7" s="2150"/>
      <c r="P7" s="2150"/>
      <c r="Q7" s="3831">
        <v>365</v>
      </c>
      <c r="R7" s="3830">
        <f>ROUND(M7*N7*O7*P7*Q7/10000,0)</f>
        <v>0</v>
      </c>
      <c r="S7" s="2100"/>
      <c r="T7" s="2100" t="s">
        <v>2238</v>
      </c>
      <c r="U7" s="2100"/>
      <c r="V7" s="2107"/>
    </row>
    <row r="8" spans="1:22" s="2111" customFormat="1" ht="13.2" customHeight="1">
      <c r="A8" s="2141" t="s">
        <v>2239</v>
      </c>
      <c r="B8" s="4483" t="s">
        <v>2240</v>
      </c>
      <c r="C8" s="4484"/>
      <c r="D8" s="2142" t="s">
        <v>2241</v>
      </c>
      <c r="E8" s="2143" t="s">
        <v>2242</v>
      </c>
      <c r="F8" s="2144" t="s">
        <v>2243</v>
      </c>
      <c r="G8" s="2145"/>
      <c r="H8" s="2106"/>
      <c r="I8" s="2107"/>
      <c r="J8" s="4465"/>
      <c r="K8" s="4467"/>
      <c r="L8" s="2137" t="s">
        <v>2244</v>
      </c>
      <c r="M8" s="3832"/>
      <c r="N8" s="3831"/>
      <c r="O8" s="2150"/>
      <c r="P8" s="2150"/>
      <c r="Q8" s="3831">
        <v>365</v>
      </c>
      <c r="R8" s="3830">
        <f t="shared" ref="R8:R13" si="0">ROUND(M8*N8*O8*P8*Q8/10000,0)</f>
        <v>0</v>
      </c>
      <c r="S8" s="2100"/>
      <c r="T8" s="2100" t="s">
        <v>2245</v>
      </c>
      <c r="U8" s="2100"/>
      <c r="V8" s="2107"/>
    </row>
    <row r="9" spans="1:22" s="2111" customFormat="1" ht="13.2" customHeight="1">
      <c r="A9" s="2141">
        <v>1</v>
      </c>
      <c r="B9" s="4483" t="s">
        <v>2246</v>
      </c>
      <c r="C9" s="4484"/>
      <c r="D9" s="3597">
        <f>ROUND(D6*E9,0)</f>
        <v>0</v>
      </c>
      <c r="E9" s="3598"/>
      <c r="F9" s="2146" t="s">
        <v>2247</v>
      </c>
      <c r="G9" s="2128"/>
      <c r="H9" s="2106"/>
      <c r="I9" s="2107"/>
      <c r="J9" s="4465"/>
      <c r="K9" s="4467"/>
      <c r="L9" s="2137" t="s">
        <v>2248</v>
      </c>
      <c r="M9" s="3832"/>
      <c r="N9" s="3831"/>
      <c r="O9" s="2150"/>
      <c r="P9" s="2150"/>
      <c r="Q9" s="3831">
        <v>365</v>
      </c>
      <c r="R9" s="3830">
        <f t="shared" si="0"/>
        <v>0</v>
      </c>
      <c r="S9" s="2100"/>
      <c r="T9" s="2100"/>
      <c r="U9" s="2100"/>
      <c r="V9" s="2107"/>
    </row>
    <row r="10" spans="1:22" s="2111" customFormat="1" ht="13.2" customHeight="1">
      <c r="A10" s="2141">
        <v>2</v>
      </c>
      <c r="B10" s="4483" t="s">
        <v>2249</v>
      </c>
      <c r="C10" s="4484"/>
      <c r="D10" s="3597">
        <f>ROUND(D6*E10,0)</f>
        <v>0</v>
      </c>
      <c r="E10" s="3598"/>
      <c r="F10" s="3729" t="s">
        <v>3732</v>
      </c>
      <c r="G10" s="2128"/>
      <c r="H10" s="2106"/>
      <c r="I10" s="2107"/>
      <c r="J10" s="4465"/>
      <c r="K10" s="4467"/>
      <c r="L10" s="2137" t="s">
        <v>2250</v>
      </c>
      <c r="M10" s="3832"/>
      <c r="N10" s="3831"/>
      <c r="O10" s="2150"/>
      <c r="P10" s="2150"/>
      <c r="Q10" s="3831">
        <v>365</v>
      </c>
      <c r="R10" s="3830">
        <f t="shared" si="0"/>
        <v>0</v>
      </c>
      <c r="S10" s="2100"/>
      <c r="T10" s="2100"/>
      <c r="U10" s="2100"/>
      <c r="V10" s="2107"/>
    </row>
    <row r="11" spans="1:22" s="2111" customFormat="1" ht="13.2" customHeight="1">
      <c r="A11" s="2141">
        <v>3</v>
      </c>
      <c r="B11" s="4483" t="s">
        <v>2251</v>
      </c>
      <c r="C11" s="4484"/>
      <c r="D11" s="3597">
        <f>D12+D14+D15+D16</f>
        <v>0</v>
      </c>
      <c r="E11" s="3599" t="e">
        <f>D11/D6</f>
        <v>#DIV/0!</v>
      </c>
      <c r="F11" s="2144"/>
      <c r="G11" s="2145"/>
      <c r="H11" s="2106"/>
      <c r="I11" s="2107"/>
      <c r="J11" s="4465"/>
      <c r="K11" s="4467"/>
      <c r="L11" s="2137" t="s">
        <v>2252</v>
      </c>
      <c r="M11" s="3832"/>
      <c r="N11" s="3831"/>
      <c r="O11" s="2150"/>
      <c r="P11" s="2150"/>
      <c r="Q11" s="3831">
        <v>365</v>
      </c>
      <c r="R11" s="3830">
        <f t="shared" si="0"/>
        <v>0</v>
      </c>
      <c r="S11" s="2100"/>
      <c r="T11" s="2100"/>
      <c r="U11" s="2100"/>
      <c r="V11" s="2107"/>
    </row>
    <row r="12" spans="1:22" s="2111" customFormat="1" ht="13.2" customHeight="1">
      <c r="A12" s="2147" t="s">
        <v>2253</v>
      </c>
      <c r="B12" s="4477" t="s">
        <v>2254</v>
      </c>
      <c r="C12" s="4476"/>
      <c r="D12" s="3600">
        <f>ROUND(D13*1.2%*(1-30%),0)</f>
        <v>0</v>
      </c>
      <c r="E12" s="3601">
        <v>1.2E-2</v>
      </c>
      <c r="F12" s="2144" t="s">
        <v>2255</v>
      </c>
      <c r="G12" s="2145"/>
      <c r="H12" s="2106"/>
      <c r="I12" s="2107"/>
      <c r="J12" s="4465"/>
      <c r="K12" s="4467"/>
      <c r="L12" s="2137" t="s">
        <v>2256</v>
      </c>
      <c r="M12" s="3832"/>
      <c r="N12" s="3831"/>
      <c r="O12" s="2150"/>
      <c r="P12" s="2150"/>
      <c r="Q12" s="3831">
        <v>365</v>
      </c>
      <c r="R12" s="3830">
        <f t="shared" si="0"/>
        <v>0</v>
      </c>
      <c r="S12" s="2100"/>
      <c r="T12" s="2100"/>
      <c r="U12" s="2100"/>
      <c r="V12" s="2107"/>
    </row>
    <row r="13" spans="1:22" s="2111" customFormat="1" ht="13.2" customHeight="1">
      <c r="A13" s="2147"/>
      <c r="B13" s="2148"/>
      <c r="C13" s="2149" t="s">
        <v>2257</v>
      </c>
      <c r="D13" s="3602"/>
      <c r="E13" s="2151"/>
      <c r="F13" s="2144"/>
      <c r="G13" s="2145"/>
      <c r="H13" s="2106"/>
      <c r="I13" s="2107"/>
      <c r="J13" s="4465"/>
      <c r="K13" s="4467"/>
      <c r="L13" s="2137" t="s">
        <v>2258</v>
      </c>
      <c r="M13" s="3832"/>
      <c r="N13" s="3831"/>
      <c r="O13" s="2150"/>
      <c r="P13" s="2150"/>
      <c r="Q13" s="3831">
        <v>365</v>
      </c>
      <c r="R13" s="3830">
        <f t="shared" si="0"/>
        <v>0</v>
      </c>
      <c r="S13" s="2100"/>
      <c r="T13" s="2100"/>
      <c r="U13" s="2100"/>
      <c r="V13" s="2107"/>
    </row>
    <row r="14" spans="1:22" s="2111" customFormat="1" ht="13.2" customHeight="1">
      <c r="A14" s="2147" t="s">
        <v>2259</v>
      </c>
      <c r="B14" s="4477" t="s">
        <v>2260</v>
      </c>
      <c r="C14" s="4476"/>
      <c r="D14" s="3600">
        <f>ROUND(E14*B5/10000,0)</f>
        <v>0</v>
      </c>
      <c r="E14" s="3603"/>
      <c r="F14" s="2144" t="s">
        <v>2261</v>
      </c>
      <c r="G14" s="2145"/>
      <c r="H14" s="2106"/>
      <c r="I14" s="2107"/>
      <c r="J14" s="4465"/>
      <c r="K14" s="4468"/>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2" customHeight="1">
      <c r="A15" s="2147" t="s">
        <v>2263</v>
      </c>
      <c r="B15" s="4475" t="s">
        <v>3806</v>
      </c>
      <c r="C15" s="4476"/>
      <c r="D15" s="3600">
        <f>IF(F15="酒店",E48*(1+E15),IF(F15="购物中心",E67*(1+E15),IF(F15="按比例计算-酒店",E46,E65)))</f>
        <v>0</v>
      </c>
      <c r="E15" s="3601">
        <f>'数据-取费表'!B44</f>
        <v>0.12000000000000001</v>
      </c>
      <c r="F15" s="3732" t="s">
        <v>3871</v>
      </c>
      <c r="G15" s="3733"/>
      <c r="H15" s="2106"/>
      <c r="I15" s="2107"/>
      <c r="J15" s="4465">
        <v>2</v>
      </c>
      <c r="K15" s="4466"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2" customHeight="1">
      <c r="A16" s="2147" t="s">
        <v>2270</v>
      </c>
      <c r="B16" s="4477" t="s">
        <v>2271</v>
      </c>
      <c r="C16" s="4476"/>
      <c r="D16" s="3604">
        <f>D6*E16</f>
        <v>0</v>
      </c>
      <c r="E16" s="3605"/>
      <c r="F16" s="2146" t="s">
        <v>2272</v>
      </c>
      <c r="G16" s="2128"/>
      <c r="H16" s="2106"/>
      <c r="I16" s="2107"/>
      <c r="J16" s="4465"/>
      <c r="K16" s="4467"/>
      <c r="L16" s="2137" t="s">
        <v>2273</v>
      </c>
      <c r="M16" s="3832"/>
      <c r="N16" s="3832"/>
      <c r="O16" s="2150"/>
      <c r="P16" s="3831">
        <v>365</v>
      </c>
      <c r="Q16" s="3831"/>
      <c r="R16" s="3830">
        <f>ROUND(M16*N16*O16*P16/10000,0)</f>
        <v>0</v>
      </c>
      <c r="S16" s="2100"/>
      <c r="T16" s="2100"/>
      <c r="U16" s="2100"/>
      <c r="V16" s="2107"/>
    </row>
    <row r="17" spans="1:22" s="2111" customFormat="1" ht="13.2" customHeight="1" thickBot="1">
      <c r="A17" s="2157">
        <v>4</v>
      </c>
      <c r="B17" s="4478" t="s">
        <v>2274</v>
      </c>
      <c r="C17" s="4479"/>
      <c r="D17" s="3606">
        <f>ROUND(D6*E17,0)</f>
        <v>0</v>
      </c>
      <c r="E17" s="3607"/>
      <c r="F17" s="3730" t="s">
        <v>3733</v>
      </c>
      <c r="G17" s="2128"/>
      <c r="H17" s="2106"/>
      <c r="I17" s="2107"/>
      <c r="J17" s="4465"/>
      <c r="K17" s="4467"/>
      <c r="L17" s="2137" t="s">
        <v>2275</v>
      </c>
      <c r="M17" s="3832"/>
      <c r="N17" s="3832"/>
      <c r="O17" s="2150"/>
      <c r="P17" s="3831">
        <v>365</v>
      </c>
      <c r="Q17" s="3831"/>
      <c r="R17" s="3830">
        <f>ROUND(M17*N17*O17*P17/10000,0)</f>
        <v>0</v>
      </c>
      <c r="S17" s="2100"/>
      <c r="T17" s="2100"/>
      <c r="U17" s="2100"/>
      <c r="V17" s="2107"/>
    </row>
    <row r="18" spans="1:22" s="2111" customFormat="1" ht="13.2" customHeight="1" thickBot="1">
      <c r="A18" s="2131" t="s">
        <v>2276</v>
      </c>
      <c r="B18" s="2132"/>
      <c r="C18" s="2132"/>
      <c r="D18" s="3608">
        <f>ROUND(D6*E18,0)</f>
        <v>0</v>
      </c>
      <c r="E18" s="3609"/>
      <c r="F18" s="2158" t="s">
        <v>2277</v>
      </c>
      <c r="G18" s="2128"/>
      <c r="H18" s="2106"/>
      <c r="I18" s="2107"/>
      <c r="J18" s="4465"/>
      <c r="K18" s="4467"/>
      <c r="L18" s="2137" t="s">
        <v>2278</v>
      </c>
      <c r="M18" s="3832"/>
      <c r="N18" s="3832"/>
      <c r="O18" s="2150"/>
      <c r="P18" s="3831">
        <v>365</v>
      </c>
      <c r="Q18" s="3831"/>
      <c r="R18" s="3830">
        <f>ROUND(M18*N18*O18*P18/10000,0)</f>
        <v>0</v>
      </c>
      <c r="S18" s="2100"/>
      <c r="T18" s="2100"/>
      <c r="U18" s="2100"/>
      <c r="V18" s="2107"/>
    </row>
    <row r="19" spans="1:22" s="2111" customFormat="1" ht="13.2" customHeight="1" thickBot="1">
      <c r="A19" s="2159" t="s">
        <v>2279</v>
      </c>
      <c r="B19" s="2126"/>
      <c r="C19" s="2126"/>
      <c r="D19" s="2126"/>
      <c r="E19" s="2126"/>
      <c r="F19" s="2127"/>
      <c r="G19" s="2145"/>
      <c r="H19" s="2106"/>
      <c r="I19" s="2107"/>
      <c r="J19" s="4465"/>
      <c r="K19" s="4468"/>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2" customHeight="1">
      <c r="A20" s="2131"/>
      <c r="B20" s="2132"/>
      <c r="C20" s="2132"/>
      <c r="D20" s="2132"/>
      <c r="E20" s="2132"/>
      <c r="F20" s="2161"/>
      <c r="G20" s="2145"/>
      <c r="H20" s="2106"/>
      <c r="I20" s="2107"/>
      <c r="J20" s="4465">
        <v>3</v>
      </c>
      <c r="K20" s="4466"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2" customHeight="1">
      <c r="A21" s="2131"/>
      <c r="B21" s="2132"/>
      <c r="C21" s="2163" t="s">
        <v>2288</v>
      </c>
      <c r="D21" s="2164" t="s">
        <v>2289</v>
      </c>
      <c r="E21" s="2165" t="s">
        <v>2290</v>
      </c>
      <c r="F21" s="2161"/>
      <c r="G21" s="2145"/>
      <c r="H21" s="2106"/>
      <c r="I21" s="2107"/>
      <c r="J21" s="4465"/>
      <c r="K21" s="4467"/>
      <c r="L21" s="2137" t="s">
        <v>2291</v>
      </c>
      <c r="M21" s="3832"/>
      <c r="N21" s="3832"/>
      <c r="O21" s="2150"/>
      <c r="P21" s="3831">
        <v>365</v>
      </c>
      <c r="Q21" s="3831"/>
      <c r="R21" s="3833">
        <f>ROUND(M21*N21*O21*P21/10000,0)</f>
        <v>0</v>
      </c>
      <c r="S21" s="2100"/>
      <c r="T21" s="2100"/>
      <c r="U21" s="2100"/>
      <c r="V21" s="2107"/>
    </row>
    <row r="22" spans="1:22" s="2111" customFormat="1" ht="13.2" customHeight="1">
      <c r="A22" s="2131"/>
      <c r="B22" s="2132"/>
      <c r="C22" s="2166" t="s">
        <v>2292</v>
      </c>
      <c r="D22" s="2167" t="s">
        <v>2293</v>
      </c>
      <c r="E22" s="2168" t="s">
        <v>2294</v>
      </c>
      <c r="F22" s="2161"/>
      <c r="G22" s="2100"/>
      <c r="H22" s="2106"/>
      <c r="I22" s="2107"/>
      <c r="J22" s="4465"/>
      <c r="K22" s="4467"/>
      <c r="L22" s="2137" t="s">
        <v>2295</v>
      </c>
      <c r="M22" s="3832"/>
      <c r="N22" s="3832"/>
      <c r="O22" s="2150"/>
      <c r="P22" s="3831">
        <v>365</v>
      </c>
      <c r="Q22" s="3831"/>
      <c r="R22" s="3833">
        <f>ROUND(M22*N22*O22*P22/10000,0)</f>
        <v>0</v>
      </c>
      <c r="S22" s="2100"/>
      <c r="T22" s="2100"/>
      <c r="U22" s="2100"/>
      <c r="V22" s="2107"/>
    </row>
    <row r="23" spans="1:22" s="2111" customFormat="1" ht="13.2" customHeight="1">
      <c r="A23" s="2169">
        <v>1</v>
      </c>
      <c r="B23" s="2170" t="s">
        <v>2296</v>
      </c>
      <c r="C23" s="2175">
        <f>D6</f>
        <v>0</v>
      </c>
      <c r="D23" s="3624">
        <f>C23*(1+D24)</f>
        <v>0</v>
      </c>
      <c r="E23" s="3625">
        <f>D23*(1+E24)</f>
        <v>0</v>
      </c>
      <c r="F23" s="2171"/>
      <c r="G23" s="2172"/>
      <c r="H23" s="2106"/>
      <c r="I23" s="2107"/>
      <c r="J23" s="4465"/>
      <c r="K23" s="4467"/>
      <c r="L23" s="2137" t="s">
        <v>2297</v>
      </c>
      <c r="M23" s="3832"/>
      <c r="N23" s="3832"/>
      <c r="O23" s="2150"/>
      <c r="P23" s="3831">
        <v>365</v>
      </c>
      <c r="Q23" s="3831"/>
      <c r="R23" s="3833">
        <f>ROUND(M23*N23*O23*P23/10000,0)</f>
        <v>0</v>
      </c>
      <c r="S23" s="2100"/>
      <c r="T23" s="2100"/>
      <c r="U23" s="2100"/>
      <c r="V23" s="2107"/>
    </row>
    <row r="24" spans="1:22" s="2111" customFormat="1" ht="13.2" customHeight="1">
      <c r="A24" s="2173"/>
      <c r="B24" s="2174" t="s">
        <v>2298</v>
      </c>
      <c r="C24" s="2175"/>
      <c r="D24" s="2176"/>
      <c r="E24" s="2177"/>
      <c r="F24" s="2178"/>
      <c r="G24" s="2172"/>
      <c r="H24" s="2106"/>
      <c r="I24" s="2107"/>
      <c r="J24" s="4465"/>
      <c r="K24" s="4468"/>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2"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2" customHeight="1">
      <c r="A26" s="2169">
        <v>2</v>
      </c>
      <c r="B26" s="2170" t="s">
        <v>2300</v>
      </c>
      <c r="C26" s="2175">
        <f>D7</f>
        <v>0</v>
      </c>
      <c r="D26" s="3610">
        <f>D23*D27</f>
        <v>0</v>
      </c>
      <c r="E26" s="3611">
        <f>E23*E27</f>
        <v>0</v>
      </c>
      <c r="F26" s="2171"/>
      <c r="G26" s="2172"/>
      <c r="H26" s="2106"/>
      <c r="I26" s="2107"/>
      <c r="J26" s="4469">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2" customHeight="1">
      <c r="A27" s="2173"/>
      <c r="B27" s="2174" t="s">
        <v>2306</v>
      </c>
      <c r="C27" s="2191" t="e">
        <f>E7</f>
        <v>#DIV/0!</v>
      </c>
      <c r="D27" s="2176"/>
      <c r="E27" s="2177"/>
      <c r="F27" s="2178"/>
      <c r="G27" s="2172"/>
      <c r="H27" s="2192"/>
      <c r="I27" s="2184"/>
      <c r="J27" s="4470"/>
      <c r="K27" s="2193"/>
      <c r="L27" s="2194"/>
      <c r="M27" s="2195"/>
      <c r="N27" s="3629"/>
      <c r="O27" s="3629"/>
      <c r="P27" s="3629"/>
      <c r="Q27" s="3629"/>
      <c r="R27" s="3834">
        <f>ROUND(O27*N27*P27*(1-Q27)/10000,0)</f>
        <v>0</v>
      </c>
      <c r="S27" s="2100"/>
      <c r="T27" s="2100"/>
      <c r="U27" s="2100"/>
      <c r="V27" s="2107"/>
    </row>
    <row r="28" spans="1:22" s="2185" customFormat="1" ht="13.2"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2"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2"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2"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2" customHeight="1">
      <c r="A32" s="2169">
        <v>4</v>
      </c>
      <c r="B32" s="2170" t="s">
        <v>2314</v>
      </c>
      <c r="C32" s="2175">
        <f>C23-C26-C29</f>
        <v>0</v>
      </c>
      <c r="D32" s="3610">
        <f>D23-D26-D29</f>
        <v>0</v>
      </c>
      <c r="E32" s="3611">
        <f>E23-E26-E29</f>
        <v>0</v>
      </c>
      <c r="F32" s="2171"/>
      <c r="G32" s="2100"/>
      <c r="H32" s="2106"/>
      <c r="I32" s="2107"/>
      <c r="J32" s="4471" t="s">
        <v>2211</v>
      </c>
      <c r="K32" s="4472"/>
      <c r="L32" s="2108" t="s">
        <v>2212</v>
      </c>
      <c r="M32" s="2108" t="s">
        <v>2213</v>
      </c>
      <c r="N32" s="2108" t="s">
        <v>2214</v>
      </c>
      <c r="O32" s="2108" t="s">
        <v>2215</v>
      </c>
      <c r="P32" s="2108" t="s">
        <v>2216</v>
      </c>
      <c r="Q32" s="2109" t="s">
        <v>2217</v>
      </c>
      <c r="R32" s="2204" t="s">
        <v>2218</v>
      </c>
      <c r="S32" s="2100"/>
      <c r="T32" s="2100"/>
      <c r="U32" s="2100"/>
      <c r="V32" s="2184"/>
    </row>
    <row r="33" spans="1:23" s="2111" customFormat="1" ht="13.2" customHeight="1">
      <c r="A33" s="2169"/>
      <c r="B33" s="2170"/>
      <c r="C33" s="2175"/>
      <c r="D33" s="3612"/>
      <c r="E33" s="3613"/>
      <c r="F33" s="2171"/>
      <c r="G33" s="2100"/>
      <c r="H33" s="2192"/>
      <c r="I33" s="2184"/>
      <c r="J33" s="4473" t="s">
        <v>2221</v>
      </c>
      <c r="K33" s="4474"/>
      <c r="L33" s="3632"/>
      <c r="M33" s="3632"/>
      <c r="N33" s="3632"/>
      <c r="O33" s="3632"/>
      <c r="P33" s="3632"/>
      <c r="Q33" s="3633"/>
      <c r="R33" s="3634">
        <f>SUM(L33:Q33)</f>
        <v>0</v>
      </c>
      <c r="S33" s="2100"/>
      <c r="T33" s="2100"/>
      <c r="U33" s="2100"/>
      <c r="V33" s="2107"/>
    </row>
    <row r="34" spans="1:23" s="2111" customFormat="1" ht="13.2" customHeight="1">
      <c r="A34" s="2169">
        <v>5</v>
      </c>
      <c r="B34" s="2170" t="s">
        <v>2315</v>
      </c>
      <c r="C34" s="3614"/>
      <c r="D34" s="3615"/>
      <c r="E34" s="3616"/>
      <c r="F34" s="2171"/>
      <c r="G34" s="2100"/>
      <c r="H34" s="2192"/>
      <c r="I34" s="2184"/>
      <c r="J34" s="4473" t="s">
        <v>2223</v>
      </c>
      <c r="K34" s="4474"/>
      <c r="L34" s="3635"/>
      <c r="M34" s="3635"/>
      <c r="N34" s="3635"/>
      <c r="O34" s="3635"/>
      <c r="P34" s="3635"/>
      <c r="Q34" s="3636"/>
      <c r="R34" s="3637">
        <f>SUM(L34:Q34)</f>
        <v>0</v>
      </c>
      <c r="S34" s="2100"/>
      <c r="T34" s="2100"/>
      <c r="U34" s="2100" t="e">
        <f>ROUND(R35*10000/365/R33,1)</f>
        <v>#DIV/0!</v>
      </c>
      <c r="V34" s="2107"/>
    </row>
    <row r="35" spans="1:23" s="2111" customFormat="1" ht="13.2"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2" customHeight="1" thickBot="1">
      <c r="A36" s="2169">
        <v>7</v>
      </c>
      <c r="B36" s="2207" t="s">
        <v>2317</v>
      </c>
      <c r="C36" s="3617"/>
      <c r="D36" s="3618"/>
      <c r="E36" s="3619"/>
      <c r="F36" s="2208">
        <f>C36+D36+E36</f>
        <v>0</v>
      </c>
      <c r="G36" s="2100"/>
      <c r="H36" s="2106"/>
      <c r="I36" s="2107"/>
      <c r="J36" s="4465">
        <v>1</v>
      </c>
      <c r="K36" s="4466" t="s">
        <v>2318</v>
      </c>
      <c r="L36" s="2129"/>
      <c r="M36" s="2130"/>
      <c r="N36" s="2130"/>
      <c r="O36" s="2130"/>
      <c r="P36" s="2130"/>
      <c r="Q36" s="2130"/>
      <c r="R36" s="2115" t="s">
        <v>2234</v>
      </c>
      <c r="S36" s="2100"/>
      <c r="T36" s="2100" t="s">
        <v>2235</v>
      </c>
      <c r="U36" s="2100"/>
      <c r="V36" s="2107"/>
    </row>
    <row r="37" spans="1:23" s="2111" customFormat="1" ht="13.2" customHeight="1">
      <c r="A37" s="2169"/>
      <c r="B37" s="2170"/>
      <c r="C37" s="2174"/>
      <c r="D37" s="2174"/>
      <c r="E37" s="2174"/>
      <c r="F37" s="2171"/>
      <c r="G37" s="2100"/>
      <c r="H37" s="2106"/>
      <c r="I37" s="2107"/>
      <c r="J37" s="4465"/>
      <c r="K37" s="4467"/>
      <c r="L37" s="3638"/>
      <c r="M37" s="3626"/>
      <c r="N37" s="2150"/>
      <c r="O37" s="2150"/>
      <c r="P37" s="2150"/>
      <c r="Q37" s="2150"/>
      <c r="R37" s="3627"/>
      <c r="S37" s="2100"/>
      <c r="T37" s="2100" t="s">
        <v>2238</v>
      </c>
      <c r="U37" s="2100"/>
      <c r="V37" s="2107"/>
    </row>
    <row r="38" spans="1:23" s="2111" customFormat="1" ht="13.2" customHeight="1">
      <c r="A38" s="2169">
        <v>8</v>
      </c>
      <c r="B38" s="2170"/>
      <c r="C38" s="3597" t="e">
        <f>ROUND(C32*(1-((1+C35)/(1+C34))^C36)/(C34-C35),0)</f>
        <v>#DIV/0!</v>
      </c>
      <c r="D38" s="3597">
        <f>IF(D23=0,0,ROUND(D32*(1-((1+D35)/(1+D34))^D36)/(D34-D35),0))</f>
        <v>0</v>
      </c>
      <c r="E38" s="3597">
        <f>IF(E23=0,0,ROUND(E32*(1-((1+E35)/(1+E34))^E36)/(E34-E35),0))</f>
        <v>0</v>
      </c>
      <c r="F38" s="2171"/>
      <c r="G38" s="2100"/>
      <c r="H38" s="2106"/>
      <c r="I38" s="2107"/>
      <c r="J38" s="4465"/>
      <c r="K38" s="4467"/>
      <c r="L38" s="3638"/>
      <c r="M38" s="3626"/>
      <c r="N38" s="2150"/>
      <c r="O38" s="2150"/>
      <c r="P38" s="2150"/>
      <c r="Q38" s="2150"/>
      <c r="R38" s="3627"/>
      <c r="S38" s="2100"/>
      <c r="T38" s="2100" t="s">
        <v>2245</v>
      </c>
      <c r="U38" s="2100"/>
      <c r="V38" s="2107"/>
    </row>
    <row r="39" spans="1:23" s="2111" customFormat="1" ht="13.2" customHeight="1">
      <c r="A39" s="2169">
        <v>9</v>
      </c>
      <c r="B39" s="2170" t="s">
        <v>2319</v>
      </c>
      <c r="C39" s="3600" t="e">
        <f>C38</f>
        <v>#DIV/0!</v>
      </c>
      <c r="D39" s="3600">
        <f>IF(D23=0,0,D38/(1+D34)^C36)</f>
        <v>0</v>
      </c>
      <c r="E39" s="3600">
        <f>IF(E23=0,0,E38/(1+E34)^(C36+D36))</f>
        <v>0</v>
      </c>
      <c r="F39" s="2171"/>
      <c r="G39" s="2107"/>
      <c r="H39" s="2106"/>
      <c r="I39" s="2107"/>
      <c r="J39" s="4465"/>
      <c r="K39" s="4467"/>
      <c r="L39" s="3638"/>
      <c r="M39" s="3626"/>
      <c r="N39" s="2150"/>
      <c r="O39" s="2150"/>
      <c r="P39" s="2150"/>
      <c r="Q39" s="2150"/>
      <c r="R39" s="3627"/>
      <c r="S39" s="2100"/>
      <c r="T39" s="2100"/>
      <c r="U39" s="2100"/>
      <c r="V39" s="2107"/>
    </row>
    <row r="40" spans="1:23" s="2111" customFormat="1" ht="13.2" customHeight="1">
      <c r="A40" s="2209">
        <v>10</v>
      </c>
      <c r="B40" s="2170" t="s">
        <v>2320</v>
      </c>
      <c r="C40" s="3620" t="e">
        <f>C39+D39+E39</f>
        <v>#DIV/0!</v>
      </c>
      <c r="D40" s="3621"/>
      <c r="E40" s="3621"/>
      <c r="F40" s="2210"/>
      <c r="G40" s="2100"/>
      <c r="H40" s="2106"/>
      <c r="I40" s="2107"/>
      <c r="J40" s="4465"/>
      <c r="K40" s="4468"/>
      <c r="L40" s="2152" t="s">
        <v>2262</v>
      </c>
      <c r="M40" s="2153"/>
      <c r="N40" s="2153"/>
      <c r="O40" s="2154"/>
      <c r="P40" s="2154"/>
      <c r="Q40" s="3639"/>
      <c r="R40" s="3835">
        <f>SUM(R37:R39)</f>
        <v>0</v>
      </c>
      <c r="S40" s="2100"/>
      <c r="T40" s="2100"/>
      <c r="U40" s="2100"/>
      <c r="V40" s="2107"/>
    </row>
    <row r="41" spans="1:23" s="2111" customFormat="1" ht="13.2"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2" customHeight="1">
      <c r="G42" s="2106"/>
      <c r="H42" s="2106"/>
      <c r="I42" s="2107"/>
      <c r="J42" s="4469">
        <v>3</v>
      </c>
      <c r="K42" s="2186" t="s">
        <v>2301</v>
      </c>
      <c r="L42" s="2187"/>
      <c r="M42" s="2188"/>
      <c r="N42" s="2189" t="s">
        <v>2302</v>
      </c>
      <c r="O42" s="2189" t="s">
        <v>2303</v>
      </c>
      <c r="P42" s="2190" t="s">
        <v>2304</v>
      </c>
      <c r="Q42" s="2190" t="s">
        <v>2305</v>
      </c>
      <c r="R42" s="2115" t="s">
        <v>2234</v>
      </c>
      <c r="S42" s="2145"/>
      <c r="T42" s="2145"/>
      <c r="U42" s="2100"/>
      <c r="V42" s="2107"/>
    </row>
    <row r="43" spans="1:23" ht="13.2" customHeight="1">
      <c r="A43" s="2111"/>
      <c r="B43" s="2111"/>
      <c r="C43" s="2111"/>
      <c r="D43" s="2111"/>
      <c r="E43" s="2111"/>
      <c r="F43" s="2111"/>
      <c r="G43" s="2106"/>
      <c r="H43" s="2106"/>
      <c r="I43" s="2095"/>
      <c r="J43" s="4470"/>
      <c r="K43" s="2193"/>
      <c r="L43" s="2194"/>
      <c r="M43" s="2195"/>
      <c r="N43" s="3626"/>
      <c r="O43" s="3626"/>
      <c r="P43" s="3626"/>
      <c r="Q43" s="3626"/>
      <c r="R43" s="3834">
        <f>ROUND(O43*N43*P43*(1-Q43)/10000,0)</f>
        <v>0</v>
      </c>
      <c r="S43" s="2100"/>
      <c r="T43" s="2100"/>
      <c r="V43" s="2214"/>
      <c r="W43" s="2215"/>
    </row>
    <row r="44" spans="1:23" ht="13.2"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2" customHeight="1" thickBot="1">
      <c r="A45" s="2111"/>
      <c r="B45" s="2111"/>
      <c r="C45" s="2111"/>
      <c r="D45" s="2111"/>
      <c r="E45" s="2111"/>
      <c r="F45" s="2111"/>
      <c r="G45" s="2106"/>
      <c r="H45" s="2106"/>
    </row>
    <row r="46" spans="1:23" ht="14.4">
      <c r="A46" s="2111"/>
      <c r="B46" s="2111"/>
      <c r="C46" s="3739" t="s">
        <v>3734</v>
      </c>
      <c r="D46" s="3740" t="s">
        <v>3807</v>
      </c>
      <c r="E46" s="4138">
        <f>ROUND(D6*G46,0)</f>
        <v>0</v>
      </c>
      <c r="F46" s="3751" t="s">
        <v>3796</v>
      </c>
      <c r="G46" s="4139">
        <v>0.05</v>
      </c>
      <c r="H46" s="2111"/>
      <c r="I46" s="2215"/>
    </row>
    <row r="47" spans="1:23" ht="13.2" customHeight="1">
      <c r="A47" s="2111"/>
      <c r="B47" s="2111"/>
      <c r="C47" s="3741" t="s">
        <v>3735</v>
      </c>
      <c r="D47" s="3742" t="s">
        <v>3736</v>
      </c>
      <c r="E47" s="3752" t="s">
        <v>3737</v>
      </c>
      <c r="F47" s="3752" t="s">
        <v>3738</v>
      </c>
      <c r="G47" s="3753" t="s">
        <v>3739</v>
      </c>
      <c r="H47" s="2101"/>
      <c r="I47" s="2215"/>
    </row>
    <row r="48" spans="1:23" ht="13.2" customHeight="1">
      <c r="C48" s="3743">
        <v>1</v>
      </c>
      <c r="D48" s="3742" t="s">
        <v>3740</v>
      </c>
      <c r="E48" s="3763">
        <f>E49-E54</f>
        <v>0</v>
      </c>
      <c r="F48" s="3742"/>
      <c r="G48" s="3753"/>
      <c r="H48" s="2101"/>
      <c r="I48" s="2215"/>
    </row>
    <row r="49" spans="1:9" ht="13.2" customHeight="1">
      <c r="C49" s="3743">
        <v>2</v>
      </c>
      <c r="D49" s="3742" t="s">
        <v>3741</v>
      </c>
      <c r="E49" s="3763">
        <f>SUM(E50:E53)</f>
        <v>0</v>
      </c>
      <c r="F49" s="3742"/>
      <c r="G49" s="4133"/>
      <c r="H49" s="2101"/>
      <c r="I49" s="2215"/>
    </row>
    <row r="50" spans="1:9" ht="13.2" customHeight="1">
      <c r="C50" s="3744" t="s">
        <v>3757</v>
      </c>
      <c r="D50" s="3745" t="s">
        <v>3742</v>
      </c>
      <c r="E50" s="3764">
        <f>R14*G50/(1+G50)</f>
        <v>0</v>
      </c>
      <c r="F50" s="3754" t="s">
        <v>3758</v>
      </c>
      <c r="G50" s="4134">
        <v>0.06</v>
      </c>
      <c r="H50" s="2101"/>
      <c r="I50" s="2215"/>
    </row>
    <row r="51" spans="1:9" ht="13.2" customHeight="1">
      <c r="C51" s="3744" t="s">
        <v>3759</v>
      </c>
      <c r="D51" s="3745" t="s">
        <v>3743</v>
      </c>
      <c r="E51" s="3764">
        <f>R19*G51/(1+G51)</f>
        <v>0</v>
      </c>
      <c r="F51" s="3754" t="s">
        <v>3760</v>
      </c>
      <c r="G51" s="4134">
        <v>0.06</v>
      </c>
      <c r="H51" s="2101"/>
      <c r="I51" s="2215"/>
    </row>
    <row r="52" spans="1:9" ht="13.2" customHeight="1">
      <c r="C52" s="3744" t="s">
        <v>3761</v>
      </c>
      <c r="D52" s="3745" t="s">
        <v>3744</v>
      </c>
      <c r="E52" s="3764">
        <f>R24*G52/(1+R24)</f>
        <v>0</v>
      </c>
      <c r="F52" s="3754" t="s">
        <v>3745</v>
      </c>
      <c r="G52" s="4134">
        <v>0.09</v>
      </c>
      <c r="H52" s="2101"/>
      <c r="I52" s="2215"/>
    </row>
    <row r="53" spans="1:9" ht="13.2" customHeight="1">
      <c r="C53" s="3744" t="s">
        <v>3762</v>
      </c>
      <c r="D53" s="3745" t="s">
        <v>3746</v>
      </c>
      <c r="E53" s="3764">
        <f>R27*G53/(1+G53)</f>
        <v>0</v>
      </c>
      <c r="F53" s="3754" t="s">
        <v>3745</v>
      </c>
      <c r="G53" s="4134">
        <v>0.09</v>
      </c>
      <c r="H53" s="2101"/>
      <c r="I53" s="2215"/>
    </row>
    <row r="54" spans="1:9" ht="13.2" customHeight="1">
      <c r="A54" s="2101" t="s">
        <v>3791</v>
      </c>
      <c r="B54" s="2215"/>
      <c r="C54" s="3743">
        <v>3</v>
      </c>
      <c r="D54" s="3742" t="s">
        <v>3747</v>
      </c>
      <c r="E54" s="3763">
        <f>E55+E56+E60</f>
        <v>0</v>
      </c>
      <c r="F54" s="3742"/>
      <c r="G54" s="4133"/>
      <c r="H54" s="2101"/>
      <c r="I54" s="2215"/>
    </row>
    <row r="55" spans="1:9" ht="13.2" customHeight="1">
      <c r="A55" s="3735">
        <v>0.05</v>
      </c>
      <c r="B55" s="3736" t="s">
        <v>3795</v>
      </c>
      <c r="C55" s="3744" t="s">
        <v>3757</v>
      </c>
      <c r="D55" s="3745" t="s">
        <v>3748</v>
      </c>
      <c r="E55" s="3764">
        <f>D9*G55/(1+G55)</f>
        <v>0</v>
      </c>
      <c r="F55" s="3756" t="s">
        <v>3797</v>
      </c>
      <c r="G55" s="4134">
        <v>0.13</v>
      </c>
      <c r="H55" s="2101"/>
      <c r="I55" s="2215"/>
    </row>
    <row r="56" spans="1:9" ht="13.2" customHeight="1">
      <c r="A56" s="3735">
        <f>SUM(A57:A59)</f>
        <v>0.39</v>
      </c>
      <c r="B56" s="3736"/>
      <c r="C56" s="3744" t="s">
        <v>3759</v>
      </c>
      <c r="D56" s="3745" t="s">
        <v>3749</v>
      </c>
      <c r="E56" s="3764">
        <f>SUM(E57:E59)</f>
        <v>0</v>
      </c>
      <c r="F56" s="3754"/>
      <c r="G56" s="3757"/>
      <c r="H56" s="2101" t="s">
        <v>3804</v>
      </c>
      <c r="I56" s="2101" t="s">
        <v>3805</v>
      </c>
    </row>
    <row r="57" spans="1:9" ht="13.2" customHeight="1">
      <c r="A57" s="3735">
        <v>0.25</v>
      </c>
      <c r="B57" s="3736" t="s">
        <v>3792</v>
      </c>
      <c r="C57" s="3746" t="s">
        <v>3750</v>
      </c>
      <c r="D57" s="3747" t="s">
        <v>3751</v>
      </c>
      <c r="E57" s="3765">
        <v>0</v>
      </c>
      <c r="F57" s="3758"/>
      <c r="G57" s="3759" t="s">
        <v>3752</v>
      </c>
      <c r="H57" s="3731">
        <v>0.65</v>
      </c>
      <c r="I57" s="3737">
        <f>A57/SUM(A57:A59)</f>
        <v>0.64102564102564097</v>
      </c>
    </row>
    <row r="58" spans="1:9" ht="13.2"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2"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2" customHeight="1">
      <c r="A60" s="3735">
        <f>SUM(A61:A62)</f>
        <v>0.1</v>
      </c>
      <c r="B60" s="3736"/>
      <c r="C60" s="3744" t="s">
        <v>3761</v>
      </c>
      <c r="D60" s="3745" t="s">
        <v>3766</v>
      </c>
      <c r="E60" s="3764">
        <f>SUM(E61:E62)</f>
        <v>0</v>
      </c>
      <c r="F60" s="3754"/>
      <c r="G60" s="4136"/>
      <c r="I60" s="2215"/>
    </row>
    <row r="61" spans="1:9" ht="13.2" customHeight="1">
      <c r="A61" s="3735">
        <v>0.05</v>
      </c>
      <c r="B61" s="3736" t="s">
        <v>3795</v>
      </c>
      <c r="C61" s="3746" t="s">
        <v>3767</v>
      </c>
      <c r="D61" s="3747" t="s">
        <v>3768</v>
      </c>
      <c r="E61" s="3765">
        <f>D17*H61*G61/(1+G61)</f>
        <v>0</v>
      </c>
      <c r="F61" s="3758" t="s">
        <v>3765</v>
      </c>
      <c r="G61" s="4135">
        <v>0.06</v>
      </c>
      <c r="H61" s="3731">
        <v>0.5</v>
      </c>
      <c r="I61" s="2215"/>
    </row>
    <row r="62" spans="1:9" ht="13.2" customHeight="1" thickBot="1">
      <c r="A62" s="3735">
        <v>0.05</v>
      </c>
      <c r="B62" s="3736" t="s">
        <v>3796</v>
      </c>
      <c r="C62" s="3749" t="s">
        <v>3753</v>
      </c>
      <c r="D62" s="3750" t="s">
        <v>3769</v>
      </c>
      <c r="E62" s="3766">
        <f>D17*H62*G62/(1+G62)</f>
        <v>0</v>
      </c>
      <c r="F62" s="3761" t="s">
        <v>3770</v>
      </c>
      <c r="G62" s="4137">
        <v>0.09</v>
      </c>
      <c r="H62" s="3731">
        <v>0.5</v>
      </c>
      <c r="I62" s="2215"/>
    </row>
    <row r="63" spans="1:9" ht="13.2" customHeight="1">
      <c r="A63" s="3735">
        <f>A55+A56+A60</f>
        <v>0.54</v>
      </c>
      <c r="B63" s="3736"/>
      <c r="C63" s="2215"/>
      <c r="D63" s="3736"/>
      <c r="E63" s="3736"/>
      <c r="F63" s="2215"/>
      <c r="G63" s="2215"/>
      <c r="H63" s="2101"/>
      <c r="I63" s="2101"/>
    </row>
    <row r="64" spans="1:9" ht="13.2" customHeight="1" thickBot="1">
      <c r="C64" s="2215"/>
      <c r="D64" s="2215"/>
      <c r="E64" s="2215"/>
      <c r="F64" s="2215"/>
      <c r="G64" s="2215"/>
      <c r="H64" s="2101"/>
      <c r="I64" s="2215"/>
    </row>
    <row r="65" spans="1:9" ht="14.4">
      <c r="C65" s="3739" t="s">
        <v>3771</v>
      </c>
      <c r="D65" s="3740" t="s">
        <v>3807</v>
      </c>
      <c r="E65" s="4138">
        <f>ROUND(D6*G65,0)</f>
        <v>0</v>
      </c>
      <c r="F65" s="3751" t="s">
        <v>3808</v>
      </c>
      <c r="G65" s="4139">
        <v>0.03</v>
      </c>
      <c r="H65" s="2101"/>
      <c r="I65" s="2215"/>
    </row>
    <row r="66" spans="1:9">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2" customHeight="1">
      <c r="C68" s="3768">
        <v>2</v>
      </c>
      <c r="D68" s="3742" t="s">
        <v>3778</v>
      </c>
      <c r="E68" s="3767">
        <f>SUM(E69:E70)</f>
        <v>0</v>
      </c>
      <c r="F68" s="3742"/>
      <c r="G68" s="3753"/>
      <c r="H68" s="2101"/>
      <c r="I68" s="2215"/>
    </row>
    <row r="69" spans="1:9" ht="13.2" customHeight="1">
      <c r="C69" s="3744" t="s">
        <v>3779</v>
      </c>
      <c r="D69" s="3745" t="s">
        <v>3780</v>
      </c>
      <c r="E69" s="3745"/>
      <c r="F69" s="3754" t="s">
        <v>3781</v>
      </c>
      <c r="G69" s="3755">
        <v>0.09</v>
      </c>
      <c r="H69" s="2101"/>
      <c r="I69" s="2215"/>
    </row>
    <row r="70" spans="1:9" ht="13.2" customHeight="1">
      <c r="C70" s="3744" t="s">
        <v>3759</v>
      </c>
      <c r="D70" s="3745" t="s">
        <v>3782</v>
      </c>
      <c r="E70" s="3745"/>
      <c r="F70" s="3754" t="s">
        <v>3783</v>
      </c>
      <c r="G70" s="3755">
        <v>0.06</v>
      </c>
      <c r="H70" s="2101"/>
      <c r="I70" s="2215"/>
    </row>
    <row r="71" spans="1:9" ht="13.2" customHeight="1">
      <c r="A71" s="2101" t="s">
        <v>3798</v>
      </c>
      <c r="C71" s="3768">
        <v>3</v>
      </c>
      <c r="D71" s="3742" t="s">
        <v>3784</v>
      </c>
      <c r="E71" s="3767">
        <f>E72+E77</f>
        <v>0</v>
      </c>
      <c r="F71" s="3742"/>
      <c r="G71" s="3753"/>
      <c r="H71" s="2101"/>
      <c r="I71" s="2215"/>
    </row>
    <row r="72" spans="1:9" ht="13.2" customHeight="1">
      <c r="A72" s="3735">
        <v>0.05</v>
      </c>
      <c r="B72" s="3738"/>
      <c r="C72" s="3744" t="s">
        <v>3779</v>
      </c>
      <c r="D72" s="3745" t="s">
        <v>3785</v>
      </c>
      <c r="E72" s="3745">
        <f>D9*G72/(1+G72)</f>
        <v>0</v>
      </c>
      <c r="F72" s="3756" t="s">
        <v>3797</v>
      </c>
      <c r="G72" s="3755">
        <v>0.13</v>
      </c>
      <c r="H72" s="2101"/>
      <c r="I72" s="2215"/>
    </row>
    <row r="73" spans="1:9" ht="13.2" customHeight="1">
      <c r="A73" s="3735">
        <f>SUM(A74:A76)</f>
        <v>0.2</v>
      </c>
      <c r="B73" s="3738"/>
      <c r="C73" s="3744" t="s">
        <v>3759</v>
      </c>
      <c r="D73" s="3745" t="s">
        <v>3786</v>
      </c>
      <c r="E73" s="3745">
        <f>SUM(E74:E76)</f>
        <v>0</v>
      </c>
      <c r="F73" s="3754"/>
      <c r="G73" s="3757"/>
      <c r="H73" s="2101" t="s">
        <v>3804</v>
      </c>
      <c r="I73" s="2101" t="s">
        <v>3805</v>
      </c>
    </row>
    <row r="74" spans="1:9" ht="13.2" customHeight="1">
      <c r="A74" s="3735">
        <v>0.05</v>
      </c>
      <c r="B74" s="3738" t="s">
        <v>3802</v>
      </c>
      <c r="C74" s="3769" t="s">
        <v>3787</v>
      </c>
      <c r="D74" s="3747" t="s">
        <v>3788</v>
      </c>
      <c r="E74" s="3747">
        <v>0</v>
      </c>
      <c r="F74" s="3758"/>
      <c r="G74" s="3759" t="s">
        <v>3789</v>
      </c>
      <c r="H74" s="3731">
        <v>0.25</v>
      </c>
      <c r="I74" s="3737">
        <f>A74/SUM(A74:A76)</f>
        <v>0.25</v>
      </c>
    </row>
    <row r="75" spans="1:9" ht="13.2" customHeight="1">
      <c r="A75" s="3735">
        <v>0.1</v>
      </c>
      <c r="B75" s="3738" t="s">
        <v>3800</v>
      </c>
      <c r="C75" s="3769" t="s">
        <v>3755</v>
      </c>
      <c r="D75" s="3748" t="s">
        <v>3799</v>
      </c>
      <c r="E75" s="3747">
        <f>D10*H75*G75/(1+G75)</f>
        <v>0</v>
      </c>
      <c r="F75" s="3758" t="s">
        <v>3790</v>
      </c>
      <c r="G75" s="3760">
        <v>0.09</v>
      </c>
      <c r="H75" s="3731">
        <v>0.5</v>
      </c>
      <c r="I75" s="3737">
        <f>A75/SUM(A74:A76)</f>
        <v>0.5</v>
      </c>
    </row>
    <row r="76" spans="1:9" ht="13.2" customHeight="1">
      <c r="A76" s="3735">
        <v>0.05</v>
      </c>
      <c r="B76" s="3738" t="s">
        <v>3803</v>
      </c>
      <c r="C76" s="3769" t="s">
        <v>3756</v>
      </c>
      <c r="D76" s="3747" t="s">
        <v>3764</v>
      </c>
      <c r="E76" s="3747">
        <f>D10*H76*G76/(1+G76)</f>
        <v>0</v>
      </c>
      <c r="F76" s="3758" t="s">
        <v>3765</v>
      </c>
      <c r="G76" s="3760">
        <v>0.06</v>
      </c>
      <c r="H76" s="3731">
        <v>0.25</v>
      </c>
      <c r="I76" s="3737">
        <f>1-I74-I75</f>
        <v>0.25</v>
      </c>
    </row>
    <row r="77" spans="1:9" ht="13.2" customHeight="1">
      <c r="A77" s="3735">
        <f>SUM(A78:A79)</f>
        <v>0.1</v>
      </c>
      <c r="B77" s="3738"/>
      <c r="C77" s="3744" t="s">
        <v>3761</v>
      </c>
      <c r="D77" s="3745" t="s">
        <v>3766</v>
      </c>
      <c r="E77" s="3745">
        <f>SUM(E78:E79)</f>
        <v>0</v>
      </c>
      <c r="F77" s="3754"/>
      <c r="G77" s="3757"/>
      <c r="I77" s="2215"/>
    </row>
    <row r="78" spans="1:9" ht="13.2" customHeight="1">
      <c r="A78" s="3735">
        <v>0.05</v>
      </c>
      <c r="B78" s="3738" t="s">
        <v>3793</v>
      </c>
      <c r="C78" s="3769" t="s">
        <v>3787</v>
      </c>
      <c r="D78" s="3747" t="s">
        <v>3768</v>
      </c>
      <c r="E78" s="3747">
        <f>D17*H78*G78/(1+G78)</f>
        <v>0</v>
      </c>
      <c r="F78" s="3758" t="s">
        <v>3765</v>
      </c>
      <c r="G78" s="3760">
        <v>0.06</v>
      </c>
      <c r="H78" s="3731">
        <v>0.5</v>
      </c>
      <c r="I78" s="2215"/>
    </row>
    <row r="79" spans="1:9" ht="13.2" customHeight="1" thickBot="1">
      <c r="A79" s="3735">
        <v>0.05</v>
      </c>
      <c r="B79" s="3738" t="s">
        <v>3801</v>
      </c>
      <c r="C79" s="3770" t="s">
        <v>3755</v>
      </c>
      <c r="D79" s="3750" t="s">
        <v>3769</v>
      </c>
      <c r="E79" s="3750">
        <f>D17*H79*G79/(1+G79)</f>
        <v>0</v>
      </c>
      <c r="F79" s="3761" t="s">
        <v>3770</v>
      </c>
      <c r="G79" s="3762">
        <v>0.09</v>
      </c>
      <c r="H79" s="3731">
        <v>0.5</v>
      </c>
      <c r="I79" s="2215"/>
    </row>
    <row r="80" spans="1:9" ht="13.2" customHeight="1">
      <c r="A80" s="3735">
        <f>A72+A73+A77</f>
        <v>0.35</v>
      </c>
      <c r="B80" s="3738"/>
      <c r="G80" s="2101"/>
      <c r="H80" s="2101"/>
      <c r="I80" s="2215"/>
    </row>
    <row r="81" spans="7:9" ht="13.2" customHeight="1">
      <c r="G81" s="2101"/>
      <c r="H81" s="2101"/>
      <c r="I81" s="221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1573</v>
      </c>
      <c r="B1" s="1372"/>
      <c r="C1" s="1372"/>
      <c r="D1" s="1372"/>
      <c r="E1" s="1373"/>
      <c r="F1" s="2001"/>
      <c r="G1" s="1060"/>
      <c r="H1" s="1060"/>
      <c r="I1" s="1060"/>
      <c r="J1" s="1060"/>
      <c r="K1" s="1060"/>
      <c r="L1" s="1060"/>
      <c r="M1" s="1060"/>
      <c r="N1" s="1060"/>
      <c r="O1" s="1060"/>
      <c r="P1" s="1060"/>
      <c r="Q1" s="1060"/>
      <c r="R1" s="1060"/>
      <c r="S1" s="1060"/>
    </row>
    <row r="2" spans="1:22" ht="15.6">
      <c r="A2" s="1374" t="s">
        <v>1434</v>
      </c>
      <c r="B2" s="571">
        <f ca="1">SUMIF(B6:B13,"&lt;&gt;#ref!",B6:B13)</f>
        <v>11500</v>
      </c>
      <c r="C2" s="1375" t="s">
        <v>1566</v>
      </c>
      <c r="D2" s="1376" t="s">
        <v>1567</v>
      </c>
      <c r="E2" s="2972">
        <f>SUM(E6:E13)</f>
        <v>6216.26</v>
      </c>
      <c r="F2" s="2001"/>
      <c r="G2" s="1060"/>
      <c r="H2" s="1060"/>
      <c r="I2" s="1060"/>
      <c r="J2" s="1060"/>
      <c r="K2" s="1060"/>
      <c r="L2" s="1060"/>
      <c r="M2" s="1060"/>
      <c r="N2" s="1060"/>
      <c r="O2" s="1060"/>
      <c r="P2" s="1060"/>
      <c r="Q2" s="1060"/>
      <c r="R2" s="1060"/>
      <c r="S2" s="1060"/>
    </row>
    <row r="3" spans="1:22" ht="15.6">
      <c r="A3" s="1374" t="s">
        <v>673</v>
      </c>
      <c r="B3" s="2971">
        <f ca="1">ROUND(B2*10000/E2,0)</f>
        <v>18500</v>
      </c>
      <c r="C3" s="1375" t="s">
        <v>1574</v>
      </c>
      <c r="D3" s="2001"/>
      <c r="E3" s="2004"/>
      <c r="F3" s="2001"/>
      <c r="G3" s="1060"/>
      <c r="H3" s="1060"/>
      <c r="I3" s="1060"/>
      <c r="J3" s="1060"/>
      <c r="K3" s="1060"/>
      <c r="L3" s="1060"/>
      <c r="M3" s="1060"/>
      <c r="N3" s="1060"/>
      <c r="O3" s="1060"/>
      <c r="P3" s="1060"/>
      <c r="Q3" s="1060"/>
      <c r="R3" s="1060"/>
      <c r="S3" s="1060"/>
    </row>
    <row r="4" spans="1:22" ht="15.6">
      <c r="A4" s="2005"/>
      <c r="B4" s="2001"/>
      <c r="C4" s="2001"/>
      <c r="D4" s="2001"/>
      <c r="E4" s="2004"/>
      <c r="F4" s="2001"/>
      <c r="G4" s="1060"/>
      <c r="H4" s="1060"/>
      <c r="I4" s="1060"/>
      <c r="J4" s="1060"/>
      <c r="K4" s="1060"/>
      <c r="L4" s="1060"/>
      <c r="M4" s="1060"/>
      <c r="N4" s="1060"/>
      <c r="O4" s="1060"/>
      <c r="P4" s="1060"/>
      <c r="Q4" s="1060"/>
      <c r="R4" s="1060"/>
      <c r="S4" s="1060"/>
    </row>
    <row r="5" spans="1:22" ht="14.4">
      <c r="A5" s="1916" t="s">
        <v>1568</v>
      </c>
      <c r="B5" s="4485" t="s">
        <v>1569</v>
      </c>
      <c r="C5" s="4486"/>
      <c r="D5" s="2002"/>
      <c r="E5" s="1377" t="s">
        <v>1570</v>
      </c>
      <c r="F5" s="51" t="s">
        <v>1571</v>
      </c>
      <c r="G5" s="1060"/>
      <c r="H5" s="1060"/>
      <c r="I5" s="1060"/>
      <c r="J5" s="1060"/>
      <c r="K5" s="1060"/>
      <c r="L5" s="1060"/>
      <c r="M5" s="1060"/>
      <c r="N5" s="1060"/>
      <c r="O5" s="1060"/>
      <c r="P5" s="1060"/>
      <c r="Q5" s="1060"/>
      <c r="R5" s="1060"/>
      <c r="S5" s="1060"/>
    </row>
    <row r="6" spans="1:22" ht="14.4">
      <c r="A6" s="1917" t="str">
        <f>'数据-取费表'!AN6</f>
        <v>收益法</v>
      </c>
      <c r="B6" s="3782">
        <f ca="1">IF(F6="是",'数据-取费表'!AO6,0)</f>
        <v>11500</v>
      </c>
      <c r="C6" s="1375" t="s">
        <v>1566</v>
      </c>
      <c r="D6" s="2001"/>
      <c r="E6" s="2973">
        <f>IF(OR(A6=0,F6="否"),0,'数据-取费表'!K6+'数据-取费表'!S6)</f>
        <v>6216.26</v>
      </c>
      <c r="F6" s="1378" t="s">
        <v>1572</v>
      </c>
      <c r="G6" s="1060"/>
      <c r="H6" s="1060"/>
      <c r="I6" s="1060"/>
      <c r="J6" s="1060"/>
      <c r="K6" s="1060"/>
      <c r="L6" s="1060"/>
      <c r="M6" s="1060"/>
      <c r="N6" s="1060"/>
      <c r="O6" s="1060"/>
      <c r="P6" s="1060"/>
      <c r="Q6" s="1060"/>
      <c r="R6" s="1060"/>
      <c r="S6" s="1060"/>
    </row>
    <row r="7" spans="1:22" ht="14.4">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ht="14.4">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ht="14.4">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ht="14.4">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ht="14.4">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ht="14.4">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90" t="s">
        <v>1999</v>
      </c>
      <c r="D1" s="4491"/>
      <c r="E1" s="4491"/>
      <c r="F1" s="4491"/>
      <c r="G1" s="4491"/>
      <c r="H1" s="4491"/>
      <c r="I1" s="4491"/>
      <c r="J1" s="4491"/>
      <c r="K1" s="4491"/>
      <c r="L1" s="4491"/>
      <c r="M1" s="4491"/>
      <c r="N1" s="4491"/>
      <c r="O1" s="4491"/>
      <c r="P1" s="4491"/>
      <c r="Q1" s="4491"/>
      <c r="R1" s="4491"/>
      <c r="S1" s="4492"/>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8"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2"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6">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7" t="s">
        <v>25</v>
      </c>
      <c r="D22" s="4488"/>
      <c r="E22" s="4488"/>
      <c r="F22" s="4488"/>
      <c r="G22" s="4488"/>
      <c r="H22" s="4488"/>
      <c r="I22" s="4488"/>
      <c r="J22" s="4488"/>
      <c r="K22" s="4488"/>
      <c r="L22" s="4488"/>
      <c r="M22" s="4488"/>
      <c r="N22" s="4488"/>
      <c r="O22" s="4488"/>
      <c r="P22" s="4488"/>
      <c r="Q22" s="4489"/>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6216.26</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4.4">
      <c r="A4" s="236" t="s">
        <v>1581</v>
      </c>
      <c r="B4" s="237"/>
      <c r="C4" s="4497" t="s">
        <v>1582</v>
      </c>
      <c r="D4" s="4498"/>
      <c r="E4" s="4499" t="s">
        <v>1583</v>
      </c>
      <c r="F4" s="4500"/>
      <c r="G4" s="4497" t="s">
        <v>1584</v>
      </c>
      <c r="H4" s="4498"/>
      <c r="I4" s="4497" t="s">
        <v>1585</v>
      </c>
      <c r="J4" s="4498"/>
      <c r="K4" s="2903" t="s">
        <v>1586</v>
      </c>
      <c r="L4" s="2008"/>
      <c r="M4" s="2009"/>
      <c r="N4" s="2009"/>
      <c r="O4" s="2009"/>
      <c r="P4" s="4501" t="s">
        <v>1587</v>
      </c>
      <c r="Q4" s="4502"/>
      <c r="R4" s="4505" t="s">
        <v>1583</v>
      </c>
      <c r="S4" s="4506"/>
      <c r="T4" s="4505" t="s">
        <v>1584</v>
      </c>
      <c r="U4" s="4506"/>
      <c r="V4" s="4423" t="s">
        <v>1585</v>
      </c>
      <c r="W4" s="4423"/>
      <c r="X4" s="937"/>
      <c r="Y4" s="4512" t="s">
        <v>1587</v>
      </c>
      <c r="Z4" s="4513"/>
      <c r="AA4" s="4496" t="s">
        <v>1583</v>
      </c>
      <c r="AB4" s="4496" t="s">
        <v>1584</v>
      </c>
      <c r="AC4" s="4496" t="s">
        <v>1585</v>
      </c>
    </row>
    <row r="5" spans="1:29">
      <c r="A5" s="239"/>
      <c r="B5" s="240"/>
      <c r="C5" s="4509" t="s">
        <v>1588</v>
      </c>
      <c r="D5" s="4510"/>
      <c r="E5" s="4516" t="s">
        <v>1589</v>
      </c>
      <c r="F5" s="4517"/>
      <c r="G5" s="4509" t="s">
        <v>1590</v>
      </c>
      <c r="H5" s="4510"/>
      <c r="I5" s="4509" t="s">
        <v>1591</v>
      </c>
      <c r="J5" s="4510"/>
      <c r="K5" s="2904"/>
      <c r="L5" s="2008"/>
      <c r="M5" s="2009"/>
      <c r="N5" s="2009"/>
      <c r="O5" s="2009"/>
      <c r="P5" s="4503"/>
      <c r="Q5" s="4413"/>
      <c r="R5" s="4418"/>
      <c r="S5" s="4419"/>
      <c r="T5" s="4418"/>
      <c r="U5" s="4419"/>
      <c r="V5" s="4423"/>
      <c r="W5" s="4423"/>
      <c r="X5" s="937"/>
      <c r="Y5" s="4434"/>
      <c r="Z5" s="4435"/>
      <c r="AA5" s="4444"/>
      <c r="AB5" s="4444"/>
      <c r="AC5" s="4444"/>
    </row>
    <row r="6" spans="1:29" ht="15" thickBot="1">
      <c r="A6" s="241"/>
      <c r="B6" s="242"/>
      <c r="C6" s="4507" t="s">
        <v>1592</v>
      </c>
      <c r="D6" s="4508"/>
      <c r="E6" s="4514" t="s">
        <v>1592</v>
      </c>
      <c r="F6" s="4515"/>
      <c r="G6" s="4507" t="s">
        <v>1592</v>
      </c>
      <c r="H6" s="4508"/>
      <c r="I6" s="4507" t="s">
        <v>1592</v>
      </c>
      <c r="J6" s="4508"/>
      <c r="K6" s="2904" t="s">
        <v>1593</v>
      </c>
      <c r="L6" s="2008"/>
      <c r="M6" s="2009"/>
      <c r="N6" s="2009"/>
      <c r="O6" s="2009"/>
      <c r="P6" s="4504"/>
      <c r="Q6" s="4415"/>
      <c r="R6" s="4418"/>
      <c r="S6" s="4419"/>
      <c r="T6" s="4420"/>
      <c r="U6" s="4421"/>
      <c r="V6" s="4423"/>
      <c r="W6" s="4423"/>
      <c r="X6" s="937"/>
      <c r="Y6" s="4436"/>
      <c r="Z6" s="4437"/>
      <c r="AA6" s="4445"/>
      <c r="AB6" s="4445"/>
      <c r="AC6" s="4445"/>
    </row>
    <row r="7" spans="1:29" s="46" customFormat="1" ht="15" thickBot="1">
      <c r="A7" s="243" t="s">
        <v>1594</v>
      </c>
      <c r="B7" s="244"/>
      <c r="C7" s="2905">
        <f>'数据-取费表'!B2</f>
        <v>46048</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11" t="s">
        <v>1595</v>
      </c>
      <c r="Q7" s="4438"/>
      <c r="R7" s="3787" t="s">
        <v>18</v>
      </c>
      <c r="S7" s="3286">
        <f t="shared" ref="S7:S15" si="0">F7</f>
        <v>0</v>
      </c>
      <c r="T7" s="3787" t="s">
        <v>18</v>
      </c>
      <c r="U7" s="3286">
        <f t="shared" ref="U7:U15" si="1">H7</f>
        <v>0</v>
      </c>
      <c r="V7" s="3787" t="s">
        <v>18</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11" t="s">
        <v>1598</v>
      </c>
      <c r="Q8" s="4429"/>
      <c r="R8" s="3787" t="s">
        <v>18</v>
      </c>
      <c r="S8" s="3286">
        <f t="shared" si="0"/>
        <v>100</v>
      </c>
      <c r="T8" s="3787" t="s">
        <v>18</v>
      </c>
      <c r="U8" s="3286">
        <f t="shared" si="1"/>
        <v>100</v>
      </c>
      <c r="V8" s="3787" t="s">
        <v>18</v>
      </c>
      <c r="W8" s="3286">
        <f t="shared" si="2"/>
        <v>100</v>
      </c>
      <c r="X8" s="483"/>
      <c r="Y8" s="4430" t="s">
        <v>1598</v>
      </c>
      <c r="Z8" s="4431"/>
      <c r="AA8" s="28">
        <f t="shared" ref="AA8:AA19" si="3">D8/F8</f>
        <v>1</v>
      </c>
      <c r="AB8" s="28">
        <f t="shared" ref="AB8:AB19" si="4">D8/H8</f>
        <v>1</v>
      </c>
      <c r="AC8" s="28">
        <f t="shared" ref="AC8:AC19" si="5">D8/J8</f>
        <v>1</v>
      </c>
    </row>
    <row r="9" spans="1:29" s="46" customFormat="1" ht="14.4">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387"/>
      <c r="Q11" s="1732" t="str">
        <f t="shared" si="6"/>
        <v>容积率</v>
      </c>
      <c r="R11" s="3787" t="s">
        <v>16</v>
      </c>
      <c r="S11" s="3286" t="e">
        <f t="shared" si="0"/>
        <v>#N/A</v>
      </c>
      <c r="T11" s="3787" t="s">
        <v>16</v>
      </c>
      <c r="U11" s="3286" t="e">
        <f t="shared" si="1"/>
        <v>#N/A</v>
      </c>
      <c r="V11" s="3787" t="s">
        <v>16</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387"/>
      <c r="Q12" s="1732">
        <f t="shared" si="6"/>
        <v>111</v>
      </c>
      <c r="R12" s="3787" t="s">
        <v>16</v>
      </c>
      <c r="S12" s="3286">
        <f t="shared" si="0"/>
        <v>100</v>
      </c>
      <c r="T12" s="3787" t="s">
        <v>16</v>
      </c>
      <c r="U12" s="3286">
        <f t="shared" si="1"/>
        <v>100</v>
      </c>
      <c r="V12" s="3787" t="s">
        <v>16</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387"/>
      <c r="Q13" s="1732">
        <f t="shared" si="6"/>
        <v>111</v>
      </c>
      <c r="R13" s="3787" t="s">
        <v>16</v>
      </c>
      <c r="S13" s="3286">
        <f t="shared" si="0"/>
        <v>100</v>
      </c>
      <c r="T13" s="3787" t="s">
        <v>16</v>
      </c>
      <c r="U13" s="3286">
        <f t="shared" si="1"/>
        <v>100</v>
      </c>
      <c r="V13" s="3787" t="s">
        <v>16</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387"/>
      <c r="Q14" s="1732">
        <f t="shared" si="6"/>
        <v>111</v>
      </c>
      <c r="R14" s="3787" t="s">
        <v>16</v>
      </c>
      <c r="S14" s="3286">
        <f t="shared" si="0"/>
        <v>100</v>
      </c>
      <c r="T14" s="3787" t="s">
        <v>16</v>
      </c>
      <c r="U14" s="3286">
        <f t="shared" si="1"/>
        <v>100</v>
      </c>
      <c r="V14" s="3787" t="s">
        <v>16</v>
      </c>
      <c r="W14" s="3286">
        <f t="shared" si="2"/>
        <v>100</v>
      </c>
      <c r="X14" s="483"/>
      <c r="Y14" s="4402"/>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393" t="s">
        <v>1606</v>
      </c>
      <c r="Q15" s="1534" t="str">
        <f t="shared" si="6"/>
        <v>居住社区成熟度</v>
      </c>
      <c r="R15" s="3888" t="s">
        <v>16</v>
      </c>
      <c r="S15" s="3287">
        <f t="shared" si="0"/>
        <v>100</v>
      </c>
      <c r="T15" s="3888" t="s">
        <v>16</v>
      </c>
      <c r="U15" s="3287">
        <f t="shared" si="1"/>
        <v>100</v>
      </c>
      <c r="V15" s="3888" t="s">
        <v>16</v>
      </c>
      <c r="W15" s="3287">
        <f t="shared" si="2"/>
        <v>100</v>
      </c>
      <c r="X15" s="937"/>
      <c r="Y15" s="4395"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394"/>
      <c r="Q17" s="1534" t="str">
        <f>B17</f>
        <v>交通便捷度</v>
      </c>
      <c r="R17" s="3888" t="s">
        <v>16</v>
      </c>
      <c r="S17" s="3287">
        <f>F17</f>
        <v>100</v>
      </c>
      <c r="T17" s="3888" t="s">
        <v>16</v>
      </c>
      <c r="U17" s="3287">
        <f>H17</f>
        <v>100</v>
      </c>
      <c r="V17" s="3888" t="s">
        <v>16</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394"/>
      <c r="Q19" s="1534" t="str">
        <f>B19</f>
        <v>公共配套设施</v>
      </c>
      <c r="R19" s="3888" t="s">
        <v>16</v>
      </c>
      <c r="S19" s="3287">
        <f>F19</f>
        <v>100</v>
      </c>
      <c r="T19" s="3888" t="s">
        <v>16</v>
      </c>
      <c r="U19" s="3287">
        <f>H19</f>
        <v>100</v>
      </c>
      <c r="V19" s="3888" t="s">
        <v>16</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394"/>
      <c r="Q23" s="1534" t="str">
        <f>B23</f>
        <v>自然及人文环境</v>
      </c>
      <c r="R23" s="3888" t="s">
        <v>16</v>
      </c>
      <c r="S23" s="3287">
        <f>F23</f>
        <v>100</v>
      </c>
      <c r="T23" s="3888" t="s">
        <v>16</v>
      </c>
      <c r="U23" s="3287">
        <f>H23</f>
        <v>100</v>
      </c>
      <c r="V23" s="3888" t="s">
        <v>16</v>
      </c>
      <c r="W23" s="3287">
        <f>J23</f>
        <v>100</v>
      </c>
      <c r="X23" s="937"/>
      <c r="Y23" s="4396"/>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394"/>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396"/>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394"/>
      <c r="Q26" s="1534" t="str">
        <f t="shared" si="11"/>
        <v>朝向</v>
      </c>
      <c r="R26" s="3888" t="s">
        <v>16</v>
      </c>
      <c r="S26" s="3287">
        <f t="shared" si="12"/>
        <v>100</v>
      </c>
      <c r="T26" s="3888" t="s">
        <v>16</v>
      </c>
      <c r="U26" s="3287">
        <f t="shared" si="13"/>
        <v>100</v>
      </c>
      <c r="V26" s="3888" t="s">
        <v>16</v>
      </c>
      <c r="W26" s="3287">
        <f t="shared" si="14"/>
        <v>100</v>
      </c>
      <c r="X26" s="937"/>
      <c r="Y26" s="4396"/>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394"/>
      <c r="Q27" s="1732">
        <f t="shared" si="11"/>
        <v>111</v>
      </c>
      <c r="R27" s="3787" t="s">
        <v>16</v>
      </c>
      <c r="S27" s="3286">
        <f t="shared" si="12"/>
        <v>100</v>
      </c>
      <c r="T27" s="3787" t="s">
        <v>16</v>
      </c>
      <c r="U27" s="3286">
        <f t="shared" si="13"/>
        <v>100</v>
      </c>
      <c r="V27" s="3787" t="s">
        <v>16</v>
      </c>
      <c r="W27" s="3286">
        <f t="shared" si="14"/>
        <v>100</v>
      </c>
      <c r="X27" s="483"/>
      <c r="Y27" s="4396"/>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394"/>
      <c r="Q28" s="1534">
        <f t="shared" si="11"/>
        <v>111</v>
      </c>
      <c r="R28" s="3888" t="s">
        <v>16</v>
      </c>
      <c r="S28" s="3287">
        <f t="shared" si="12"/>
        <v>100</v>
      </c>
      <c r="T28" s="3888" t="s">
        <v>16</v>
      </c>
      <c r="U28" s="3287">
        <f t="shared" si="13"/>
        <v>100</v>
      </c>
      <c r="V28" s="3888" t="s">
        <v>16</v>
      </c>
      <c r="W28" s="3287">
        <f t="shared" si="14"/>
        <v>100</v>
      </c>
      <c r="X28" s="937"/>
      <c r="Y28" s="4396"/>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394"/>
      <c r="Q29" s="1534">
        <f t="shared" si="11"/>
        <v>111</v>
      </c>
      <c r="R29" s="3888" t="s">
        <v>16</v>
      </c>
      <c r="S29" s="3287">
        <f t="shared" si="12"/>
        <v>100</v>
      </c>
      <c r="T29" s="3888" t="s">
        <v>16</v>
      </c>
      <c r="U29" s="3287">
        <f t="shared" si="13"/>
        <v>100</v>
      </c>
      <c r="V29" s="3888" t="s">
        <v>16</v>
      </c>
      <c r="W29" s="3287">
        <f t="shared" si="14"/>
        <v>100</v>
      </c>
      <c r="X29" s="937"/>
      <c r="Y29" s="4396"/>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394"/>
      <c r="Q30" s="1534">
        <f t="shared" si="11"/>
        <v>111</v>
      </c>
      <c r="R30" s="3888" t="s">
        <v>16</v>
      </c>
      <c r="S30" s="3287">
        <f t="shared" si="12"/>
        <v>100</v>
      </c>
      <c r="T30" s="3888" t="s">
        <v>16</v>
      </c>
      <c r="U30" s="3287">
        <f t="shared" si="13"/>
        <v>100</v>
      </c>
      <c r="V30" s="3888" t="s">
        <v>16</v>
      </c>
      <c r="W30" s="3287">
        <f t="shared" si="14"/>
        <v>100</v>
      </c>
      <c r="X30" s="937"/>
      <c r="Y30" s="4396"/>
      <c r="Z30" s="935">
        <f t="shared" si="18"/>
        <v>111</v>
      </c>
      <c r="AA30" s="935">
        <f t="shared" si="15"/>
        <v>1</v>
      </c>
      <c r="AB30" s="935">
        <f t="shared" si="16"/>
        <v>1</v>
      </c>
      <c r="AC30" s="935">
        <f t="shared" si="17"/>
        <v>1</v>
      </c>
    </row>
    <row r="31" spans="1:29" ht="15.6"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394"/>
      <c r="Q31" s="1534">
        <f t="shared" si="11"/>
        <v>111</v>
      </c>
      <c r="R31" s="3888" t="s">
        <v>16</v>
      </c>
      <c r="S31" s="3287">
        <f t="shared" si="12"/>
        <v>100</v>
      </c>
      <c r="T31" s="3888" t="s">
        <v>16</v>
      </c>
      <c r="U31" s="3287">
        <f t="shared" si="13"/>
        <v>100</v>
      </c>
      <c r="V31" s="3888" t="s">
        <v>16</v>
      </c>
      <c r="W31" s="3287">
        <f t="shared" si="14"/>
        <v>100</v>
      </c>
      <c r="X31" s="937"/>
      <c r="Y31" s="4396"/>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397" t="s">
        <v>1611</v>
      </c>
      <c r="Q32" s="1534" t="str">
        <f t="shared" si="11"/>
        <v>建筑类型</v>
      </c>
      <c r="R32" s="3888" t="s">
        <v>16</v>
      </c>
      <c r="S32" s="3287">
        <f t="shared" si="12"/>
        <v>100</v>
      </c>
      <c r="T32" s="3888" t="s">
        <v>16</v>
      </c>
      <c r="U32" s="3287">
        <f t="shared" si="13"/>
        <v>100</v>
      </c>
      <c r="V32" s="3888" t="s">
        <v>16</v>
      </c>
      <c r="W32" s="3287">
        <f t="shared" si="14"/>
        <v>100</v>
      </c>
      <c r="X32" s="937"/>
      <c r="Y32" s="4400"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398"/>
      <c r="Q33" s="2958" t="str">
        <f t="shared" si="11"/>
        <v>项目建筑规模</v>
      </c>
      <c r="R33" s="3889" t="s">
        <v>16</v>
      </c>
      <c r="S33" s="3288" t="e">
        <f t="shared" si="12"/>
        <v>#N/A</v>
      </c>
      <c r="T33" s="3889" t="s">
        <v>16</v>
      </c>
      <c r="U33" s="3288" t="e">
        <f t="shared" si="13"/>
        <v>#N/A</v>
      </c>
      <c r="V33" s="3889" t="s">
        <v>16</v>
      </c>
      <c r="W33" s="3288" t="e">
        <f t="shared" si="14"/>
        <v>#N/A</v>
      </c>
      <c r="X33" s="485"/>
      <c r="Y33" s="4400"/>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398"/>
      <c r="Q34" s="1534" t="str">
        <f t="shared" si="11"/>
        <v>建筑结构</v>
      </c>
      <c r="R34" s="3888" t="s">
        <v>16</v>
      </c>
      <c r="S34" s="3287">
        <f t="shared" si="12"/>
        <v>100</v>
      </c>
      <c r="T34" s="3888" t="s">
        <v>16</v>
      </c>
      <c r="U34" s="3287">
        <f t="shared" si="13"/>
        <v>100</v>
      </c>
      <c r="V34" s="3888" t="s">
        <v>16</v>
      </c>
      <c r="W34" s="3287">
        <f t="shared" si="14"/>
        <v>100</v>
      </c>
      <c r="X34" s="937"/>
      <c r="Y34" s="4400"/>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398"/>
      <c r="Q35" s="1534" t="str">
        <f t="shared" si="11"/>
        <v>建筑品质</v>
      </c>
      <c r="R35" s="3888" t="s">
        <v>16</v>
      </c>
      <c r="S35" s="3287">
        <f t="shared" si="12"/>
        <v>100</v>
      </c>
      <c r="T35" s="3888" t="s">
        <v>16</v>
      </c>
      <c r="U35" s="3287">
        <f t="shared" si="13"/>
        <v>100</v>
      </c>
      <c r="V35" s="3888" t="s">
        <v>16</v>
      </c>
      <c r="W35" s="3287">
        <f t="shared" si="14"/>
        <v>100</v>
      </c>
      <c r="X35" s="937"/>
      <c r="Y35" s="4400"/>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398"/>
      <c r="Q36" s="1534" t="str">
        <f t="shared" si="11"/>
        <v>公共部分装修</v>
      </c>
      <c r="R36" s="3888" t="s">
        <v>16</v>
      </c>
      <c r="S36" s="3287">
        <f t="shared" si="12"/>
        <v>100</v>
      </c>
      <c r="T36" s="3888" t="s">
        <v>16</v>
      </c>
      <c r="U36" s="3287">
        <f t="shared" si="13"/>
        <v>100</v>
      </c>
      <c r="V36" s="3888" t="s">
        <v>16</v>
      </c>
      <c r="W36" s="3287">
        <f t="shared" si="14"/>
        <v>100</v>
      </c>
      <c r="X36" s="937"/>
      <c r="Y36" s="4400"/>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398"/>
      <c r="Q37" s="1732" t="str">
        <f t="shared" si="11"/>
        <v>成新度</v>
      </c>
      <c r="R37" s="3787" t="s">
        <v>16</v>
      </c>
      <c r="S37" s="3286" t="e">
        <f t="shared" si="12"/>
        <v>#N/A</v>
      </c>
      <c r="T37" s="3787" t="s">
        <v>16</v>
      </c>
      <c r="U37" s="3286" t="e">
        <f t="shared" si="13"/>
        <v>#N/A</v>
      </c>
      <c r="V37" s="3787" t="s">
        <v>16</v>
      </c>
      <c r="W37" s="3286" t="e">
        <f t="shared" si="14"/>
        <v>#N/A</v>
      </c>
      <c r="X37" s="483"/>
      <c r="Y37" s="4400"/>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398" t="s">
        <v>1611</v>
      </c>
      <c r="Q38" s="1534" t="str">
        <f t="shared" si="11"/>
        <v>物业管理</v>
      </c>
      <c r="R38" s="3888" t="s">
        <v>16</v>
      </c>
      <c r="S38" s="3287">
        <f t="shared" si="12"/>
        <v>100</v>
      </c>
      <c r="T38" s="3888" t="s">
        <v>16</v>
      </c>
      <c r="U38" s="3287">
        <f t="shared" si="13"/>
        <v>100</v>
      </c>
      <c r="V38" s="3888" t="s">
        <v>16</v>
      </c>
      <c r="W38" s="3287">
        <f t="shared" si="14"/>
        <v>100</v>
      </c>
      <c r="X38" s="937"/>
      <c r="Y38" s="4400"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398"/>
      <c r="Q39" s="1534" t="str">
        <f t="shared" si="11"/>
        <v>市政基础设施</v>
      </c>
      <c r="R39" s="3888" t="s">
        <v>16</v>
      </c>
      <c r="S39" s="3287">
        <f t="shared" si="12"/>
        <v>100</v>
      </c>
      <c r="T39" s="3888" t="s">
        <v>16</v>
      </c>
      <c r="U39" s="3287">
        <f t="shared" si="13"/>
        <v>100</v>
      </c>
      <c r="V39" s="3888" t="s">
        <v>16</v>
      </c>
      <c r="W39" s="3287">
        <f t="shared" si="14"/>
        <v>100</v>
      </c>
      <c r="X39" s="937"/>
      <c r="Y39" s="4400"/>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398"/>
      <c r="Q40" s="1534" t="str">
        <f t="shared" si="11"/>
        <v>房型</v>
      </c>
      <c r="R40" s="3888" t="s">
        <v>16</v>
      </c>
      <c r="S40" s="3287">
        <f t="shared" si="12"/>
        <v>100</v>
      </c>
      <c r="T40" s="3888" t="s">
        <v>16</v>
      </c>
      <c r="U40" s="3287">
        <f t="shared" si="13"/>
        <v>100</v>
      </c>
      <c r="V40" s="3888" t="s">
        <v>16</v>
      </c>
      <c r="W40" s="3287">
        <f t="shared" si="14"/>
        <v>100</v>
      </c>
      <c r="X40" s="937"/>
      <c r="Y40" s="4400"/>
      <c r="Z40" s="935" t="str">
        <f t="shared" si="18"/>
        <v>房型</v>
      </c>
      <c r="AA40" s="935">
        <f t="shared" si="15"/>
        <v>1</v>
      </c>
      <c r="AB40" s="935">
        <f t="shared" si="16"/>
        <v>1</v>
      </c>
      <c r="AC40" s="935">
        <f t="shared" si="17"/>
        <v>1</v>
      </c>
    </row>
    <row r="41" spans="1:29" s="280" customFormat="1" ht="28.8">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398"/>
      <c r="Q41" s="2958" t="str">
        <f t="shared" si="11"/>
        <v>单套/主力户型建筑面积</v>
      </c>
      <c r="R41" s="3889" t="s">
        <v>16</v>
      </c>
      <c r="S41" s="3288">
        <f t="shared" si="12"/>
        <v>100</v>
      </c>
      <c r="T41" s="3889" t="s">
        <v>16</v>
      </c>
      <c r="U41" s="3288">
        <f t="shared" si="13"/>
        <v>100</v>
      </c>
      <c r="V41" s="3889" t="s">
        <v>16</v>
      </c>
      <c r="W41" s="3288">
        <f t="shared" si="14"/>
        <v>100</v>
      </c>
      <c r="X41" s="485"/>
      <c r="Y41" s="4400"/>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398"/>
      <c r="Q42" s="1534" t="str">
        <f t="shared" si="11"/>
        <v>内部装修</v>
      </c>
      <c r="R42" s="3888" t="s">
        <v>16</v>
      </c>
      <c r="S42" s="3287">
        <f t="shared" si="12"/>
        <v>100</v>
      </c>
      <c r="T42" s="3888" t="s">
        <v>16</v>
      </c>
      <c r="U42" s="3287">
        <f t="shared" si="13"/>
        <v>100</v>
      </c>
      <c r="V42" s="3888" t="s">
        <v>16</v>
      </c>
      <c r="W42" s="3287">
        <f t="shared" si="14"/>
        <v>100</v>
      </c>
      <c r="X42" s="937"/>
      <c r="Y42" s="4400"/>
      <c r="Z42" s="935" t="str">
        <f t="shared" si="18"/>
        <v>内部装修</v>
      </c>
      <c r="AA42" s="935">
        <f t="shared" si="15"/>
        <v>1</v>
      </c>
      <c r="AB42" s="935">
        <f t="shared" si="16"/>
        <v>1</v>
      </c>
      <c r="AC42" s="935">
        <f t="shared" si="17"/>
        <v>1</v>
      </c>
    </row>
    <row r="43" spans="1:29" ht="28.8">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398"/>
      <c r="Q43" s="1534" t="str">
        <f t="shared" si="11"/>
        <v>内部装修维护情况</v>
      </c>
      <c r="R43" s="3888" t="s">
        <v>16</v>
      </c>
      <c r="S43" s="3287">
        <f t="shared" si="12"/>
        <v>100</v>
      </c>
      <c r="T43" s="3888" t="s">
        <v>16</v>
      </c>
      <c r="U43" s="3287">
        <f t="shared" si="13"/>
        <v>100</v>
      </c>
      <c r="V43" s="3888" t="s">
        <v>16</v>
      </c>
      <c r="W43" s="3287">
        <f t="shared" si="14"/>
        <v>100</v>
      </c>
      <c r="X43" s="937"/>
      <c r="Y43" s="4400"/>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398"/>
      <c r="Q44" s="1732">
        <f t="shared" si="11"/>
        <v>111</v>
      </c>
      <c r="R44" s="3787" t="s">
        <v>16</v>
      </c>
      <c r="S44" s="3286">
        <f t="shared" si="12"/>
        <v>100</v>
      </c>
      <c r="T44" s="3787" t="s">
        <v>16</v>
      </c>
      <c r="U44" s="3286">
        <f t="shared" si="13"/>
        <v>100</v>
      </c>
      <c r="V44" s="3787" t="s">
        <v>16</v>
      </c>
      <c r="W44" s="3286">
        <f t="shared" si="14"/>
        <v>100</v>
      </c>
      <c r="X44" s="483"/>
      <c r="Y44" s="4400"/>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398"/>
      <c r="Q45" s="1534">
        <f t="shared" si="11"/>
        <v>111</v>
      </c>
      <c r="R45" s="3888" t="s">
        <v>16</v>
      </c>
      <c r="S45" s="3287">
        <f t="shared" si="12"/>
        <v>100</v>
      </c>
      <c r="T45" s="3888" t="s">
        <v>16</v>
      </c>
      <c r="U45" s="3287">
        <f t="shared" si="13"/>
        <v>100</v>
      </c>
      <c r="V45" s="3888" t="s">
        <v>16</v>
      </c>
      <c r="W45" s="3287">
        <f t="shared" si="14"/>
        <v>100</v>
      </c>
      <c r="X45" s="937"/>
      <c r="Y45" s="4400"/>
      <c r="Z45" s="935">
        <f t="shared" si="18"/>
        <v>111</v>
      </c>
      <c r="AA45" s="935">
        <f t="shared" si="15"/>
        <v>1</v>
      </c>
      <c r="AB45" s="935">
        <f t="shared" si="16"/>
        <v>1</v>
      </c>
      <c r="AC45" s="935">
        <f t="shared" si="17"/>
        <v>1</v>
      </c>
    </row>
    <row r="46" spans="1:29" ht="15.6"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399"/>
      <c r="Q46" s="1534">
        <f t="shared" si="11"/>
        <v>111</v>
      </c>
      <c r="R46" s="3888" t="s">
        <v>15</v>
      </c>
      <c r="S46" s="3287">
        <f t="shared" si="12"/>
        <v>100</v>
      </c>
      <c r="T46" s="3888" t="s">
        <v>15</v>
      </c>
      <c r="U46" s="3287">
        <f t="shared" si="13"/>
        <v>100</v>
      </c>
      <c r="V46" s="3888" t="s">
        <v>15</v>
      </c>
      <c r="W46" s="3287">
        <f t="shared" si="14"/>
        <v>100</v>
      </c>
      <c r="X46" s="937"/>
      <c r="Y46" s="4401"/>
      <c r="Z46" s="935">
        <f t="shared" si="18"/>
        <v>111</v>
      </c>
      <c r="AA46" s="935">
        <f t="shared" si="15"/>
        <v>1</v>
      </c>
      <c r="AB46" s="935">
        <f t="shared" si="16"/>
        <v>1</v>
      </c>
      <c r="AC46" s="935">
        <f t="shared" si="17"/>
        <v>1</v>
      </c>
    </row>
    <row r="47" spans="1:29" ht="14.4">
      <c r="A47" s="287" t="s">
        <v>1623</v>
      </c>
      <c r="B47" s="288"/>
      <c r="C47" s="789" t="s">
        <v>14</v>
      </c>
      <c r="D47" s="289"/>
      <c r="E47" s="3344"/>
      <c r="F47" s="790"/>
      <c r="G47" s="3345"/>
      <c r="H47" s="791"/>
      <c r="I47" s="3344"/>
      <c r="J47" s="791"/>
      <c r="K47" s="2902"/>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1625</v>
      </c>
      <c r="B49" s="293"/>
      <c r="C49" s="3887" t="e">
        <f>R49</f>
        <v>#DIV/0!</v>
      </c>
      <c r="D49" s="242"/>
      <c r="E49" s="242"/>
      <c r="F49" s="242"/>
      <c r="G49" s="242"/>
      <c r="H49" s="242"/>
      <c r="I49" s="242"/>
      <c r="J49" s="242"/>
      <c r="K49" s="1400"/>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2.2" thickBot="1">
      <c r="A57" s="477" t="s">
        <v>1629</v>
      </c>
      <c r="B57" s="266"/>
      <c r="C57" s="478"/>
      <c r="D57" s="478"/>
      <c r="E57" s="478"/>
      <c r="F57" s="479"/>
      <c r="G57" s="479"/>
      <c r="H57" s="478"/>
      <c r="I57" s="478"/>
      <c r="J57" s="478"/>
      <c r="K57" s="638"/>
      <c r="L57" s="639"/>
      <c r="M57" s="637"/>
      <c r="N57" s="637"/>
      <c r="O57" s="637"/>
      <c r="P57" s="1403"/>
      <c r="Q57" s="303"/>
    </row>
    <row r="58" spans="1:29" s="306" customFormat="1" ht="14.4">
      <c r="A58" s="304" t="s">
        <v>1630</v>
      </c>
      <c r="B58" s="305"/>
      <c r="C58" s="807" t="str">
        <f>YEAR(C7)&amp;"-"&amp;MONTH(C7)</f>
        <v>2026-1</v>
      </c>
      <c r="D58" s="806">
        <f>EDATE(C58,-1)</f>
        <v>45992</v>
      </c>
      <c r="E58" s="806">
        <f>EDATE(D58,-1)</f>
        <v>45962</v>
      </c>
      <c r="F58" s="806">
        <f t="shared" ref="F58:O58" si="19">EDATE(E58,-1)</f>
        <v>45931</v>
      </c>
      <c r="G58" s="806">
        <f t="shared" si="19"/>
        <v>45901</v>
      </c>
      <c r="H58" s="806">
        <f t="shared" si="19"/>
        <v>45870</v>
      </c>
      <c r="I58" s="806">
        <f t="shared" si="19"/>
        <v>45839</v>
      </c>
      <c r="J58" s="806">
        <f t="shared" si="19"/>
        <v>45809</v>
      </c>
      <c r="K58" s="806">
        <f t="shared" si="19"/>
        <v>45778</v>
      </c>
      <c r="L58" s="806">
        <f t="shared" si="19"/>
        <v>45748</v>
      </c>
      <c r="M58" s="806">
        <f t="shared" si="19"/>
        <v>45717</v>
      </c>
      <c r="N58" s="806">
        <f t="shared" si="19"/>
        <v>45689</v>
      </c>
      <c r="O58" s="806">
        <f t="shared" si="19"/>
        <v>45658</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1631</v>
      </c>
      <c r="B60" s="314"/>
      <c r="C60" s="315"/>
      <c r="D60" s="316"/>
      <c r="E60" s="316"/>
      <c r="F60" s="316"/>
      <c r="G60" s="316"/>
      <c r="H60" s="316"/>
      <c r="I60" s="316"/>
      <c r="J60" s="316"/>
      <c r="K60" s="316"/>
      <c r="L60" s="316"/>
      <c r="M60" s="317"/>
      <c r="N60" s="316"/>
      <c r="O60" s="317"/>
      <c r="P60" s="1405"/>
      <c r="Q60" s="303"/>
    </row>
    <row r="61" spans="1:29" s="46" customFormat="1" ht="14.4">
      <c r="A61" s="319" t="s">
        <v>1632</v>
      </c>
      <c r="B61" s="308"/>
      <c r="C61" s="320" t="s">
        <v>1633</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1634</v>
      </c>
      <c r="B63" s="323" t="s">
        <v>1600</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1603</v>
      </c>
      <c r="C65" s="373"/>
      <c r="D65" s="373"/>
      <c r="E65" s="373"/>
      <c r="F65" s="373"/>
      <c r="G65" s="373"/>
      <c r="H65" s="373"/>
      <c r="I65" s="373"/>
      <c r="J65" s="373"/>
      <c r="K65" s="373"/>
      <c r="L65" s="373"/>
      <c r="M65" s="373"/>
      <c r="N65" s="631"/>
      <c r="O65" s="631"/>
      <c r="P65" s="1407"/>
      <c r="Q65" s="303"/>
    </row>
    <row r="66" spans="1:17" ht="15" thickBot="1">
      <c r="A66" s="255"/>
      <c r="B66" s="337" t="s">
        <v>3900</v>
      </c>
      <c r="C66" s="330"/>
      <c r="D66" s="330"/>
      <c r="E66" s="330"/>
      <c r="F66" s="330"/>
      <c r="G66" s="330"/>
      <c r="H66" s="330"/>
      <c r="I66" s="330"/>
      <c r="J66" s="330"/>
      <c r="K66" s="330"/>
      <c r="L66" s="330"/>
      <c r="M66" s="331"/>
      <c r="N66" s="631"/>
      <c r="O66" s="631"/>
      <c r="P66" s="1407"/>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1649</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1650</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1609</v>
      </c>
      <c r="B100" s="323" t="s">
        <v>1651</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6.2"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ht="14.4">
      <c r="B147" s="1413" t="s">
        <v>1679</v>
      </c>
    </row>
    <row r="148" spans="2:11" ht="14.4">
      <c r="B148" s="1413"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884</v>
      </c>
    </row>
    <row r="3" spans="1:1" ht="17.399999999999999">
      <c r="A3" s="1052" t="str">
        <f>项目基本情况!B5&amp;"："</f>
        <v>：</v>
      </c>
    </row>
    <row r="4" spans="1:1" ht="34.799999999999997">
      <c r="A4" s="1053" t="str">
        <f>"受贵公司委托，我公司对"&amp;项目基本情况!S1&amp;"进行了预评估。"</f>
        <v>受贵公司委托，我公司对北京市北京市海淀区建材城东路26号院4号楼房地产抵押价值进行了预评估。</v>
      </c>
    </row>
    <row r="5" spans="1:1" ht="17.399999999999999">
      <c r="A5" s="1054" t="s">
        <v>885</v>
      </c>
    </row>
    <row r="6" spans="1:1" ht="17.399999999999999">
      <c r="A6" s="1055" t="s">
        <v>886</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估价对象为北京市北京市海淀区建材城东路26号院4号楼房地产，为所有。根据《国有土地使用证》[]，估价对象（分摊）出让国有建设用地使用权面积为0平方米，建筑面积为6216.26平方米。</v>
      </c>
    </row>
    <row r="8" spans="1:1" ht="54.6">
      <c r="A8" s="1056" t="s">
        <v>887</v>
      </c>
    </row>
    <row r="9" spans="1:1" ht="17.399999999999999">
      <c r="A9" s="1055" t="s">
        <v>888</v>
      </c>
    </row>
    <row r="10" spans="1:1" ht="69.59999999999999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建材城东路26号院4号楼房地产,属开发建设的，该项目尚在开发建设中。根据《国有土地使用证》[]，估价对象（分摊）出让国有建设用地使用权面积为0平方米，规划建筑面积为6216.26平方米。</v>
      </c>
    </row>
    <row r="11" spans="1:1" ht="72">
      <c r="A11" s="1056" t="s">
        <v>889</v>
      </c>
    </row>
    <row r="12" spans="1:1" ht="17.399999999999999">
      <c r="A12" s="1054" t="s">
        <v>890</v>
      </c>
    </row>
    <row r="13" spans="1:1" ht="38.25" customHeight="1">
      <c r="A13" s="1053" t="str">
        <f>IF(项目基本情况!B8="抵押",IF(项目基本情况!B5=项目基本情况!B6,定义!C51,定义!B51),定义!D51)</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891</v>
      </c>
    </row>
    <row r="15" spans="1:1" ht="17.399999999999999">
      <c r="A15" s="1057" t="str">
        <f>TEXT(项目基本情况!D3,"yyyy年m月d日;;")&amp;IF(项目基本情况!D3=项目基本情况!B3,"（评估专业人员实地查勘之日）","")</f>
        <v>2026年1月26日（评估专业人员实地查勘之日）</v>
      </c>
    </row>
    <row r="16" spans="1:1" ht="17.399999999999999">
      <c r="A16" s="1052" t="s">
        <v>892</v>
      </c>
    </row>
    <row r="17" spans="1:1" ht="69.599999999999994">
      <c r="A17" s="1053" t="s">
        <v>893</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882</v>
      </c>
    </row>
    <row r="24" spans="1:1" ht="17.399999999999999">
      <c r="A24" s="1058" t="str">
        <f>"本次评估采用的主估价方法为"&amp;结果表!K4&amp;"和"&amp;结果表!L4&amp;"。"</f>
        <v>本次评估采用的主估价方法为比较法和收益法。</v>
      </c>
    </row>
    <row r="25" spans="1:1" ht="17.399999999999999">
      <c r="A25" s="1058"/>
    </row>
    <row r="26" spans="1:1" ht="17.399999999999999">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6216.26</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4.4">
      <c r="A4" s="236" t="s">
        <v>1684</v>
      </c>
      <c r="B4" s="237"/>
      <c r="C4" s="4497" t="s">
        <v>1685</v>
      </c>
      <c r="D4" s="4498"/>
      <c r="E4" s="4499" t="s">
        <v>1686</v>
      </c>
      <c r="F4" s="4500"/>
      <c r="G4" s="4497" t="s">
        <v>1687</v>
      </c>
      <c r="H4" s="4498"/>
      <c r="I4" s="4497" t="s">
        <v>1688</v>
      </c>
      <c r="J4" s="4498"/>
      <c r="K4" s="2957" t="s">
        <v>1689</v>
      </c>
      <c r="L4" s="2008"/>
      <c r="M4" s="2009"/>
      <c r="N4" s="2009"/>
      <c r="O4" s="2009"/>
      <c r="P4" s="4501" t="s">
        <v>1690</v>
      </c>
      <c r="Q4" s="4502"/>
      <c r="R4" s="4505" t="s">
        <v>1686</v>
      </c>
      <c r="S4" s="4506"/>
      <c r="T4" s="4505" t="s">
        <v>1687</v>
      </c>
      <c r="U4" s="4506"/>
      <c r="V4" s="4423" t="s">
        <v>1688</v>
      </c>
      <c r="W4" s="4423"/>
      <c r="X4" s="937"/>
      <c r="Y4" s="4512" t="s">
        <v>1690</v>
      </c>
      <c r="Z4" s="4513"/>
      <c r="AA4" s="4496" t="s">
        <v>1686</v>
      </c>
      <c r="AB4" s="4518" t="s">
        <v>1687</v>
      </c>
      <c r="AC4" s="4496" t="s">
        <v>1688</v>
      </c>
    </row>
    <row r="5" spans="1:29">
      <c r="A5" s="239"/>
      <c r="B5" s="240"/>
      <c r="C5" s="4509" t="s">
        <v>1588</v>
      </c>
      <c r="D5" s="4510"/>
      <c r="E5" s="4516" t="s">
        <v>1589</v>
      </c>
      <c r="F5" s="4517"/>
      <c r="G5" s="4509" t="s">
        <v>1590</v>
      </c>
      <c r="H5" s="4510"/>
      <c r="I5" s="4509" t="s">
        <v>1591</v>
      </c>
      <c r="J5" s="4510"/>
      <c r="K5" s="2957"/>
      <c r="L5" s="2008"/>
      <c r="M5" s="2009"/>
      <c r="N5" s="2009"/>
      <c r="O5" s="2009"/>
      <c r="P5" s="4503"/>
      <c r="Q5" s="4413"/>
      <c r="R5" s="4418"/>
      <c r="S5" s="4419"/>
      <c r="T5" s="4418"/>
      <c r="U5" s="4419"/>
      <c r="V5" s="4423"/>
      <c r="W5" s="4423"/>
      <c r="X5" s="937"/>
      <c r="Y5" s="4434"/>
      <c r="Z5" s="4435"/>
      <c r="AA5" s="4444"/>
      <c r="AB5" s="4518"/>
      <c r="AC5" s="4444"/>
    </row>
    <row r="6" spans="1:29" ht="15" thickBot="1">
      <c r="A6" s="241"/>
      <c r="B6" s="242"/>
      <c r="C6" s="4507" t="s">
        <v>1592</v>
      </c>
      <c r="D6" s="4508"/>
      <c r="E6" s="4514" t="s">
        <v>1592</v>
      </c>
      <c r="F6" s="4515"/>
      <c r="G6" s="4507" t="s">
        <v>1592</v>
      </c>
      <c r="H6" s="4508"/>
      <c r="I6" s="4507" t="s">
        <v>1592</v>
      </c>
      <c r="J6" s="4508"/>
      <c r="K6" s="2957" t="s">
        <v>1593</v>
      </c>
      <c r="L6" s="2008"/>
      <c r="M6" s="2009"/>
      <c r="N6" s="2009"/>
      <c r="O6" s="2009"/>
      <c r="P6" s="4504"/>
      <c r="Q6" s="4415"/>
      <c r="R6" s="4418"/>
      <c r="S6" s="4419"/>
      <c r="T6" s="4420"/>
      <c r="U6" s="4421"/>
      <c r="V6" s="4423"/>
      <c r="W6" s="4423"/>
      <c r="X6" s="937"/>
      <c r="Y6" s="4436"/>
      <c r="Z6" s="4437"/>
      <c r="AA6" s="4445"/>
      <c r="AB6" s="4518"/>
      <c r="AC6" s="4445"/>
    </row>
    <row r="7" spans="1:29" s="46" customFormat="1" ht="15" thickBot="1">
      <c r="A7" s="243" t="s">
        <v>1594</v>
      </c>
      <c r="B7" s="244"/>
      <c r="C7" s="245">
        <f>'数据-取费表'!B2</f>
        <v>46048</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11" t="s">
        <v>1595</v>
      </c>
      <c r="Q7" s="4438"/>
      <c r="R7" s="3787" t="s">
        <v>13</v>
      </c>
      <c r="S7" s="3286">
        <f t="shared" ref="S7:S15" si="0">F7</f>
        <v>0</v>
      </c>
      <c r="T7" s="3787" t="s">
        <v>13</v>
      </c>
      <c r="U7" s="3286">
        <f t="shared" ref="U7:U15" si="1">H7</f>
        <v>0</v>
      </c>
      <c r="V7" s="3787" t="s">
        <v>13</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11" t="s">
        <v>1598</v>
      </c>
      <c r="Q8" s="4429"/>
      <c r="R8" s="3787" t="s">
        <v>13</v>
      </c>
      <c r="S8" s="3286">
        <f t="shared" si="0"/>
        <v>100</v>
      </c>
      <c r="T8" s="3787" t="s">
        <v>13</v>
      </c>
      <c r="U8" s="3286">
        <f t="shared" si="1"/>
        <v>100</v>
      </c>
      <c r="V8" s="3787" t="s">
        <v>13</v>
      </c>
      <c r="W8" s="3286">
        <f t="shared" si="2"/>
        <v>100</v>
      </c>
      <c r="X8" s="483"/>
      <c r="Y8" s="4430" t="s">
        <v>1598</v>
      </c>
      <c r="Z8" s="4431"/>
      <c r="AA8" s="28">
        <f t="shared" ref="AA8:AA46" si="3">D8/F8</f>
        <v>1</v>
      </c>
      <c r="AB8" s="28">
        <f t="shared" ref="AB8:AB46" si="4">D8/H8</f>
        <v>1</v>
      </c>
      <c r="AC8" s="28">
        <f t="shared" ref="AC8:AC46" si="5">D8/J8</f>
        <v>1</v>
      </c>
    </row>
    <row r="9" spans="1:29" s="46" customFormat="1" ht="14.4">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387"/>
      <c r="Q11" s="1732" t="str">
        <f t="shared" si="6"/>
        <v>容积率</v>
      </c>
      <c r="R11" s="3787" t="s">
        <v>13</v>
      </c>
      <c r="S11" s="3286" t="e">
        <f t="shared" si="0"/>
        <v>#N/A</v>
      </c>
      <c r="T11" s="3787" t="s">
        <v>13</v>
      </c>
      <c r="U11" s="3286" t="e">
        <f t="shared" si="1"/>
        <v>#N/A</v>
      </c>
      <c r="V11" s="3787" t="s">
        <v>13</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393" t="s">
        <v>1606</v>
      </c>
      <c r="Q15" s="1534" t="str">
        <f t="shared" si="6"/>
        <v>商业繁华度</v>
      </c>
      <c r="R15" s="3888" t="s">
        <v>13</v>
      </c>
      <c r="S15" s="3287">
        <f t="shared" si="0"/>
        <v>100</v>
      </c>
      <c r="T15" s="3888" t="s">
        <v>13</v>
      </c>
      <c r="U15" s="3287">
        <f t="shared" si="1"/>
        <v>100</v>
      </c>
      <c r="V15" s="3888" t="s">
        <v>13</v>
      </c>
      <c r="W15" s="3287">
        <f t="shared" si="2"/>
        <v>100</v>
      </c>
      <c r="X15" s="937"/>
      <c r="Y15" s="4395"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394"/>
      <c r="Q19" s="1534" t="str">
        <f>B19</f>
        <v>公共配套设施</v>
      </c>
      <c r="R19" s="3888" t="s">
        <v>13</v>
      </c>
      <c r="S19" s="3287">
        <f>F19</f>
        <v>100</v>
      </c>
      <c r="T19" s="3888" t="s">
        <v>13</v>
      </c>
      <c r="U19" s="3287">
        <f>H19</f>
        <v>100</v>
      </c>
      <c r="V19" s="3888" t="s">
        <v>13</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394"/>
      <c r="Q23" s="1534" t="str">
        <f>B23</f>
        <v>自然及人文环境</v>
      </c>
      <c r="R23" s="3888" t="s">
        <v>13</v>
      </c>
      <c r="S23" s="3287">
        <f>F23</f>
        <v>100</v>
      </c>
      <c r="T23" s="3888" t="s">
        <v>13</v>
      </c>
      <c r="U23" s="3287">
        <f>H23</f>
        <v>100</v>
      </c>
      <c r="V23" s="3888" t="s">
        <v>13</v>
      </c>
      <c r="W23" s="3287">
        <f>J23</f>
        <v>100</v>
      </c>
      <c r="X23" s="937"/>
      <c r="Y23" s="4396"/>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394"/>
      <c r="Q25" s="1534" t="str">
        <f t="shared" ref="Q25:Q46" si="11">B25</f>
        <v>临街状况</v>
      </c>
      <c r="R25" s="3888" t="s">
        <v>13</v>
      </c>
      <c r="S25" s="3287">
        <f>F25</f>
        <v>100</v>
      </c>
      <c r="T25" s="3888" t="s">
        <v>13</v>
      </c>
      <c r="U25" s="3287">
        <f>H25</f>
        <v>100</v>
      </c>
      <c r="V25" s="3888" t="s">
        <v>13</v>
      </c>
      <c r="W25" s="3287">
        <f>J25</f>
        <v>100</v>
      </c>
      <c r="X25" s="937"/>
      <c r="Y25" s="4396"/>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394"/>
      <c r="Q26" s="1534" t="str">
        <f t="shared" si="11"/>
        <v>平面位置/可视性</v>
      </c>
      <c r="R26" s="3888" t="s">
        <v>13</v>
      </c>
      <c r="S26" s="3287">
        <f>F26</f>
        <v>100</v>
      </c>
      <c r="T26" s="3888" t="s">
        <v>13</v>
      </c>
      <c r="U26" s="3287">
        <f>H26</f>
        <v>100</v>
      </c>
      <c r="V26" s="3888" t="s">
        <v>13</v>
      </c>
      <c r="W26" s="3287">
        <f>J26</f>
        <v>100</v>
      </c>
      <c r="X26" s="937"/>
      <c r="Y26" s="4396"/>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394"/>
      <c r="Q27" s="1732" t="str">
        <f t="shared" si="11"/>
        <v>人流量</v>
      </c>
      <c r="R27" s="3787" t="s">
        <v>13</v>
      </c>
      <c r="S27" s="3286">
        <f>F27</f>
        <v>100</v>
      </c>
      <c r="T27" s="3787" t="s">
        <v>13</v>
      </c>
      <c r="U27" s="3286">
        <f>H27</f>
        <v>100</v>
      </c>
      <c r="V27" s="3787" t="s">
        <v>13</v>
      </c>
      <c r="W27" s="3286">
        <f>J27</f>
        <v>100</v>
      </c>
      <c r="X27" s="483"/>
      <c r="Y27" s="4396"/>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394"/>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396"/>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394"/>
      <c r="Q29" s="1534">
        <f t="shared" si="11"/>
        <v>111</v>
      </c>
      <c r="R29" s="3888" t="s">
        <v>13</v>
      </c>
      <c r="S29" s="3287">
        <f t="shared" si="12"/>
        <v>100</v>
      </c>
      <c r="T29" s="3888" t="s">
        <v>13</v>
      </c>
      <c r="U29" s="3287">
        <f t="shared" si="13"/>
        <v>100</v>
      </c>
      <c r="V29" s="3888" t="s">
        <v>13</v>
      </c>
      <c r="W29" s="3287">
        <f t="shared" si="14"/>
        <v>100</v>
      </c>
      <c r="X29" s="937"/>
      <c r="Y29" s="4396"/>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935">
        <f t="shared" si="5"/>
        <v>1</v>
      </c>
    </row>
    <row r="31" spans="1:29" ht="15.6"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397" t="s">
        <v>1611</v>
      </c>
      <c r="Q32" s="1534" t="str">
        <f t="shared" si="11"/>
        <v>商业类型</v>
      </c>
      <c r="R32" s="3888" t="s">
        <v>13</v>
      </c>
      <c r="S32" s="3287">
        <f t="shared" si="12"/>
        <v>100</v>
      </c>
      <c r="T32" s="3888" t="s">
        <v>13</v>
      </c>
      <c r="U32" s="3287">
        <f t="shared" si="13"/>
        <v>100</v>
      </c>
      <c r="V32" s="3888" t="s">
        <v>13</v>
      </c>
      <c r="W32" s="3287">
        <f t="shared" si="14"/>
        <v>100</v>
      </c>
      <c r="X32" s="937"/>
      <c r="Y32" s="4400"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398"/>
      <c r="Q33" s="2958" t="str">
        <f t="shared" si="11"/>
        <v>项目建筑规模</v>
      </c>
      <c r="R33" s="3889" t="s">
        <v>13</v>
      </c>
      <c r="S33" s="3288" t="e">
        <f t="shared" si="12"/>
        <v>#N/A</v>
      </c>
      <c r="T33" s="3889" t="s">
        <v>13</v>
      </c>
      <c r="U33" s="3288" t="e">
        <f t="shared" si="13"/>
        <v>#N/A</v>
      </c>
      <c r="V33" s="3889" t="s">
        <v>13</v>
      </c>
      <c r="W33" s="3288" t="e">
        <f t="shared" si="14"/>
        <v>#N/A</v>
      </c>
      <c r="X33" s="485"/>
      <c r="Y33" s="4400"/>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398"/>
      <c r="Q34" s="1534" t="str">
        <f t="shared" si="11"/>
        <v>建筑结构</v>
      </c>
      <c r="R34" s="3888" t="s">
        <v>13</v>
      </c>
      <c r="S34" s="3287">
        <f t="shared" si="12"/>
        <v>100</v>
      </c>
      <c r="T34" s="3888" t="s">
        <v>13</v>
      </c>
      <c r="U34" s="3287">
        <f t="shared" si="13"/>
        <v>100</v>
      </c>
      <c r="V34" s="3888" t="s">
        <v>13</v>
      </c>
      <c r="W34" s="3287">
        <f t="shared" si="14"/>
        <v>100</v>
      </c>
      <c r="X34" s="937"/>
      <c r="Y34" s="4400"/>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398"/>
      <c r="Q35" s="1534" t="str">
        <f t="shared" si="11"/>
        <v>公共部分装修</v>
      </c>
      <c r="R35" s="3888" t="s">
        <v>13</v>
      </c>
      <c r="S35" s="3287">
        <f t="shared" si="12"/>
        <v>100</v>
      </c>
      <c r="T35" s="3888" t="s">
        <v>13</v>
      </c>
      <c r="U35" s="3287">
        <f t="shared" si="13"/>
        <v>100</v>
      </c>
      <c r="V35" s="3888" t="s">
        <v>13</v>
      </c>
      <c r="W35" s="3287">
        <f t="shared" si="14"/>
        <v>100</v>
      </c>
      <c r="X35" s="937"/>
      <c r="Y35" s="4400"/>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398"/>
      <c r="Q36" s="1534" t="str">
        <f t="shared" si="11"/>
        <v>成新度</v>
      </c>
      <c r="R36" s="3888" t="s">
        <v>13</v>
      </c>
      <c r="S36" s="3287" t="e">
        <f t="shared" si="12"/>
        <v>#N/A</v>
      </c>
      <c r="T36" s="3888" t="s">
        <v>13</v>
      </c>
      <c r="U36" s="3287" t="e">
        <f t="shared" si="13"/>
        <v>#N/A</v>
      </c>
      <c r="V36" s="3888" t="s">
        <v>13</v>
      </c>
      <c r="W36" s="3287" t="e">
        <f t="shared" si="14"/>
        <v>#N/A</v>
      </c>
      <c r="X36" s="937"/>
      <c r="Y36" s="4400"/>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398"/>
      <c r="Q37" s="1732" t="str">
        <f t="shared" si="11"/>
        <v>市政基础设施</v>
      </c>
      <c r="R37" s="3787" t="s">
        <v>13</v>
      </c>
      <c r="S37" s="3286">
        <f t="shared" si="12"/>
        <v>100</v>
      </c>
      <c r="T37" s="3787" t="s">
        <v>13</v>
      </c>
      <c r="U37" s="3286">
        <f t="shared" si="13"/>
        <v>100</v>
      </c>
      <c r="V37" s="3787" t="s">
        <v>13</v>
      </c>
      <c r="W37" s="3286">
        <f t="shared" si="14"/>
        <v>100</v>
      </c>
      <c r="X37" s="483"/>
      <c r="Y37" s="4400"/>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398" t="s">
        <v>1611</v>
      </c>
      <c r="Q38" s="1534" t="str">
        <f t="shared" si="11"/>
        <v>业态</v>
      </c>
      <c r="R38" s="3888" t="s">
        <v>13</v>
      </c>
      <c r="S38" s="3287">
        <f t="shared" si="12"/>
        <v>100</v>
      </c>
      <c r="T38" s="3888" t="s">
        <v>13</v>
      </c>
      <c r="U38" s="3287">
        <f t="shared" si="13"/>
        <v>100</v>
      </c>
      <c r="V38" s="3888" t="s">
        <v>13</v>
      </c>
      <c r="W38" s="3287">
        <f t="shared" si="14"/>
        <v>100</v>
      </c>
      <c r="X38" s="937"/>
      <c r="Y38" s="4400"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398"/>
      <c r="Q39" s="1534" t="str">
        <f t="shared" si="11"/>
        <v>层高</v>
      </c>
      <c r="R39" s="3888" t="s">
        <v>13</v>
      </c>
      <c r="S39" s="3287">
        <f t="shared" si="12"/>
        <v>100</v>
      </c>
      <c r="T39" s="3888" t="s">
        <v>13</v>
      </c>
      <c r="U39" s="3287">
        <f t="shared" si="13"/>
        <v>100</v>
      </c>
      <c r="V39" s="3888" t="s">
        <v>13</v>
      </c>
      <c r="W39" s="3287">
        <f t="shared" si="14"/>
        <v>100</v>
      </c>
      <c r="X39" s="937"/>
      <c r="Y39" s="4400"/>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398"/>
      <c r="Q40" s="1534" t="str">
        <f t="shared" si="11"/>
        <v>单套建筑面积</v>
      </c>
      <c r="R40" s="3888" t="s">
        <v>13</v>
      </c>
      <c r="S40" s="3287">
        <f t="shared" si="12"/>
        <v>100</v>
      </c>
      <c r="T40" s="3888" t="s">
        <v>13</v>
      </c>
      <c r="U40" s="3287">
        <f t="shared" si="13"/>
        <v>100</v>
      </c>
      <c r="V40" s="3888" t="s">
        <v>13</v>
      </c>
      <c r="W40" s="3287">
        <f t="shared" si="14"/>
        <v>100</v>
      </c>
      <c r="X40" s="937"/>
      <c r="Y40" s="4400"/>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398"/>
      <c r="Q41" s="2958" t="str">
        <f t="shared" si="11"/>
        <v>进深比</v>
      </c>
      <c r="R41" s="3889" t="s">
        <v>13</v>
      </c>
      <c r="S41" s="3288">
        <f t="shared" si="12"/>
        <v>100</v>
      </c>
      <c r="T41" s="3889" t="s">
        <v>13</v>
      </c>
      <c r="U41" s="3288">
        <f t="shared" si="13"/>
        <v>100</v>
      </c>
      <c r="V41" s="3889" t="s">
        <v>13</v>
      </c>
      <c r="W41" s="3288">
        <f t="shared" si="14"/>
        <v>100</v>
      </c>
      <c r="X41" s="485"/>
      <c r="Y41" s="4400"/>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398"/>
      <c r="Q42" s="1534" t="str">
        <f t="shared" si="11"/>
        <v>内部装修</v>
      </c>
      <c r="R42" s="3888" t="s">
        <v>13</v>
      </c>
      <c r="S42" s="3287">
        <f t="shared" si="12"/>
        <v>100</v>
      </c>
      <c r="T42" s="3888" t="s">
        <v>13</v>
      </c>
      <c r="U42" s="3287">
        <f t="shared" si="13"/>
        <v>100</v>
      </c>
      <c r="V42" s="3888" t="s">
        <v>13</v>
      </c>
      <c r="W42" s="3287">
        <f t="shared" si="14"/>
        <v>100</v>
      </c>
      <c r="X42" s="937"/>
      <c r="Y42" s="4400"/>
      <c r="Z42" s="935" t="str">
        <f t="shared" si="15"/>
        <v>内部装修</v>
      </c>
      <c r="AA42" s="935">
        <f t="shared" si="3"/>
        <v>1</v>
      </c>
      <c r="AB42" s="935">
        <f t="shared" si="4"/>
        <v>1</v>
      </c>
      <c r="AC42" s="935">
        <f t="shared" si="5"/>
        <v>1</v>
      </c>
    </row>
    <row r="43" spans="1:29" ht="28.8">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398"/>
      <c r="Q43" s="1534" t="str">
        <f t="shared" si="11"/>
        <v>内部装修维护情况</v>
      </c>
      <c r="R43" s="3888" t="s">
        <v>13</v>
      </c>
      <c r="S43" s="3287">
        <f t="shared" si="12"/>
        <v>100</v>
      </c>
      <c r="T43" s="3888" t="s">
        <v>13</v>
      </c>
      <c r="U43" s="3287">
        <f t="shared" si="13"/>
        <v>100</v>
      </c>
      <c r="V43" s="3888" t="s">
        <v>13</v>
      </c>
      <c r="W43" s="3287">
        <f t="shared" si="14"/>
        <v>100</v>
      </c>
      <c r="X43" s="937"/>
      <c r="Y43" s="4400"/>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398"/>
      <c r="Q44" s="1732">
        <f t="shared" si="11"/>
        <v>111</v>
      </c>
      <c r="R44" s="3787" t="s">
        <v>13</v>
      </c>
      <c r="S44" s="3286">
        <f t="shared" si="12"/>
        <v>100</v>
      </c>
      <c r="T44" s="3787" t="s">
        <v>13</v>
      </c>
      <c r="U44" s="3286">
        <f t="shared" si="13"/>
        <v>100</v>
      </c>
      <c r="V44" s="3787" t="s">
        <v>13</v>
      </c>
      <c r="W44" s="3286">
        <f t="shared" si="14"/>
        <v>100</v>
      </c>
      <c r="X44" s="483"/>
      <c r="Y44" s="4400"/>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398"/>
      <c r="Q45" s="1534">
        <f t="shared" si="11"/>
        <v>111</v>
      </c>
      <c r="R45" s="3888" t="s">
        <v>13</v>
      </c>
      <c r="S45" s="3287">
        <f t="shared" si="12"/>
        <v>100</v>
      </c>
      <c r="T45" s="3888" t="s">
        <v>13</v>
      </c>
      <c r="U45" s="3287">
        <f t="shared" si="13"/>
        <v>100</v>
      </c>
      <c r="V45" s="3888" t="s">
        <v>13</v>
      </c>
      <c r="W45" s="3287">
        <f t="shared" si="14"/>
        <v>100</v>
      </c>
      <c r="X45" s="937"/>
      <c r="Y45" s="4400"/>
      <c r="Z45" s="935">
        <f t="shared" si="15"/>
        <v>111</v>
      </c>
      <c r="AA45" s="935">
        <f t="shared" si="3"/>
        <v>1</v>
      </c>
      <c r="AB45" s="935">
        <f t="shared" si="4"/>
        <v>1</v>
      </c>
      <c r="AC45" s="935">
        <f t="shared" si="5"/>
        <v>1</v>
      </c>
    </row>
    <row r="46" spans="1:29" ht="15.6"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399"/>
      <c r="Q46" s="1534">
        <f t="shared" si="11"/>
        <v>111</v>
      </c>
      <c r="R46" s="3888" t="s">
        <v>13</v>
      </c>
      <c r="S46" s="3287">
        <f t="shared" si="12"/>
        <v>100</v>
      </c>
      <c r="T46" s="3888" t="s">
        <v>13</v>
      </c>
      <c r="U46" s="3287">
        <f t="shared" si="13"/>
        <v>100</v>
      </c>
      <c r="V46" s="3888" t="s">
        <v>13</v>
      </c>
      <c r="W46" s="3287">
        <f t="shared" si="14"/>
        <v>100</v>
      </c>
      <c r="X46" s="937"/>
      <c r="Y46" s="4401"/>
      <c r="Z46" s="935">
        <f t="shared" si="15"/>
        <v>111</v>
      </c>
      <c r="AA46" s="935">
        <f t="shared" si="3"/>
        <v>1</v>
      </c>
      <c r="AB46" s="935">
        <f t="shared" si="4"/>
        <v>1</v>
      </c>
      <c r="AC46" s="935">
        <f t="shared" si="5"/>
        <v>1</v>
      </c>
    </row>
    <row r="47" spans="1:29" ht="14.4">
      <c r="A47" s="287" t="s">
        <v>1623</v>
      </c>
      <c r="B47" s="288"/>
      <c r="C47" s="789" t="s">
        <v>0</v>
      </c>
      <c r="D47" s="289"/>
      <c r="E47" s="3344"/>
      <c r="F47" s="3283"/>
      <c r="G47" s="3345"/>
      <c r="H47" s="3284"/>
      <c r="I47" s="3344"/>
      <c r="J47" s="3284"/>
      <c r="K47" s="2956"/>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1709</v>
      </c>
      <c r="B49" s="293"/>
      <c r="C49" s="3898" t="e">
        <f>R49</f>
        <v>#DIV/0!</v>
      </c>
      <c r="D49" s="242"/>
      <c r="E49" s="242"/>
      <c r="F49" s="242"/>
      <c r="G49" s="242"/>
      <c r="H49" s="242"/>
      <c r="I49" s="242"/>
      <c r="J49" s="242"/>
      <c r="K49" s="488"/>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2.2"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4.4">
      <c r="A58" s="304" t="s">
        <v>1594</v>
      </c>
      <c r="B58" s="305"/>
      <c r="C58" s="805" t="str">
        <f>YEAR(C7)&amp;"-"&amp;MONTH(C7)</f>
        <v>2026-1</v>
      </c>
      <c r="D58" s="806">
        <f>EDATE(C58,-1)</f>
        <v>45992</v>
      </c>
      <c r="E58" s="806">
        <f t="shared" ref="E58:N58" si="16">EDATE(D58,-1)</f>
        <v>45962</v>
      </c>
      <c r="F58" s="806">
        <f t="shared" si="16"/>
        <v>45931</v>
      </c>
      <c r="G58" s="806">
        <f t="shared" si="16"/>
        <v>45901</v>
      </c>
      <c r="H58" s="806">
        <f t="shared" si="16"/>
        <v>45870</v>
      </c>
      <c r="I58" s="806">
        <f t="shared" si="16"/>
        <v>45839</v>
      </c>
      <c r="J58" s="806">
        <f t="shared" si="16"/>
        <v>45809</v>
      </c>
      <c r="K58" s="806">
        <f t="shared" si="16"/>
        <v>45778</v>
      </c>
      <c r="L58" s="806">
        <f t="shared" si="16"/>
        <v>45748</v>
      </c>
      <c r="M58" s="806">
        <f t="shared" si="16"/>
        <v>45717</v>
      </c>
      <c r="N58" s="806">
        <f t="shared" si="16"/>
        <v>45689</v>
      </c>
      <c r="O58" s="806">
        <f>EDATE(N58,-1)</f>
        <v>45658</v>
      </c>
      <c r="P58" s="2031"/>
      <c r="Q58" s="2032"/>
      <c r="R58" s="2032"/>
      <c r="S58" s="2032"/>
      <c r="T58" s="2032"/>
      <c r="U58" s="2032"/>
      <c r="V58" s="2032"/>
      <c r="W58" s="2032"/>
      <c r="X58" s="2032"/>
      <c r="Y58" s="2032"/>
      <c r="Z58" s="2032"/>
      <c r="AA58" s="2032"/>
      <c r="AB58" s="2032"/>
      <c r="AC58" s="2032"/>
    </row>
    <row r="59" spans="1:29" s="46" customFormat="1">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4.4">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4.4"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ht="14.4">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4.4"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9.4"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4.4"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4.4"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4.4"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4.4"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4.4"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4.4"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ht="14.4">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4.4"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4.4"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4.4"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4.4"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4.4"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4.4"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4.4"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4.4"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4.4"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4.4"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4.4"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ht="14.4">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4.4"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28.2"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4.4"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4.4"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4.4"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4.4"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4.4"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4.4"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4.4"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7" customWidth="1"/>
    <col min="17" max="17" width="19.44140625" style="3317" customWidth="1"/>
    <col min="18" max="18" width="6.109375" style="3317" customWidth="1"/>
    <col min="19" max="19" width="4.33203125" style="3317" customWidth="1"/>
    <col min="20" max="20" width="6.109375" style="3317" customWidth="1"/>
    <col min="21" max="21" width="4.33203125" style="3317" customWidth="1"/>
    <col min="22" max="22" width="6.109375" style="3317" customWidth="1"/>
    <col min="23" max="23" width="4.33203125" style="3317"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6216.26</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611"/>
      <c r="M4" s="612"/>
      <c r="N4" s="612"/>
      <c r="O4" s="612"/>
      <c r="P4" s="4501" t="s">
        <v>1690</v>
      </c>
      <c r="Q4" s="4502"/>
      <c r="R4" s="4505" t="s">
        <v>1686</v>
      </c>
      <c r="S4" s="4506"/>
      <c r="T4" s="4505" t="s">
        <v>1687</v>
      </c>
      <c r="U4" s="4506"/>
      <c r="V4" s="4423" t="s">
        <v>1688</v>
      </c>
      <c r="W4" s="4423"/>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611"/>
      <c r="M5" s="612"/>
      <c r="N5" s="612"/>
      <c r="O5" s="612"/>
      <c r="P5" s="4503"/>
      <c r="Q5" s="4413"/>
      <c r="R5" s="4418"/>
      <c r="S5" s="4419"/>
      <c r="T5" s="4418"/>
      <c r="U5" s="4419"/>
      <c r="V5" s="4423"/>
      <c r="W5" s="442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611"/>
      <c r="M6" s="612"/>
      <c r="N6" s="612"/>
      <c r="O6" s="612"/>
      <c r="P6" s="4504"/>
      <c r="Q6" s="4415"/>
      <c r="R6" s="4418"/>
      <c r="S6" s="4419"/>
      <c r="T6" s="4420"/>
      <c r="U6" s="4421"/>
      <c r="V6" s="4423"/>
      <c r="W6" s="4423"/>
      <c r="X6" s="937"/>
      <c r="Y6" s="4436"/>
      <c r="Z6" s="4437"/>
      <c r="AA6" s="4445"/>
      <c r="AB6" s="4445"/>
      <c r="AC6" s="4445"/>
    </row>
    <row r="7" spans="1:29" s="46" customFormat="1" ht="15" thickBot="1">
      <c r="A7" s="243" t="s">
        <v>1594</v>
      </c>
      <c r="B7" s="244"/>
      <c r="C7" s="245">
        <f>'数据-取费表'!B2</f>
        <v>46048</v>
      </c>
      <c r="D7" s="2993">
        <v>100</v>
      </c>
      <c r="E7" s="246"/>
      <c r="F7" s="3900">
        <f>SUMIF(52:52,YEAR(E7)&amp;"-"&amp;MONTH(E7),53:53)</f>
        <v>0</v>
      </c>
      <c r="G7" s="246"/>
      <c r="H7" s="3906">
        <f>SUMIF(52:52,YEAR(G7)&amp;"-"&amp;MONTH(G7),53:53)</f>
        <v>0</v>
      </c>
      <c r="I7" s="246"/>
      <c r="J7" s="3906">
        <f>SUMIF(52:52,YEAR(I7)&amp;"-"&amp;MONTH(I7),53:53)</f>
        <v>0</v>
      </c>
      <c r="K7" s="22"/>
      <c r="L7" s="613"/>
      <c r="M7" s="614"/>
      <c r="N7" s="614"/>
      <c r="O7" s="614"/>
      <c r="P7" s="4511" t="s">
        <v>1595</v>
      </c>
      <c r="Q7" s="4438"/>
      <c r="R7" s="3912" t="s">
        <v>13</v>
      </c>
      <c r="S7" s="3693">
        <f t="shared" ref="S7:S15" si="0">F7</f>
        <v>0</v>
      </c>
      <c r="T7" s="3912" t="s">
        <v>13</v>
      </c>
      <c r="U7" s="3693">
        <f t="shared" ref="U7:U15" si="1">H7</f>
        <v>0</v>
      </c>
      <c r="V7" s="3912" t="s">
        <v>13</v>
      </c>
      <c r="W7" s="3693">
        <f t="shared" ref="W7:W15"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11" t="s">
        <v>1598</v>
      </c>
      <c r="Q8" s="4429"/>
      <c r="R8" s="3912" t="s">
        <v>13</v>
      </c>
      <c r="S8" s="3693">
        <f t="shared" si="0"/>
        <v>100</v>
      </c>
      <c r="T8" s="3912" t="s">
        <v>13</v>
      </c>
      <c r="U8" s="3693">
        <f t="shared" si="1"/>
        <v>100</v>
      </c>
      <c r="V8" s="3912" t="s">
        <v>13</v>
      </c>
      <c r="W8" s="3693">
        <f t="shared" si="2"/>
        <v>100</v>
      </c>
      <c r="X8" s="483"/>
      <c r="Y8" s="4430" t="s">
        <v>1598</v>
      </c>
      <c r="Z8" s="4431"/>
      <c r="AA8" s="28">
        <f t="shared" ref="AA8:AA40" si="3">D8/F8</f>
        <v>1</v>
      </c>
      <c r="AB8" s="28">
        <f t="shared" ref="AB8:AB40" si="4">D8/H8</f>
        <v>1</v>
      </c>
      <c r="AC8" s="28">
        <f t="shared" ref="AC8:AC40" si="5">D8/J8</f>
        <v>1</v>
      </c>
    </row>
    <row r="9" spans="1:29" s="46" customFormat="1" ht="14.4">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388" t="s">
        <v>1601</v>
      </c>
      <c r="Q9" s="1732" t="str">
        <f t="shared" ref="Q9:Q15" si="6">B9</f>
        <v>用途</v>
      </c>
      <c r="R9" s="3912" t="s">
        <v>13</v>
      </c>
      <c r="S9" s="3693">
        <f t="shared" si="0"/>
        <v>100</v>
      </c>
      <c r="T9" s="3912" t="s">
        <v>13</v>
      </c>
      <c r="U9" s="3693">
        <f t="shared" si="1"/>
        <v>100</v>
      </c>
      <c r="V9" s="3912" t="s">
        <v>13</v>
      </c>
      <c r="W9" s="3693">
        <f t="shared" si="2"/>
        <v>100</v>
      </c>
      <c r="X9" s="483"/>
      <c r="Y9" s="4402" t="s">
        <v>1602</v>
      </c>
      <c r="Z9" s="28" t="str">
        <f t="shared" ref="Z9:Z15" si="7">Q9</f>
        <v>用途</v>
      </c>
      <c r="AA9" s="28">
        <f t="shared" si="3"/>
        <v>1</v>
      </c>
      <c r="AB9" s="28">
        <f t="shared" si="4"/>
        <v>1</v>
      </c>
      <c r="AC9" s="28">
        <f t="shared" si="5"/>
        <v>1</v>
      </c>
    </row>
    <row r="10" spans="1:29" s="254" customFormat="1" ht="28.8">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388"/>
      <c r="Q10" s="1732" t="str">
        <f t="shared" si="6"/>
        <v>土地使用年限（年）</v>
      </c>
      <c r="R10" s="3912" t="s">
        <v>13</v>
      </c>
      <c r="S10" s="3693">
        <f t="shared" si="0"/>
        <v>100</v>
      </c>
      <c r="T10" s="3912" t="s">
        <v>13</v>
      </c>
      <c r="U10" s="3693">
        <f t="shared" si="1"/>
        <v>100</v>
      </c>
      <c r="V10" s="3912" t="s">
        <v>13</v>
      </c>
      <c r="W10" s="3693">
        <f t="shared" si="2"/>
        <v>100</v>
      </c>
      <c r="X10" s="483"/>
      <c r="Y10" s="4402"/>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388"/>
      <c r="Q11" s="1732" t="str">
        <f t="shared" si="6"/>
        <v>容积率</v>
      </c>
      <c r="R11" s="3912" t="s">
        <v>13</v>
      </c>
      <c r="S11" s="3693">
        <f t="shared" si="0"/>
        <v>100</v>
      </c>
      <c r="T11" s="3912" t="s">
        <v>13</v>
      </c>
      <c r="U11" s="3693">
        <f t="shared" si="1"/>
        <v>100</v>
      </c>
      <c r="V11" s="3912" t="s">
        <v>13</v>
      </c>
      <c r="W11" s="3693">
        <f t="shared" si="2"/>
        <v>100</v>
      </c>
      <c r="X11" s="483"/>
      <c r="Y11" s="4402"/>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388"/>
      <c r="Q12" s="1732">
        <f t="shared" si="6"/>
        <v>111</v>
      </c>
      <c r="R12" s="3912" t="s">
        <v>13</v>
      </c>
      <c r="S12" s="3693">
        <f t="shared" si="0"/>
        <v>100</v>
      </c>
      <c r="T12" s="3912" t="s">
        <v>13</v>
      </c>
      <c r="U12" s="3693">
        <f t="shared" si="1"/>
        <v>100</v>
      </c>
      <c r="V12" s="3912" t="s">
        <v>13</v>
      </c>
      <c r="W12" s="3693">
        <f t="shared" si="2"/>
        <v>100</v>
      </c>
      <c r="X12" s="483"/>
      <c r="Y12" s="4402"/>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388"/>
      <c r="Q13" s="1732">
        <f t="shared" si="6"/>
        <v>111</v>
      </c>
      <c r="R13" s="3912" t="s">
        <v>13</v>
      </c>
      <c r="S13" s="3693">
        <f t="shared" si="0"/>
        <v>100</v>
      </c>
      <c r="T13" s="3912" t="s">
        <v>13</v>
      </c>
      <c r="U13" s="3693">
        <f t="shared" si="1"/>
        <v>100</v>
      </c>
      <c r="V13" s="3912" t="s">
        <v>13</v>
      </c>
      <c r="W13" s="3693">
        <f t="shared" si="2"/>
        <v>100</v>
      </c>
      <c r="X13" s="483"/>
      <c r="Y13" s="4402"/>
      <c r="Z13" s="28">
        <f t="shared" si="7"/>
        <v>111</v>
      </c>
      <c r="AA13" s="28">
        <f t="shared" si="3"/>
        <v>1</v>
      </c>
      <c r="AB13" s="28">
        <f t="shared" si="4"/>
        <v>1</v>
      </c>
      <c r="AC13" s="28">
        <f t="shared" si="5"/>
        <v>1</v>
      </c>
    </row>
    <row r="14" spans="1:29" ht="15.6"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9" t="s">
        <v>1606</v>
      </c>
      <c r="Q15" s="1534" t="str">
        <f t="shared" si="6"/>
        <v>产业集聚程度</v>
      </c>
      <c r="R15" s="3913" t="s">
        <v>13</v>
      </c>
      <c r="S15" s="3915">
        <f t="shared" si="0"/>
        <v>100</v>
      </c>
      <c r="T15" s="3913" t="s">
        <v>13</v>
      </c>
      <c r="U15" s="3915">
        <f t="shared" si="1"/>
        <v>100</v>
      </c>
      <c r="V15" s="3913" t="s">
        <v>13</v>
      </c>
      <c r="W15" s="3915">
        <f t="shared" si="2"/>
        <v>100</v>
      </c>
      <c r="X15" s="937"/>
      <c r="Y15" s="4395"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20"/>
      <c r="Q16" s="1534"/>
      <c r="R16" s="3913"/>
      <c r="S16" s="3915"/>
      <c r="T16" s="3913"/>
      <c r="U16" s="3915"/>
      <c r="V16" s="3913"/>
      <c r="W16" s="3915"/>
      <c r="X16" s="937"/>
      <c r="Y16" s="4396"/>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20"/>
      <c r="Q17" s="1534" t="str">
        <f>B17</f>
        <v>交通便捷度</v>
      </c>
      <c r="R17" s="3913" t="s">
        <v>13</v>
      </c>
      <c r="S17" s="3915">
        <f>F17</f>
        <v>100</v>
      </c>
      <c r="T17" s="3913" t="s">
        <v>13</v>
      </c>
      <c r="U17" s="3915">
        <f>H17</f>
        <v>100</v>
      </c>
      <c r="V17" s="3913" t="s">
        <v>13</v>
      </c>
      <c r="W17" s="3915">
        <f>J17</f>
        <v>100</v>
      </c>
      <c r="X17" s="937"/>
      <c r="Y17" s="4396"/>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20"/>
      <c r="Q18" s="1534"/>
      <c r="R18" s="3913"/>
      <c r="S18" s="3915"/>
      <c r="T18" s="3913"/>
      <c r="U18" s="3915"/>
      <c r="V18" s="3913"/>
      <c r="W18" s="3915"/>
      <c r="X18" s="937"/>
      <c r="Y18" s="4396"/>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20"/>
      <c r="Q19" s="1534" t="str">
        <f>B19</f>
        <v>公共配套设施</v>
      </c>
      <c r="R19" s="3913" t="s">
        <v>13</v>
      </c>
      <c r="S19" s="3915">
        <f>F19</f>
        <v>100</v>
      </c>
      <c r="T19" s="3913" t="s">
        <v>13</v>
      </c>
      <c r="U19" s="3915">
        <f>H19</f>
        <v>100</v>
      </c>
      <c r="V19" s="3913" t="s">
        <v>13</v>
      </c>
      <c r="W19" s="3915">
        <f>J19</f>
        <v>100</v>
      </c>
      <c r="X19" s="937"/>
      <c r="Y19" s="4396"/>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20"/>
      <c r="Q20" s="1534"/>
      <c r="R20" s="3913"/>
      <c r="S20" s="3915"/>
      <c r="T20" s="3913"/>
      <c r="U20" s="3915"/>
      <c r="V20" s="3913"/>
      <c r="W20" s="3915"/>
      <c r="X20" s="937"/>
      <c r="Y20" s="4396"/>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20"/>
      <c r="Q21" s="1534" t="str">
        <f>B21</f>
        <v>基础设施水平</v>
      </c>
      <c r="R21" s="3913" t="s">
        <v>13</v>
      </c>
      <c r="S21" s="3915">
        <f>F21</f>
        <v>100</v>
      </c>
      <c r="T21" s="3913" t="s">
        <v>13</v>
      </c>
      <c r="U21" s="3915">
        <f>H21</f>
        <v>100</v>
      </c>
      <c r="V21" s="3913" t="s">
        <v>13</v>
      </c>
      <c r="W21" s="3915">
        <f>J21</f>
        <v>100</v>
      </c>
      <c r="X21" s="937"/>
      <c r="Y21" s="4396"/>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20"/>
      <c r="Q22" s="1534"/>
      <c r="R22" s="3913"/>
      <c r="S22" s="3915"/>
      <c r="T22" s="3913"/>
      <c r="U22" s="3915"/>
      <c r="V22" s="3913"/>
      <c r="W22" s="3915"/>
      <c r="X22" s="937"/>
      <c r="Y22" s="4396"/>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20"/>
      <c r="Q23" s="1534" t="str">
        <f>B23</f>
        <v>环境质量</v>
      </c>
      <c r="R23" s="3913" t="s">
        <v>13</v>
      </c>
      <c r="S23" s="3915">
        <f>F23</f>
        <v>100</v>
      </c>
      <c r="T23" s="3913" t="s">
        <v>13</v>
      </c>
      <c r="U23" s="3915">
        <f>H23</f>
        <v>100</v>
      </c>
      <c r="V23" s="3913" t="s">
        <v>13</v>
      </c>
      <c r="W23" s="3915">
        <f>J23</f>
        <v>100</v>
      </c>
      <c r="X23" s="937"/>
      <c r="Y23" s="4396"/>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20"/>
      <c r="Q24" s="1534"/>
      <c r="R24" s="3913"/>
      <c r="S24" s="3915"/>
      <c r="T24" s="3913"/>
      <c r="U24" s="3915"/>
      <c r="V24" s="3913"/>
      <c r="W24" s="3915"/>
      <c r="X24" s="937"/>
      <c r="Y24" s="4396"/>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20"/>
      <c r="Q25" s="1534">
        <f>B25</f>
        <v>111</v>
      </c>
      <c r="R25" s="3913" t="s">
        <v>13</v>
      </c>
      <c r="S25" s="3915">
        <f>F25</f>
        <v>100</v>
      </c>
      <c r="T25" s="3913" t="s">
        <v>13</v>
      </c>
      <c r="U25" s="3915">
        <f>H25</f>
        <v>100</v>
      </c>
      <c r="V25" s="3913" t="s">
        <v>13</v>
      </c>
      <c r="W25" s="3915">
        <f>J25</f>
        <v>100</v>
      </c>
      <c r="X25" s="937"/>
      <c r="Y25" s="4396"/>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20"/>
      <c r="Q26" s="1534">
        <f t="shared" ref="Q26:Q40" si="11">B26</f>
        <v>111</v>
      </c>
      <c r="R26" s="3913" t="s">
        <v>13</v>
      </c>
      <c r="S26" s="3915">
        <f>F26</f>
        <v>100</v>
      </c>
      <c r="T26" s="3913" t="s">
        <v>13</v>
      </c>
      <c r="U26" s="3915">
        <f>H26</f>
        <v>100</v>
      </c>
      <c r="V26" s="3913" t="s">
        <v>13</v>
      </c>
      <c r="W26" s="3915">
        <f>J26</f>
        <v>100</v>
      </c>
      <c r="X26" s="937"/>
      <c r="Y26" s="4396"/>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20"/>
      <c r="Q27" s="1732">
        <f t="shared" si="11"/>
        <v>111</v>
      </c>
      <c r="R27" s="3912" t="s">
        <v>13</v>
      </c>
      <c r="S27" s="3693">
        <f>F27</f>
        <v>100</v>
      </c>
      <c r="T27" s="3912" t="s">
        <v>13</v>
      </c>
      <c r="U27" s="3693">
        <f>H27</f>
        <v>100</v>
      </c>
      <c r="V27" s="3912" t="s">
        <v>13</v>
      </c>
      <c r="W27" s="3693">
        <f>J27</f>
        <v>100</v>
      </c>
      <c r="X27" s="483"/>
      <c r="Y27" s="4396"/>
      <c r="Z27" s="28">
        <f>Q27</f>
        <v>111</v>
      </c>
      <c r="AA27" s="935">
        <f>D27/F27</f>
        <v>1</v>
      </c>
      <c r="AB27" s="935">
        <f>D27/H27</f>
        <v>1</v>
      </c>
      <c r="AC27" s="935">
        <f>D27/J27</f>
        <v>1</v>
      </c>
    </row>
    <row r="28" spans="1:29" ht="15.6"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20"/>
      <c r="Q28" s="1534">
        <f t="shared" si="11"/>
        <v>111</v>
      </c>
      <c r="R28" s="3913" t="s">
        <v>13</v>
      </c>
      <c r="S28" s="3915">
        <f t="shared" ref="S28:S40" si="12">F28</f>
        <v>100</v>
      </c>
      <c r="T28" s="3913" t="s">
        <v>13</v>
      </c>
      <c r="U28" s="3915">
        <f t="shared" ref="U28:U40" si="13">H28</f>
        <v>100</v>
      </c>
      <c r="V28" s="3913" t="s">
        <v>13</v>
      </c>
      <c r="W28" s="3915">
        <f t="shared" ref="W28:W40" si="14">J28</f>
        <v>100</v>
      </c>
      <c r="X28" s="937"/>
      <c r="Y28" s="4396"/>
      <c r="Z28" s="935">
        <f t="shared" ref="Z28:Z40" si="15">Q28</f>
        <v>111</v>
      </c>
      <c r="AA28" s="935">
        <f t="shared" si="3"/>
        <v>1</v>
      </c>
      <c r="AB28" s="935">
        <f t="shared" si="4"/>
        <v>1</v>
      </c>
      <c r="AC28" s="935">
        <f t="shared" si="5"/>
        <v>1</v>
      </c>
    </row>
    <row r="29" spans="1:29" ht="30">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21" t="s">
        <v>1611</v>
      </c>
      <c r="Q29" s="1534" t="str">
        <f t="shared" si="11"/>
        <v>建筑类型</v>
      </c>
      <c r="R29" s="3913" t="s">
        <v>13</v>
      </c>
      <c r="S29" s="3915">
        <f t="shared" si="12"/>
        <v>100</v>
      </c>
      <c r="T29" s="3913" t="s">
        <v>13</v>
      </c>
      <c r="U29" s="3915">
        <f t="shared" si="13"/>
        <v>100</v>
      </c>
      <c r="V29" s="3913" t="s">
        <v>13</v>
      </c>
      <c r="W29" s="3915">
        <f t="shared" si="14"/>
        <v>100</v>
      </c>
      <c r="X29" s="937"/>
      <c r="Y29" s="4400"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22"/>
      <c r="Q30" s="2958" t="str">
        <f t="shared" si="11"/>
        <v>项目建筑规模</v>
      </c>
      <c r="R30" s="3914" t="s">
        <v>13</v>
      </c>
      <c r="S30" s="3916" t="e">
        <f t="shared" si="12"/>
        <v>#N/A</v>
      </c>
      <c r="T30" s="3914" t="s">
        <v>13</v>
      </c>
      <c r="U30" s="3916" t="e">
        <f t="shared" si="13"/>
        <v>#N/A</v>
      </c>
      <c r="V30" s="3914" t="s">
        <v>13</v>
      </c>
      <c r="W30" s="3916" t="e">
        <f t="shared" si="14"/>
        <v>#N/A</v>
      </c>
      <c r="X30" s="485"/>
      <c r="Y30" s="4400"/>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22"/>
      <c r="Q31" s="1534" t="str">
        <f t="shared" si="11"/>
        <v>建筑结构</v>
      </c>
      <c r="R31" s="3913" t="s">
        <v>13</v>
      </c>
      <c r="S31" s="3915">
        <f t="shared" si="12"/>
        <v>100</v>
      </c>
      <c r="T31" s="3913" t="s">
        <v>13</v>
      </c>
      <c r="U31" s="3915">
        <f t="shared" si="13"/>
        <v>100</v>
      </c>
      <c r="V31" s="3913" t="s">
        <v>13</v>
      </c>
      <c r="W31" s="3915">
        <f t="shared" si="14"/>
        <v>100</v>
      </c>
      <c r="X31" s="937"/>
      <c r="Y31" s="4400"/>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22"/>
      <c r="Q32" s="1534" t="str">
        <f t="shared" si="11"/>
        <v>公共部分装修</v>
      </c>
      <c r="R32" s="3913" t="s">
        <v>13</v>
      </c>
      <c r="S32" s="3915">
        <f t="shared" si="12"/>
        <v>100</v>
      </c>
      <c r="T32" s="3913" t="s">
        <v>13</v>
      </c>
      <c r="U32" s="3915">
        <f t="shared" si="13"/>
        <v>100</v>
      </c>
      <c r="V32" s="3913" t="s">
        <v>13</v>
      </c>
      <c r="W32" s="3915">
        <f t="shared" si="14"/>
        <v>100</v>
      </c>
      <c r="X32" s="937"/>
      <c r="Y32" s="4400"/>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22"/>
      <c r="Q33" s="1534" t="str">
        <f t="shared" si="11"/>
        <v>成新度</v>
      </c>
      <c r="R33" s="3913" t="s">
        <v>13</v>
      </c>
      <c r="S33" s="3915" t="e">
        <f t="shared" si="12"/>
        <v>#N/A</v>
      </c>
      <c r="T33" s="3913" t="s">
        <v>13</v>
      </c>
      <c r="U33" s="3915" t="e">
        <f t="shared" si="13"/>
        <v>#N/A</v>
      </c>
      <c r="V33" s="3913" t="s">
        <v>13</v>
      </c>
      <c r="W33" s="3915" t="e">
        <f t="shared" si="14"/>
        <v>#N/A</v>
      </c>
      <c r="X33" s="937"/>
      <c r="Y33" s="4400"/>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22"/>
      <c r="Q34" s="1732" t="str">
        <f t="shared" si="11"/>
        <v>物业管理</v>
      </c>
      <c r="R34" s="3912" t="s">
        <v>13</v>
      </c>
      <c r="S34" s="3693">
        <f t="shared" si="12"/>
        <v>100</v>
      </c>
      <c r="T34" s="3912" t="s">
        <v>13</v>
      </c>
      <c r="U34" s="3693">
        <f t="shared" si="13"/>
        <v>100</v>
      </c>
      <c r="V34" s="3912" t="s">
        <v>13</v>
      </c>
      <c r="W34" s="3693">
        <f t="shared" si="14"/>
        <v>100</v>
      </c>
      <c r="X34" s="483"/>
      <c r="Y34" s="4400"/>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22" t="s">
        <v>1611</v>
      </c>
      <c r="Q35" s="1534" t="str">
        <f t="shared" si="11"/>
        <v>市政基础设施</v>
      </c>
      <c r="R35" s="3913" t="s">
        <v>13</v>
      </c>
      <c r="S35" s="3915">
        <f t="shared" si="12"/>
        <v>100</v>
      </c>
      <c r="T35" s="3913" t="s">
        <v>13</v>
      </c>
      <c r="U35" s="3915">
        <f t="shared" si="13"/>
        <v>100</v>
      </c>
      <c r="V35" s="3913" t="s">
        <v>13</v>
      </c>
      <c r="W35" s="3915">
        <f t="shared" si="14"/>
        <v>100</v>
      </c>
      <c r="X35" s="937"/>
      <c r="Y35" s="4400"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22"/>
      <c r="Q36" s="1534" t="str">
        <f t="shared" si="11"/>
        <v>内部装修</v>
      </c>
      <c r="R36" s="3913" t="s">
        <v>13</v>
      </c>
      <c r="S36" s="3915">
        <f t="shared" si="12"/>
        <v>100</v>
      </c>
      <c r="T36" s="3913" t="s">
        <v>13</v>
      </c>
      <c r="U36" s="3915">
        <f t="shared" si="13"/>
        <v>100</v>
      </c>
      <c r="V36" s="3913" t="s">
        <v>13</v>
      </c>
      <c r="W36" s="3915">
        <f t="shared" si="14"/>
        <v>100</v>
      </c>
      <c r="X36" s="937"/>
      <c r="Y36" s="4400"/>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22"/>
      <c r="Q37" s="1534" t="str">
        <f t="shared" si="11"/>
        <v>内部装修状况</v>
      </c>
      <c r="R37" s="3913" t="s">
        <v>13</v>
      </c>
      <c r="S37" s="3915">
        <f t="shared" si="12"/>
        <v>100</v>
      </c>
      <c r="T37" s="3913" t="s">
        <v>13</v>
      </c>
      <c r="U37" s="3915">
        <f t="shared" si="13"/>
        <v>100</v>
      </c>
      <c r="V37" s="3913" t="s">
        <v>13</v>
      </c>
      <c r="W37" s="3915">
        <f t="shared" si="14"/>
        <v>100</v>
      </c>
      <c r="X37" s="937"/>
      <c r="Y37" s="4400"/>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22"/>
      <c r="Q38" s="2958">
        <f t="shared" si="11"/>
        <v>111</v>
      </c>
      <c r="R38" s="3914" t="s">
        <v>13</v>
      </c>
      <c r="S38" s="3916">
        <f t="shared" si="12"/>
        <v>100</v>
      </c>
      <c r="T38" s="3914" t="s">
        <v>13</v>
      </c>
      <c r="U38" s="3916">
        <f t="shared" si="13"/>
        <v>100</v>
      </c>
      <c r="V38" s="3914" t="s">
        <v>13</v>
      </c>
      <c r="W38" s="3916">
        <f t="shared" si="14"/>
        <v>100</v>
      </c>
      <c r="X38" s="485"/>
      <c r="Y38" s="4400"/>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22"/>
      <c r="Q39" s="1534">
        <f t="shared" si="11"/>
        <v>111</v>
      </c>
      <c r="R39" s="3913" t="s">
        <v>13</v>
      </c>
      <c r="S39" s="3915">
        <f t="shared" si="12"/>
        <v>100</v>
      </c>
      <c r="T39" s="3913" t="s">
        <v>13</v>
      </c>
      <c r="U39" s="3915">
        <f t="shared" si="13"/>
        <v>100</v>
      </c>
      <c r="V39" s="3913" t="s">
        <v>13</v>
      </c>
      <c r="W39" s="3915">
        <f t="shared" si="14"/>
        <v>100</v>
      </c>
      <c r="X39" s="937"/>
      <c r="Y39" s="4400"/>
      <c r="Z39" s="935">
        <f t="shared" si="15"/>
        <v>111</v>
      </c>
      <c r="AA39" s="935">
        <f t="shared" si="3"/>
        <v>1</v>
      </c>
      <c r="AB39" s="935">
        <f t="shared" si="4"/>
        <v>1</v>
      </c>
      <c r="AC39" s="935">
        <f t="shared" si="5"/>
        <v>1</v>
      </c>
    </row>
    <row r="40" spans="1:29" ht="15.6"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23"/>
      <c r="Q40" s="1534">
        <f t="shared" si="11"/>
        <v>111</v>
      </c>
      <c r="R40" s="3913" t="s">
        <v>13</v>
      </c>
      <c r="S40" s="3915">
        <f t="shared" si="12"/>
        <v>100</v>
      </c>
      <c r="T40" s="3913" t="s">
        <v>13</v>
      </c>
      <c r="U40" s="3915">
        <f t="shared" si="13"/>
        <v>100</v>
      </c>
      <c r="V40" s="3913" t="s">
        <v>13</v>
      </c>
      <c r="W40" s="3915">
        <f t="shared" si="14"/>
        <v>100</v>
      </c>
      <c r="X40" s="937"/>
      <c r="Y40" s="4401"/>
      <c r="Z40" s="935">
        <f t="shared" si="15"/>
        <v>111</v>
      </c>
      <c r="AA40" s="935">
        <f t="shared" si="3"/>
        <v>1</v>
      </c>
      <c r="AB40" s="935">
        <f t="shared" si="4"/>
        <v>1</v>
      </c>
      <c r="AC40" s="935">
        <f t="shared" si="5"/>
        <v>1</v>
      </c>
    </row>
    <row r="41" spans="1:29" ht="14.4">
      <c r="A41" s="287" t="s">
        <v>1623</v>
      </c>
      <c r="B41" s="288"/>
      <c r="C41" s="789" t="s">
        <v>0</v>
      </c>
      <c r="D41" s="289"/>
      <c r="E41" s="3344"/>
      <c r="F41" s="3283"/>
      <c r="G41" s="3345"/>
      <c r="H41" s="3284"/>
      <c r="I41" s="3344"/>
      <c r="J41" s="3284"/>
      <c r="K41" s="2956"/>
      <c r="L41" s="624"/>
      <c r="M41" s="612"/>
      <c r="N41" s="612"/>
      <c r="O41" s="612"/>
      <c r="P41" s="4388" t="str">
        <f>A41</f>
        <v>成交单价（元/平方米）</v>
      </c>
      <c r="Q41" s="4388"/>
      <c r="R41" s="4389">
        <f>E41</f>
        <v>0</v>
      </c>
      <c r="S41" s="4389"/>
      <c r="T41" s="4389">
        <f>G41</f>
        <v>0</v>
      </c>
      <c r="U41" s="4389"/>
      <c r="V41" s="4389">
        <f>I41</f>
        <v>0</v>
      </c>
      <c r="W41" s="4389"/>
      <c r="X41" s="266"/>
      <c r="Y41" s="487"/>
      <c r="Z41" s="266"/>
      <c r="AA41" s="266"/>
      <c r="AB41" s="266"/>
      <c r="AC41" s="266"/>
    </row>
    <row r="42" spans="1:29" ht="1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388" t="str">
        <f>A42</f>
        <v>比较价值（元/平方米）</v>
      </c>
      <c r="Q42" s="4388"/>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66"/>
      <c r="Y42" s="266"/>
      <c r="Z42" s="266"/>
      <c r="AA42" s="266"/>
      <c r="AB42" s="266"/>
      <c r="AC42" s="266"/>
    </row>
    <row r="43" spans="1:29" ht="15" thickBot="1">
      <c r="A43" s="292" t="s">
        <v>1709</v>
      </c>
      <c r="B43" s="293"/>
      <c r="C43" s="3898" t="e">
        <f>R43</f>
        <v>#DIV/0!</v>
      </c>
      <c r="D43" s="242"/>
      <c r="E43" s="242"/>
      <c r="F43" s="242"/>
      <c r="G43" s="242"/>
      <c r="H43" s="242"/>
      <c r="I43" s="242"/>
      <c r="J43" s="242"/>
      <c r="K43" s="488"/>
      <c r="L43" s="624"/>
      <c r="M43" s="612"/>
      <c r="N43" s="612"/>
      <c r="O43" s="612"/>
      <c r="P43" s="4493" t="str">
        <f>A43</f>
        <v>估价对象XX用房的比较价值（楼面单价，元/平方米）</v>
      </c>
      <c r="Q43" s="4494"/>
      <c r="R43" s="4495" t="e">
        <f>IF(F1="售价",ROUND(IF(D42="简单平均",AVERAGE(R42:V42),R42*F42+T42*H42+V42*J42),0),ROUND(IF(D42="简单平均",AVERAGE(R42:V42),R42*F42+T42*H42+V42*J42),1))</f>
        <v>#DIV/0!</v>
      </c>
      <c r="S43" s="4495"/>
      <c r="T43" s="4495"/>
      <c r="U43" s="4495"/>
      <c r="V43" s="4495"/>
      <c r="W43" s="4495"/>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2.2" thickBot="1">
      <c r="A51" s="477" t="s">
        <v>1713</v>
      </c>
      <c r="B51" s="266"/>
      <c r="C51" s="478"/>
      <c r="D51" s="478"/>
      <c r="E51" s="478"/>
      <c r="F51" s="479"/>
      <c r="G51" s="479"/>
      <c r="H51" s="478"/>
      <c r="I51" s="478"/>
      <c r="J51" s="478"/>
      <c r="K51" s="638"/>
      <c r="L51" s="639"/>
      <c r="M51" s="637"/>
      <c r="N51" s="637"/>
      <c r="O51" s="637"/>
      <c r="P51" s="3319"/>
      <c r="Q51" s="3320"/>
    </row>
    <row r="52" spans="1:23" s="306" customFormat="1" ht="14.4">
      <c r="A52" s="304" t="s">
        <v>1594</v>
      </c>
      <c r="B52" s="305"/>
      <c r="C52" s="805" t="str">
        <f>YEAR(C7)&amp;"-"&amp;MONTH(C7)</f>
        <v>2026-1</v>
      </c>
      <c r="D52" s="806">
        <f>EDATE(C52,-1)</f>
        <v>45992</v>
      </c>
      <c r="E52" s="806">
        <f t="shared" ref="E52:O52" si="16">EDATE(D52,-1)</f>
        <v>45962</v>
      </c>
      <c r="F52" s="806">
        <f t="shared" si="16"/>
        <v>45931</v>
      </c>
      <c r="G52" s="806">
        <f t="shared" si="16"/>
        <v>45901</v>
      </c>
      <c r="H52" s="806">
        <f t="shared" si="16"/>
        <v>45870</v>
      </c>
      <c r="I52" s="806">
        <f t="shared" si="16"/>
        <v>45839</v>
      </c>
      <c r="J52" s="806">
        <f t="shared" si="16"/>
        <v>45809</v>
      </c>
      <c r="K52" s="806">
        <f t="shared" si="16"/>
        <v>45778</v>
      </c>
      <c r="L52" s="806">
        <f t="shared" si="16"/>
        <v>45748</v>
      </c>
      <c r="M52" s="806">
        <f t="shared" si="16"/>
        <v>45717</v>
      </c>
      <c r="N52" s="806">
        <f t="shared" si="16"/>
        <v>45689</v>
      </c>
      <c r="O52" s="806">
        <f t="shared" si="16"/>
        <v>45658</v>
      </c>
      <c r="P52" s="3321"/>
      <c r="Q52" s="3321"/>
      <c r="R52" s="3321"/>
      <c r="S52" s="3321"/>
      <c r="T52" s="3321"/>
      <c r="U52" s="3321"/>
      <c r="V52" s="3321"/>
      <c r="W52" s="3321"/>
    </row>
    <row r="53" spans="1:23" s="46" customFormat="1">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4.4">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4.4"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ht="14.4">
      <c r="A57" s="263" t="s">
        <v>1634</v>
      </c>
      <c r="B57" s="323" t="s">
        <v>1600</v>
      </c>
      <c r="C57" s="324">
        <f>C9</f>
        <v>0</v>
      </c>
      <c r="D57" s="325"/>
      <c r="E57" s="325"/>
      <c r="F57" s="325"/>
      <c r="G57" s="325"/>
      <c r="H57" s="325"/>
      <c r="I57" s="325"/>
      <c r="J57" s="325"/>
      <c r="K57" s="326"/>
      <c r="L57" s="327"/>
      <c r="M57" s="328"/>
      <c r="N57" s="630"/>
      <c r="O57" s="630"/>
      <c r="P57" s="3323"/>
      <c r="Q57" s="3320"/>
    </row>
    <row r="58" spans="1:23" ht="14.4" thickBot="1">
      <c r="A58" s="255"/>
      <c r="B58" s="329"/>
      <c r="C58" s="330">
        <v>100</v>
      </c>
      <c r="D58" s="330"/>
      <c r="E58" s="330"/>
      <c r="F58" s="330"/>
      <c r="G58" s="330"/>
      <c r="H58" s="330"/>
      <c r="I58" s="330"/>
      <c r="J58" s="330"/>
      <c r="K58" s="330"/>
      <c r="L58" s="330"/>
      <c r="M58" s="331"/>
      <c r="N58" s="631"/>
      <c r="O58" s="631"/>
      <c r="P58" s="3323"/>
      <c r="Q58" s="3320"/>
    </row>
    <row r="59" spans="1:23" ht="29.4" thickTop="1">
      <c r="A59" s="255"/>
      <c r="B59" s="332" t="s">
        <v>1603</v>
      </c>
      <c r="C59" s="373"/>
      <c r="D59" s="373"/>
      <c r="E59" s="373"/>
      <c r="F59" s="373"/>
      <c r="G59" s="373"/>
      <c r="H59" s="373"/>
      <c r="I59" s="373"/>
      <c r="J59" s="373"/>
      <c r="K59" s="374"/>
      <c r="L59" s="375"/>
      <c r="M59" s="376"/>
      <c r="N59" s="630"/>
      <c r="O59" s="630"/>
      <c r="P59" s="3323"/>
      <c r="Q59" s="3320"/>
    </row>
    <row r="60" spans="1:23" ht="15" thickBot="1">
      <c r="A60" s="255"/>
      <c r="B60" s="337" t="s">
        <v>3902</v>
      </c>
      <c r="C60" s="330"/>
      <c r="D60" s="330"/>
      <c r="E60" s="330"/>
      <c r="F60" s="330"/>
      <c r="G60" s="330"/>
      <c r="H60" s="330"/>
      <c r="I60" s="330"/>
      <c r="J60" s="330"/>
      <c r="K60" s="330"/>
      <c r="L60" s="330"/>
      <c r="M60" s="331"/>
      <c r="N60" s="631"/>
      <c r="O60" s="631"/>
      <c r="P60" s="3323"/>
      <c r="Q60" s="3320"/>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c r="A62" s="255"/>
      <c r="B62" s="342"/>
      <c r="C62" s="343">
        <v>0</v>
      </c>
      <c r="D62" s="343">
        <v>2</v>
      </c>
      <c r="E62" s="343"/>
      <c r="F62" s="343"/>
      <c r="G62" s="343"/>
      <c r="H62" s="343"/>
      <c r="I62" s="343"/>
      <c r="J62" s="343"/>
      <c r="K62" s="344"/>
      <c r="L62" s="345"/>
      <c r="M62" s="346"/>
      <c r="N62" s="630"/>
      <c r="O62" s="630"/>
      <c r="P62" s="3323"/>
      <c r="Q62" s="3320"/>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4.4"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4.4"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4.4"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4.4"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4.4"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4.4"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ht="14.4">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4.4"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4.4"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4.4"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4.4"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4.4"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4.4"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4.4" thickTop="1">
      <c r="A86" s="255"/>
      <c r="B86" s="340">
        <f>B28</f>
        <v>111</v>
      </c>
      <c r="C86" s="20"/>
      <c r="D86" s="20"/>
      <c r="E86" s="20"/>
      <c r="F86" s="20"/>
      <c r="G86" s="377"/>
      <c r="H86" s="377"/>
      <c r="I86" s="377"/>
      <c r="J86" s="377"/>
      <c r="K86" s="378"/>
      <c r="L86" s="379"/>
      <c r="M86" s="380"/>
      <c r="N86" s="630"/>
      <c r="O86" s="630"/>
      <c r="P86" s="3323"/>
      <c r="Q86" s="3320"/>
    </row>
    <row r="87" spans="1:23" ht="14.4" thickBot="1">
      <c r="A87" s="261"/>
      <c r="B87" s="361"/>
      <c r="C87" s="362"/>
      <c r="D87" s="362"/>
      <c r="E87" s="362"/>
      <c r="F87" s="362"/>
      <c r="G87" s="381"/>
      <c r="H87" s="381"/>
      <c r="I87" s="381"/>
      <c r="J87" s="381"/>
      <c r="K87" s="381"/>
      <c r="L87" s="381"/>
      <c r="M87" s="382"/>
      <c r="N87" s="631"/>
      <c r="O87" s="631"/>
      <c r="P87" s="3323"/>
      <c r="Q87" s="3320"/>
    </row>
    <row r="88" spans="1:23" ht="14.4">
      <c r="A88" s="263" t="s">
        <v>1609</v>
      </c>
      <c r="B88" s="323" t="s">
        <v>1651</v>
      </c>
      <c r="C88" s="325"/>
      <c r="D88" s="325"/>
      <c r="E88" s="325"/>
      <c r="F88" s="325"/>
      <c r="G88" s="325"/>
      <c r="H88" s="325"/>
      <c r="I88" s="325"/>
      <c r="J88" s="325"/>
      <c r="K88" s="326"/>
      <c r="L88" s="327"/>
      <c r="M88" s="328"/>
      <c r="N88" s="630"/>
      <c r="O88" s="630"/>
      <c r="P88" s="3323"/>
      <c r="Q88" s="3320"/>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4.4"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28.2"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29.4"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4.4"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4.4"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4.4" thickTop="1">
      <c r="A110" s="281"/>
      <c r="B110" s="332">
        <f>B39</f>
        <v>111</v>
      </c>
      <c r="C110" s="348"/>
      <c r="D110" s="348"/>
      <c r="E110" s="348"/>
      <c r="F110" s="348"/>
      <c r="G110" s="348"/>
      <c r="H110" s="349"/>
      <c r="I110" s="349"/>
      <c r="J110" s="349"/>
      <c r="K110" s="349"/>
      <c r="L110" s="350"/>
      <c r="M110" s="351"/>
      <c r="N110" s="630"/>
      <c r="O110" s="630"/>
      <c r="P110" s="3323"/>
      <c r="Q110" s="3320"/>
    </row>
    <row r="111" spans="1:23" ht="14.4" thickBot="1">
      <c r="A111" s="255"/>
      <c r="B111" s="337"/>
      <c r="C111" s="353"/>
      <c r="D111" s="330"/>
      <c r="E111" s="330"/>
      <c r="F111" s="330"/>
      <c r="G111" s="353"/>
      <c r="H111" s="355"/>
      <c r="I111" s="355"/>
      <c r="J111" s="355"/>
      <c r="K111" s="355"/>
      <c r="L111" s="355"/>
      <c r="M111" s="356"/>
      <c r="N111" s="631"/>
      <c r="O111" s="631"/>
      <c r="P111" s="3323"/>
      <c r="Q111" s="3320"/>
    </row>
    <row r="112" spans="1:23" ht="14.4" thickTop="1">
      <c r="A112" s="281"/>
      <c r="B112" s="340">
        <f>B40</f>
        <v>111</v>
      </c>
      <c r="C112" s="20"/>
      <c r="D112" s="20"/>
      <c r="E112" s="20"/>
      <c r="F112" s="20"/>
      <c r="G112" s="377"/>
      <c r="H112" s="377"/>
      <c r="I112" s="377"/>
      <c r="J112" s="377"/>
      <c r="K112" s="20"/>
      <c r="L112" s="321"/>
      <c r="M112" s="380"/>
      <c r="N112" s="630"/>
      <c r="O112" s="630"/>
      <c r="P112" s="3323"/>
      <c r="Q112" s="3320"/>
    </row>
    <row r="113" spans="1:17" ht="14.4"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6" si="3">D8/F8</f>
        <v>1</v>
      </c>
      <c r="AB8" s="28">
        <f t="shared" ref="AB8:AB36" si="4">D8/H8</f>
        <v>1</v>
      </c>
      <c r="AC8" s="28">
        <f t="shared" ref="AC8:AC36" si="5">D8/J8</f>
        <v>1</v>
      </c>
    </row>
    <row r="9" spans="1:29" s="46" customFormat="1" ht="14.4">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396"/>
      <c r="Q15" s="934"/>
      <c r="R15" s="3920"/>
      <c r="S15" s="3923"/>
      <c r="T15" s="3920"/>
      <c r="U15" s="3923"/>
      <c r="V15" s="3920"/>
      <c r="W15" s="3923"/>
      <c r="X15" s="937"/>
      <c r="Y15" s="4396"/>
      <c r="Z15" s="935"/>
      <c r="AA15" s="935">
        <v>1</v>
      </c>
      <c r="AB15" s="935">
        <v>1</v>
      </c>
      <c r="AC15" s="935">
        <v>1</v>
      </c>
    </row>
    <row r="16" spans="1:29" ht="386.4">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396"/>
      <c r="Q17" s="934"/>
      <c r="R17" s="3920"/>
      <c r="S17" s="3923"/>
      <c r="T17" s="3920"/>
      <c r="U17" s="3923"/>
      <c r="V17" s="3920"/>
      <c r="W17" s="3923"/>
      <c r="X17" s="937"/>
      <c r="Y17" s="4396"/>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396"/>
      <c r="Q19" s="934"/>
      <c r="R19" s="3920"/>
      <c r="S19" s="3923"/>
      <c r="T19" s="3920"/>
      <c r="U19" s="3923"/>
      <c r="V19" s="3920"/>
      <c r="W19" s="3923"/>
      <c r="X19" s="937"/>
      <c r="Y19" s="4396"/>
      <c r="Z19" s="935"/>
      <c r="AA19" s="935">
        <v>1</v>
      </c>
      <c r="AB19" s="935">
        <v>1</v>
      </c>
      <c r="AC19" s="935">
        <v>1</v>
      </c>
    </row>
    <row r="20" spans="1:29" ht="110.4">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396"/>
      <c r="Q21" s="934"/>
      <c r="R21" s="3920"/>
      <c r="S21" s="3923"/>
      <c r="T21" s="3920"/>
      <c r="U21" s="3923"/>
      <c r="V21" s="3920"/>
      <c r="W21" s="3923"/>
      <c r="X21" s="937"/>
      <c r="Y21" s="4396"/>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396"/>
      <c r="Q24" s="934">
        <f t="shared" ref="Q24:Q36"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28"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00"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00"/>
      <c r="Q27" s="484" t="str">
        <f t="shared" si="11"/>
        <v>项目停车位配比</v>
      </c>
      <c r="R27" s="3921" t="s">
        <v>13</v>
      </c>
      <c r="S27" s="3924">
        <f t="shared" si="12"/>
        <v>100</v>
      </c>
      <c r="T27" s="3921" t="s">
        <v>13</v>
      </c>
      <c r="U27" s="3924">
        <f t="shared" si="13"/>
        <v>100</v>
      </c>
      <c r="V27" s="3921" t="s">
        <v>13</v>
      </c>
      <c r="W27" s="3924">
        <f t="shared" si="14"/>
        <v>100</v>
      </c>
      <c r="X27" s="485"/>
      <c r="Y27" s="4400"/>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00"/>
      <c r="Q28" s="934" t="str">
        <f t="shared" si="11"/>
        <v>公共部分装修</v>
      </c>
      <c r="R28" s="3920" t="s">
        <v>13</v>
      </c>
      <c r="S28" s="3923">
        <f t="shared" si="12"/>
        <v>100</v>
      </c>
      <c r="T28" s="3920" t="s">
        <v>13</v>
      </c>
      <c r="U28" s="3923">
        <f t="shared" si="13"/>
        <v>100</v>
      </c>
      <c r="V28" s="3920" t="s">
        <v>13</v>
      </c>
      <c r="W28" s="3923">
        <f t="shared" si="14"/>
        <v>100</v>
      </c>
      <c r="X28" s="937"/>
      <c r="Y28" s="4400"/>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00"/>
      <c r="Q29" s="934" t="str">
        <f t="shared" si="11"/>
        <v>成新率</v>
      </c>
      <c r="R29" s="3920" t="s">
        <v>13</v>
      </c>
      <c r="S29" s="3923" t="e">
        <f t="shared" si="12"/>
        <v>#N/A</v>
      </c>
      <c r="T29" s="3920" t="s">
        <v>13</v>
      </c>
      <c r="U29" s="3923" t="e">
        <f t="shared" si="13"/>
        <v>#N/A</v>
      </c>
      <c r="V29" s="3920" t="s">
        <v>13</v>
      </c>
      <c r="W29" s="3923" t="e">
        <f t="shared" si="14"/>
        <v>#N/A</v>
      </c>
      <c r="X29" s="937"/>
      <c r="Y29" s="4400"/>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00"/>
      <c r="Q30" s="934" t="str">
        <f t="shared" si="11"/>
        <v>物业等级</v>
      </c>
      <c r="R30" s="3920" t="s">
        <v>13</v>
      </c>
      <c r="S30" s="3923">
        <f t="shared" si="12"/>
        <v>100</v>
      </c>
      <c r="T30" s="3920" t="s">
        <v>13</v>
      </c>
      <c r="U30" s="3923">
        <f t="shared" si="13"/>
        <v>100</v>
      </c>
      <c r="V30" s="3920" t="s">
        <v>13</v>
      </c>
      <c r="W30" s="3923">
        <f t="shared" si="14"/>
        <v>100</v>
      </c>
      <c r="X30" s="937"/>
      <c r="Y30" s="4400"/>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00"/>
      <c r="Q31" s="390" t="str">
        <f t="shared" si="11"/>
        <v>停车位面积</v>
      </c>
      <c r="R31" s="3919" t="s">
        <v>13</v>
      </c>
      <c r="S31" s="3922" t="e">
        <f t="shared" si="12"/>
        <v>#N/A</v>
      </c>
      <c r="T31" s="3919" t="s">
        <v>13</v>
      </c>
      <c r="U31" s="3922" t="e">
        <f t="shared" si="13"/>
        <v>#N/A</v>
      </c>
      <c r="V31" s="3919" t="s">
        <v>13</v>
      </c>
      <c r="W31" s="3922" t="e">
        <f t="shared" si="14"/>
        <v>#N/A</v>
      </c>
      <c r="X31" s="483"/>
      <c r="Y31" s="4400"/>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00" t="s">
        <v>1611</v>
      </c>
      <c r="Q32" s="934" t="str">
        <f t="shared" si="11"/>
        <v>车位类型</v>
      </c>
      <c r="R32" s="3920" t="s">
        <v>13</v>
      </c>
      <c r="S32" s="3923">
        <f t="shared" si="12"/>
        <v>100</v>
      </c>
      <c r="T32" s="3920" t="s">
        <v>13</v>
      </c>
      <c r="U32" s="3923">
        <f t="shared" si="13"/>
        <v>100</v>
      </c>
      <c r="V32" s="3920" t="s">
        <v>13</v>
      </c>
      <c r="W32" s="3923">
        <f t="shared" si="14"/>
        <v>100</v>
      </c>
      <c r="X32" s="937"/>
      <c r="Y32" s="4400"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00"/>
      <c r="Q33" s="934" t="str">
        <f t="shared" si="11"/>
        <v>是否直接入户</v>
      </c>
      <c r="R33" s="3920" t="s">
        <v>13</v>
      </c>
      <c r="S33" s="3923">
        <f t="shared" si="12"/>
        <v>100</v>
      </c>
      <c r="T33" s="3920" t="s">
        <v>13</v>
      </c>
      <c r="U33" s="3923">
        <f t="shared" si="13"/>
        <v>100</v>
      </c>
      <c r="V33" s="3920" t="s">
        <v>13</v>
      </c>
      <c r="W33" s="3923">
        <f t="shared" si="14"/>
        <v>100</v>
      </c>
      <c r="X33" s="937"/>
      <c r="Y33" s="4400"/>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00"/>
      <c r="Q35" s="484">
        <f t="shared" si="11"/>
        <v>111</v>
      </c>
      <c r="R35" s="3921" t="s">
        <v>13</v>
      </c>
      <c r="S35" s="3924">
        <f t="shared" si="12"/>
        <v>100</v>
      </c>
      <c r="T35" s="3921" t="s">
        <v>13</v>
      </c>
      <c r="U35" s="3924">
        <f t="shared" si="13"/>
        <v>100</v>
      </c>
      <c r="V35" s="3921" t="s">
        <v>13</v>
      </c>
      <c r="W35" s="3924">
        <f t="shared" si="14"/>
        <v>100</v>
      </c>
      <c r="X35" s="485"/>
      <c r="Y35" s="4400"/>
      <c r="Z35" s="486">
        <f t="shared" si="15"/>
        <v>111</v>
      </c>
      <c r="AA35" s="935">
        <f t="shared" si="3"/>
        <v>1</v>
      </c>
      <c r="AB35" s="935">
        <f t="shared" si="4"/>
        <v>1</v>
      </c>
      <c r="AC35" s="935">
        <f t="shared" si="5"/>
        <v>1</v>
      </c>
    </row>
    <row r="36" spans="1:29" ht="15.6"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00"/>
      <c r="Q36" s="934">
        <f t="shared" si="11"/>
        <v>111</v>
      </c>
      <c r="R36" s="3920" t="s">
        <v>13</v>
      </c>
      <c r="S36" s="3923">
        <f t="shared" si="12"/>
        <v>100</v>
      </c>
      <c r="T36" s="3920" t="s">
        <v>13</v>
      </c>
      <c r="U36" s="3923">
        <f t="shared" si="13"/>
        <v>100</v>
      </c>
      <c r="V36" s="3920" t="s">
        <v>13</v>
      </c>
      <c r="W36" s="3923">
        <f t="shared" si="14"/>
        <v>100</v>
      </c>
      <c r="X36" s="937"/>
      <c r="Y36" s="4400"/>
      <c r="Z36" s="935">
        <f t="shared" si="15"/>
        <v>111</v>
      </c>
      <c r="AA36" s="935">
        <f t="shared" si="3"/>
        <v>1</v>
      </c>
      <c r="AB36" s="935">
        <f t="shared" si="4"/>
        <v>1</v>
      </c>
      <c r="AC36" s="935">
        <f t="shared" si="5"/>
        <v>1</v>
      </c>
    </row>
    <row r="37" spans="1:29" ht="14.4">
      <c r="A37" s="287" t="s">
        <v>1759</v>
      </c>
      <c r="B37" s="1453" t="s">
        <v>3240</v>
      </c>
      <c r="C37" s="789" t="s">
        <v>0</v>
      </c>
      <c r="D37" s="289"/>
      <c r="E37" s="3344"/>
      <c r="F37" s="3283"/>
      <c r="G37" s="3345"/>
      <c r="H37" s="3284"/>
      <c r="I37" s="3344"/>
      <c r="J37" s="3284"/>
      <c r="K37" s="3346"/>
      <c r="L37" s="2016"/>
      <c r="M37" s="2009"/>
      <c r="N37" s="2009"/>
      <c r="O37" s="2009"/>
      <c r="P37" s="4524" t="str">
        <f>A37</f>
        <v>成交单价</v>
      </c>
      <c r="Q37" s="4524"/>
      <c r="R37" s="4518">
        <f>E37</f>
        <v>0</v>
      </c>
      <c r="S37" s="4518"/>
      <c r="T37" s="4518">
        <f>G37</f>
        <v>0</v>
      </c>
      <c r="U37" s="4518"/>
      <c r="V37" s="4518">
        <f>I37</f>
        <v>0</v>
      </c>
      <c r="W37" s="4518"/>
      <c r="X37" s="266"/>
      <c r="Y37" s="487"/>
      <c r="Z37" s="266"/>
      <c r="AA37" s="266"/>
      <c r="AB37" s="266"/>
      <c r="AC37" s="266"/>
    </row>
    <row r="38" spans="1:29" ht="1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24" t="str">
        <f>A38</f>
        <v>比较价值（元/平方米）</v>
      </c>
      <c r="Q38" s="4524"/>
      <c r="R38" s="4518" t="e">
        <f>IF(F1="售价",ROUND(PRODUCT(R37,AA7:AA36),0),ROUND(PRODUCT(R37,AA7:AA36),1))</f>
        <v>#DIV/0!</v>
      </c>
      <c r="S38" s="4518"/>
      <c r="T38" s="4518" t="e">
        <f>IF(F1="售价",ROUND(PRODUCT(T37,AB7:AB36),0),ROUND(PRODUCT(T37,AB7:AB36),1))</f>
        <v>#DIV/0!</v>
      </c>
      <c r="U38" s="4518"/>
      <c r="V38" s="4518" t="e">
        <f>IF(F1="售价",ROUND(PRODUCT(V37,AC7:AC36),0),ROUND(PRODUCT(V37,AC7:AC36),1))</f>
        <v>#DIV/0!</v>
      </c>
      <c r="W38" s="4518"/>
      <c r="X38" s="266"/>
      <c r="Y38" s="266"/>
      <c r="Z38" s="266"/>
      <c r="AA38" s="266"/>
      <c r="AB38" s="266"/>
      <c r="AC38" s="266"/>
    </row>
    <row r="39" spans="1:29" ht="15" thickBot="1">
      <c r="A39" s="292" t="s">
        <v>1761</v>
      </c>
      <c r="B39" s="293"/>
      <c r="C39" s="3898" t="e">
        <f>R39</f>
        <v>#DIV/0!</v>
      </c>
      <c r="D39" s="242"/>
      <c r="E39" s="242"/>
      <c r="F39" s="242"/>
      <c r="G39" s="242"/>
      <c r="H39" s="242"/>
      <c r="I39" s="242"/>
      <c r="J39" s="242"/>
      <c r="K39" s="400"/>
      <c r="L39" s="2016"/>
      <c r="M39" s="2009"/>
      <c r="N39" s="2009"/>
      <c r="O39" s="2009"/>
      <c r="P39" s="4525" t="str">
        <f>A39</f>
        <v>估价对象XX用房的比较价值（楼面单价，元/平方米）</v>
      </c>
      <c r="Q39" s="4526"/>
      <c r="R39" s="4527" t="e">
        <f>IF(F1="售价",ROUND(IF(D38="简单平均",AVERAGE(R38:W38),R38*F38+T38*H38+V38*J38),0),ROUND(IF(D38="简单平均",AVERAGE(R38:V38),R38*F38+T38*H38+V38*J38),1))</f>
        <v>#DIV/0!</v>
      </c>
      <c r="S39" s="4527"/>
      <c r="T39" s="4527"/>
      <c r="U39" s="4527"/>
      <c r="V39" s="4527"/>
      <c r="W39" s="4527"/>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2.2"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4.4">
      <c r="A48" s="304" t="s">
        <v>1766</v>
      </c>
      <c r="B48" s="305"/>
      <c r="C48" s="805" t="str">
        <f>YEAR(C7)&amp;"-"&amp;MONTH(C7)</f>
        <v>2026-1</v>
      </c>
      <c r="D48" s="806">
        <f>EDATE(C48,-1)</f>
        <v>45992</v>
      </c>
      <c r="E48" s="806">
        <f t="shared" ref="E48:O48" si="16">EDATE(D48,-1)</f>
        <v>45962</v>
      </c>
      <c r="F48" s="806">
        <f t="shared" si="16"/>
        <v>45931</v>
      </c>
      <c r="G48" s="806">
        <f t="shared" si="16"/>
        <v>45901</v>
      </c>
      <c r="H48" s="806">
        <f t="shared" si="16"/>
        <v>45870</v>
      </c>
      <c r="I48" s="806">
        <f t="shared" si="16"/>
        <v>45839</v>
      </c>
      <c r="J48" s="806">
        <f t="shared" si="16"/>
        <v>45809</v>
      </c>
      <c r="K48" s="806">
        <f t="shared" si="16"/>
        <v>45778</v>
      </c>
      <c r="L48" s="806">
        <f t="shared" si="16"/>
        <v>45748</v>
      </c>
      <c r="M48" s="806">
        <f t="shared" si="16"/>
        <v>45717</v>
      </c>
      <c r="N48" s="806">
        <f t="shared" si="16"/>
        <v>45689</v>
      </c>
      <c r="O48" s="806">
        <f t="shared" si="16"/>
        <v>45658</v>
      </c>
      <c r="P48" s="2049"/>
      <c r="Q48" s="2032"/>
      <c r="R48" s="2032"/>
      <c r="S48" s="2032"/>
      <c r="T48" s="2032"/>
      <c r="U48" s="2032"/>
      <c r="V48" s="2032"/>
      <c r="W48" s="2032"/>
      <c r="X48" s="2032"/>
      <c r="Y48" s="2032"/>
      <c r="Z48" s="2032"/>
      <c r="AA48" s="2032"/>
      <c r="AB48" s="2032"/>
      <c r="AC48" s="2032"/>
    </row>
    <row r="49" spans="1:29" s="46" customFormat="1">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4.4">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4.4"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ht="14.4">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4.4"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9.4"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4.4"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4.4"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4.4"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4.4"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4.4"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4.4"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4.4"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4.4"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4.4"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4.4"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4.4"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4.4"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9.4"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4.4"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28.2"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4.4"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4.4"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4.4"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4.4"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4.4"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4.4"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4" si="3">D8/F8</f>
        <v>1</v>
      </c>
      <c r="AB8" s="28">
        <f t="shared" ref="AB8:AB34" si="4">D8/H8</f>
        <v>1</v>
      </c>
      <c r="AC8" s="28">
        <f t="shared" ref="AC8:AC34" si="5">D8/J8</f>
        <v>1</v>
      </c>
    </row>
    <row r="9" spans="1:29" s="46" customFormat="1" ht="14.4">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396"/>
      <c r="Q15" s="934"/>
      <c r="R15" s="3920"/>
      <c r="S15" s="3923"/>
      <c r="T15" s="3920"/>
      <c r="U15" s="3923"/>
      <c r="V15" s="3920"/>
      <c r="W15" s="3923"/>
      <c r="X15" s="937"/>
      <c r="Y15" s="4396"/>
      <c r="Z15" s="935"/>
      <c r="AA15" s="935">
        <v>1</v>
      </c>
      <c r="AB15" s="935">
        <v>1</v>
      </c>
      <c r="AC15" s="935">
        <v>1</v>
      </c>
    </row>
    <row r="16" spans="1:29" ht="386.4">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396"/>
      <c r="Q17" s="934"/>
      <c r="R17" s="3920"/>
      <c r="S17" s="3923"/>
      <c r="T17" s="3920"/>
      <c r="U17" s="3923"/>
      <c r="V17" s="3920"/>
      <c r="W17" s="3923"/>
      <c r="X17" s="937"/>
      <c r="Y17" s="4396"/>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396"/>
      <c r="Q19" s="934"/>
      <c r="R19" s="3920"/>
      <c r="S19" s="3923"/>
      <c r="T19" s="3920"/>
      <c r="U19" s="3923"/>
      <c r="V19" s="3920"/>
      <c r="W19" s="3923"/>
      <c r="X19" s="937"/>
      <c r="Y19" s="4396"/>
      <c r="Z19" s="935"/>
      <c r="AA19" s="935">
        <v>1</v>
      </c>
      <c r="AB19" s="935">
        <v>1</v>
      </c>
      <c r="AC19" s="935">
        <v>1</v>
      </c>
    </row>
    <row r="20" spans="1:29" ht="110.4">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396"/>
      <c r="Q21" s="934"/>
      <c r="R21" s="3920"/>
      <c r="S21" s="3923"/>
      <c r="T21" s="3920"/>
      <c r="U21" s="3923"/>
      <c r="V21" s="3920"/>
      <c r="W21" s="3923"/>
      <c r="X21" s="937"/>
      <c r="Y21" s="4396"/>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396"/>
      <c r="Q24" s="934">
        <f t="shared" ref="Q24:Q34"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28"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00"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00"/>
      <c r="Q27" s="484" t="str">
        <f t="shared" si="11"/>
        <v>成新率</v>
      </c>
      <c r="R27" s="3921" t="s">
        <v>13</v>
      </c>
      <c r="S27" s="3924" t="e">
        <f t="shared" si="12"/>
        <v>#N/A</v>
      </c>
      <c r="T27" s="3921" t="s">
        <v>13</v>
      </c>
      <c r="U27" s="3924" t="e">
        <f t="shared" si="13"/>
        <v>#N/A</v>
      </c>
      <c r="V27" s="3921" t="s">
        <v>13</v>
      </c>
      <c r="W27" s="3924" t="e">
        <f t="shared" si="14"/>
        <v>#N/A</v>
      </c>
      <c r="X27" s="485"/>
      <c r="Y27" s="4400"/>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00"/>
      <c r="Q28" s="934" t="str">
        <f t="shared" si="11"/>
        <v>物业等级</v>
      </c>
      <c r="R28" s="3920" t="s">
        <v>13</v>
      </c>
      <c r="S28" s="3923">
        <f t="shared" si="12"/>
        <v>100</v>
      </c>
      <c r="T28" s="3920" t="s">
        <v>13</v>
      </c>
      <c r="U28" s="3923">
        <f t="shared" si="13"/>
        <v>100</v>
      </c>
      <c r="V28" s="3920" t="s">
        <v>13</v>
      </c>
      <c r="W28" s="3923">
        <f t="shared" si="14"/>
        <v>100</v>
      </c>
      <c r="X28" s="937"/>
      <c r="Y28" s="4400"/>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00"/>
      <c r="Q29" s="934" t="str">
        <f t="shared" si="11"/>
        <v>有无电梯</v>
      </c>
      <c r="R29" s="3920" t="s">
        <v>13</v>
      </c>
      <c r="S29" s="3923">
        <f t="shared" si="12"/>
        <v>100</v>
      </c>
      <c r="T29" s="3920" t="s">
        <v>13</v>
      </c>
      <c r="U29" s="3923">
        <f t="shared" si="13"/>
        <v>100</v>
      </c>
      <c r="V29" s="3920" t="s">
        <v>13</v>
      </c>
      <c r="W29" s="3923">
        <f t="shared" si="14"/>
        <v>100</v>
      </c>
      <c r="X29" s="937"/>
      <c r="Y29" s="4400"/>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00"/>
      <c r="Q30" s="934" t="str">
        <f t="shared" si="11"/>
        <v>建筑面积</v>
      </c>
      <c r="R30" s="3920" t="s">
        <v>13</v>
      </c>
      <c r="S30" s="3923" t="e">
        <f t="shared" si="12"/>
        <v>#N/A</v>
      </c>
      <c r="T30" s="3920" t="s">
        <v>13</v>
      </c>
      <c r="U30" s="3923" t="e">
        <f t="shared" si="13"/>
        <v>#N/A</v>
      </c>
      <c r="V30" s="3920" t="s">
        <v>13</v>
      </c>
      <c r="W30" s="3923" t="e">
        <f t="shared" si="14"/>
        <v>#N/A</v>
      </c>
      <c r="X30" s="937"/>
      <c r="Y30" s="4400"/>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00"/>
      <c r="Q31" s="390" t="str">
        <f t="shared" si="11"/>
        <v>是否封闭</v>
      </c>
      <c r="R31" s="3919" t="s">
        <v>13</v>
      </c>
      <c r="S31" s="3922">
        <f t="shared" si="12"/>
        <v>100</v>
      </c>
      <c r="T31" s="3919" t="s">
        <v>13</v>
      </c>
      <c r="U31" s="3922">
        <f t="shared" si="13"/>
        <v>100</v>
      </c>
      <c r="V31" s="3919" t="s">
        <v>13</v>
      </c>
      <c r="W31" s="3922">
        <f t="shared" si="14"/>
        <v>100</v>
      </c>
      <c r="X31" s="483"/>
      <c r="Y31" s="4400"/>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00" t="s">
        <v>1611</v>
      </c>
      <c r="Q32" s="934">
        <f t="shared" si="11"/>
        <v>111</v>
      </c>
      <c r="R32" s="3920" t="s">
        <v>13</v>
      </c>
      <c r="S32" s="3923">
        <f t="shared" si="12"/>
        <v>100</v>
      </c>
      <c r="T32" s="3920" t="s">
        <v>13</v>
      </c>
      <c r="U32" s="3923">
        <f t="shared" si="13"/>
        <v>100</v>
      </c>
      <c r="V32" s="3920" t="s">
        <v>13</v>
      </c>
      <c r="W32" s="3923">
        <f t="shared" si="14"/>
        <v>100</v>
      </c>
      <c r="X32" s="937"/>
      <c r="Y32" s="4400"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00"/>
      <c r="Q33" s="934">
        <f t="shared" si="11"/>
        <v>111</v>
      </c>
      <c r="R33" s="3920" t="s">
        <v>13</v>
      </c>
      <c r="S33" s="3923">
        <f t="shared" si="12"/>
        <v>100</v>
      </c>
      <c r="T33" s="3920" t="s">
        <v>13</v>
      </c>
      <c r="U33" s="3923">
        <f t="shared" si="13"/>
        <v>100</v>
      </c>
      <c r="V33" s="3920" t="s">
        <v>13</v>
      </c>
      <c r="W33" s="3923">
        <f t="shared" si="14"/>
        <v>100</v>
      </c>
      <c r="X33" s="937"/>
      <c r="Y33" s="4400"/>
      <c r="Z33" s="935">
        <f t="shared" si="15"/>
        <v>111</v>
      </c>
      <c r="AA33" s="935">
        <f t="shared" si="3"/>
        <v>1</v>
      </c>
      <c r="AB33" s="935">
        <f t="shared" si="4"/>
        <v>1</v>
      </c>
      <c r="AC33" s="935">
        <f t="shared" si="5"/>
        <v>1</v>
      </c>
    </row>
    <row r="34" spans="1:30" ht="15.6"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30" ht="14.4">
      <c r="A35" s="287" t="s">
        <v>1623</v>
      </c>
      <c r="B35" s="288"/>
      <c r="C35" s="789" t="s">
        <v>0</v>
      </c>
      <c r="D35" s="289"/>
      <c r="E35" s="3344"/>
      <c r="F35" s="3283"/>
      <c r="G35" s="3345"/>
      <c r="H35" s="3284"/>
      <c r="I35" s="3344"/>
      <c r="J35" s="3284"/>
      <c r="K35" s="2956"/>
      <c r="L35" s="2016"/>
      <c r="M35" s="2009"/>
      <c r="N35" s="2009"/>
      <c r="O35" s="2009"/>
      <c r="P35" s="4524" t="str">
        <f>A35</f>
        <v>成交单价（元/平方米）</v>
      </c>
      <c r="Q35" s="4524"/>
      <c r="R35" s="4518">
        <f>E35</f>
        <v>0</v>
      </c>
      <c r="S35" s="4518"/>
      <c r="T35" s="4518">
        <f>G35</f>
        <v>0</v>
      </c>
      <c r="U35" s="4518"/>
      <c r="V35" s="4518">
        <f>I35</f>
        <v>0</v>
      </c>
      <c r="W35" s="4518"/>
      <c r="X35" s="266"/>
      <c r="Y35" s="487"/>
      <c r="Z35" s="266"/>
      <c r="AA35" s="266"/>
      <c r="AB35" s="266"/>
      <c r="AC35" s="266"/>
    </row>
    <row r="36" spans="1:30" ht="1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24" t="str">
        <f>A36</f>
        <v>比较价值（元/平方米）</v>
      </c>
      <c r="Q36" s="4524"/>
      <c r="R36" s="4518" t="e">
        <f>IF(F1="售价",ROUND(PRODUCT(R35,AA7:AA34),0),ROUND(PRODUCT(R35,AA7:AA34),1))</f>
        <v>#DIV/0!</v>
      </c>
      <c r="S36" s="4518"/>
      <c r="T36" s="4518" t="e">
        <f>IF(F1="售价",ROUND(PRODUCT(T35,AB7:AB34),0),ROUND(PRODUCT(T35,AB7:AB34),1))</f>
        <v>#DIV/0!</v>
      </c>
      <c r="U36" s="4518"/>
      <c r="V36" s="4518" t="e">
        <f>IF(F1="售价",ROUND(PRODUCT(V35,AC7:AC34),0),ROUND(PRODUCT(V35,AC7:AC34),1))</f>
        <v>#DIV/0!</v>
      </c>
      <c r="W36" s="4518"/>
      <c r="X36" s="266"/>
      <c r="Y36" s="266"/>
      <c r="Z36" s="266"/>
      <c r="AA36" s="266"/>
      <c r="AB36" s="266"/>
      <c r="AC36" s="266"/>
    </row>
    <row r="37" spans="1:30" ht="15" thickBot="1">
      <c r="A37" s="292" t="s">
        <v>1709</v>
      </c>
      <c r="B37" s="293"/>
      <c r="C37" s="3898" t="e">
        <f>R37</f>
        <v>#DIV/0!</v>
      </c>
      <c r="D37" s="242"/>
      <c r="E37" s="242"/>
      <c r="F37" s="242"/>
      <c r="G37" s="242"/>
      <c r="H37" s="242"/>
      <c r="I37" s="242"/>
      <c r="J37" s="242"/>
      <c r="K37" s="488"/>
      <c r="L37" s="2016"/>
      <c r="M37" s="2009"/>
      <c r="N37" s="2009"/>
      <c r="O37" s="2009"/>
      <c r="P37" s="4525" t="str">
        <f>A37</f>
        <v>估价对象XX用房的比较价值（楼面单价，元/平方米）</v>
      </c>
      <c r="Q37" s="4526"/>
      <c r="R37" s="4527" t="e">
        <f>IF(F1="售价",ROUND(IF(D36="简单平均",AVERAGE(R36:W36),R36*F36+T36*H36+V36*J36),0),ROUND(IF(D36="简单平均",AVERAGE(R36:V36),R36*F36+T36*H36+V36*J36),1))</f>
        <v>#DIV/0!</v>
      </c>
      <c r="S37" s="4527"/>
      <c r="T37" s="4527"/>
      <c r="U37" s="4527"/>
      <c r="V37" s="4527"/>
      <c r="W37" s="4527"/>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2.2"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4.4">
      <c r="A46" s="304" t="s">
        <v>1594</v>
      </c>
      <c r="B46" s="305"/>
      <c r="C46" s="805" t="str">
        <f>YEAR(C7)&amp;"-"&amp;MONTH(C7)</f>
        <v>2026-1</v>
      </c>
      <c r="D46" s="806">
        <f>EDATE(C46,-1)</f>
        <v>45992</v>
      </c>
      <c r="E46" s="806">
        <f t="shared" ref="E46:O46" si="16">EDATE(D46,-1)</f>
        <v>45962</v>
      </c>
      <c r="F46" s="806">
        <f t="shared" si="16"/>
        <v>45931</v>
      </c>
      <c r="G46" s="806">
        <f t="shared" si="16"/>
        <v>45901</v>
      </c>
      <c r="H46" s="806">
        <f t="shared" si="16"/>
        <v>45870</v>
      </c>
      <c r="I46" s="806">
        <f t="shared" si="16"/>
        <v>45839</v>
      </c>
      <c r="J46" s="806">
        <f t="shared" si="16"/>
        <v>45809</v>
      </c>
      <c r="K46" s="806">
        <f t="shared" si="16"/>
        <v>45778</v>
      </c>
      <c r="L46" s="806">
        <f t="shared" si="16"/>
        <v>45748</v>
      </c>
      <c r="M46" s="806">
        <f t="shared" si="16"/>
        <v>45717</v>
      </c>
      <c r="N46" s="806">
        <f t="shared" si="16"/>
        <v>45689</v>
      </c>
      <c r="O46" s="806">
        <f t="shared" si="16"/>
        <v>45658</v>
      </c>
      <c r="P46" s="2032"/>
      <c r="Q46" s="2032"/>
      <c r="R46" s="2032"/>
      <c r="S46" s="2032"/>
      <c r="T46" s="2032"/>
      <c r="U46" s="2032"/>
      <c r="V46" s="2032"/>
      <c r="W46" s="2032"/>
      <c r="X46" s="2032"/>
      <c r="Y46" s="2032"/>
      <c r="Z46" s="2032"/>
      <c r="AA46" s="2032"/>
      <c r="AB46" s="2032"/>
      <c r="AC46" s="2032"/>
      <c r="AD46" s="2032"/>
    </row>
    <row r="47" spans="1:30" s="46" customFormat="1">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4.4">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4.4"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ht="14.4">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4.4"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9.4"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4.4"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4.4"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4.4"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4.4"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4.4"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4.4"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9.4"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4.4"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4.4"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4.4"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4.4"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4.4"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4.4"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4.4"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28.2"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4.4"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4.4"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4.4"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4.4"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4.4"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4.4"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4.4"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4.4"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4.4"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8"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4.4">
      <c r="A6" s="236" t="s">
        <v>1684</v>
      </c>
      <c r="B6" s="237"/>
      <c r="C6" s="4497" t="s">
        <v>1685</v>
      </c>
      <c r="D6" s="4498"/>
      <c r="E6" s="4499" t="s">
        <v>1686</v>
      </c>
      <c r="F6" s="4500"/>
      <c r="G6" s="4497" t="s">
        <v>1687</v>
      </c>
      <c r="H6" s="4498"/>
      <c r="I6" s="4497" t="s">
        <v>1688</v>
      </c>
      <c r="J6" s="4498"/>
      <c r="K6" s="2957"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239"/>
      <c r="B7" s="240"/>
      <c r="C7" s="4509" t="s">
        <v>1588</v>
      </c>
      <c r="D7" s="4510"/>
      <c r="E7" s="4516" t="s">
        <v>1589</v>
      </c>
      <c r="F7" s="4517"/>
      <c r="G7" s="4509" t="s">
        <v>1590</v>
      </c>
      <c r="H7" s="4510"/>
      <c r="I7" s="4509" t="s">
        <v>1591</v>
      </c>
      <c r="J7" s="4510"/>
      <c r="K7" s="2957"/>
      <c r="L7" s="2008"/>
      <c r="M7" s="2009"/>
      <c r="N7" s="2009"/>
      <c r="O7" s="2009"/>
      <c r="P7" s="4503"/>
      <c r="Q7" s="4413"/>
      <c r="R7" s="4418"/>
      <c r="S7" s="4419"/>
      <c r="T7" s="4418"/>
      <c r="U7" s="4419"/>
      <c r="V7" s="4423"/>
      <c r="W7" s="4423"/>
      <c r="X7" s="937"/>
      <c r="Y7" s="4434"/>
      <c r="Z7" s="4435"/>
      <c r="AA7" s="4444"/>
      <c r="AB7" s="4444"/>
      <c r="AC7" s="4444"/>
    </row>
    <row r="8" spans="1:29" ht="15" thickBot="1">
      <c r="A8" s="241"/>
      <c r="B8" s="242"/>
      <c r="C8" s="4507" t="s">
        <v>1592</v>
      </c>
      <c r="D8" s="4508"/>
      <c r="E8" s="4514" t="s">
        <v>1592</v>
      </c>
      <c r="F8" s="4515"/>
      <c r="G8" s="4507" t="s">
        <v>1592</v>
      </c>
      <c r="H8" s="4508"/>
      <c r="I8" s="4507" t="s">
        <v>1592</v>
      </c>
      <c r="J8" s="4508"/>
      <c r="K8" s="2957"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11" t="s">
        <v>1598</v>
      </c>
      <c r="Q10" s="4429"/>
      <c r="R10" s="3912" t="s">
        <v>13</v>
      </c>
      <c r="S10" s="3693">
        <f t="shared" si="0"/>
        <v>100</v>
      </c>
      <c r="T10" s="3912" t="s">
        <v>13</v>
      </c>
      <c r="U10" s="3693">
        <f t="shared" si="1"/>
        <v>100</v>
      </c>
      <c r="V10" s="3912" t="s">
        <v>13</v>
      </c>
      <c r="W10" s="3693">
        <f t="shared" si="2"/>
        <v>100</v>
      </c>
      <c r="X10" s="483"/>
      <c r="Y10" s="4430" t="s">
        <v>1598</v>
      </c>
      <c r="Z10" s="4431"/>
      <c r="AA10" s="28">
        <f t="shared" ref="AA10:AA47" si="3">D10/F10</f>
        <v>1</v>
      </c>
      <c r="AB10" s="28">
        <f t="shared" ref="AB10:AB47" si="4">D10/H10</f>
        <v>1</v>
      </c>
      <c r="AC10" s="28">
        <f t="shared" ref="AC10:AC47" si="5">D10/J10</f>
        <v>1</v>
      </c>
    </row>
    <row r="11" spans="1:29" s="46" customFormat="1" ht="14.4">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60"/>
      <c r="F12" s="3884">
        <f>ROUND(100/'数据-取费表'!G16,1)</f>
        <v>141.6</v>
      </c>
      <c r="G12" s="2966"/>
      <c r="H12" s="3884">
        <f>ROUND(100/'数据-取费表'!G16,1)</f>
        <v>141.6</v>
      </c>
      <c r="I12" s="2966"/>
      <c r="J12" s="3884">
        <f>ROUND(100/'数据-取费表'!G16,1)</f>
        <v>141.6</v>
      </c>
      <c r="K12" s="325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388"/>
      <c r="Q14" s="1732" t="str">
        <f t="shared" si="6"/>
        <v>配建</v>
      </c>
      <c r="R14" s="3912" t="s">
        <v>13</v>
      </c>
      <c r="S14" s="3693">
        <f t="shared" si="0"/>
        <v>100</v>
      </c>
      <c r="T14" s="3912" t="s">
        <v>13</v>
      </c>
      <c r="U14" s="3693">
        <f t="shared" si="1"/>
        <v>100</v>
      </c>
      <c r="V14" s="3912" t="s">
        <v>13</v>
      </c>
      <c r="W14" s="3693">
        <f t="shared" si="2"/>
        <v>100</v>
      </c>
      <c r="X14" s="483"/>
      <c r="Y14" s="4402"/>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D15/F15</f>
        <v>1</v>
      </c>
      <c r="AB15" s="28">
        <f>D15/H15</f>
        <v>1</v>
      </c>
      <c r="AC15" s="28">
        <f>D15/J15</f>
        <v>1</v>
      </c>
    </row>
    <row r="16" spans="1:29" ht="15.6"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9" t="s">
        <v>1606</v>
      </c>
      <c r="Q17" s="1534" t="str">
        <f t="shared" si="6"/>
        <v>居住社区成熟度</v>
      </c>
      <c r="R17" s="3913" t="s">
        <v>13</v>
      </c>
      <c r="S17" s="3915">
        <f t="shared" si="0"/>
        <v>100</v>
      </c>
      <c r="T17" s="3913" t="s">
        <v>13</v>
      </c>
      <c r="U17" s="3915">
        <f t="shared" si="1"/>
        <v>100</v>
      </c>
      <c r="V17" s="3913" t="s">
        <v>13</v>
      </c>
      <c r="W17" s="3915">
        <f t="shared" si="2"/>
        <v>100</v>
      </c>
      <c r="X17" s="937"/>
      <c r="Y17" s="4395"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20"/>
      <c r="Q19" s="1534" t="str">
        <f>B19</f>
        <v>商业繁华度</v>
      </c>
      <c r="R19" s="3913" t="s">
        <v>13</v>
      </c>
      <c r="S19" s="3915">
        <f>F19</f>
        <v>100</v>
      </c>
      <c r="T19" s="3913" t="s">
        <v>13</v>
      </c>
      <c r="U19" s="3915">
        <f>H19</f>
        <v>100</v>
      </c>
      <c r="V19" s="3913" t="s">
        <v>13</v>
      </c>
      <c r="W19" s="3915">
        <f>J19</f>
        <v>100</v>
      </c>
      <c r="X19" s="937"/>
      <c r="Y19" s="4396"/>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20"/>
      <c r="Q20" s="1534"/>
      <c r="R20" s="3913"/>
      <c r="S20" s="3915"/>
      <c r="T20" s="3913"/>
      <c r="U20" s="3915"/>
      <c r="V20" s="3913"/>
      <c r="W20" s="3915"/>
      <c r="X20" s="937"/>
      <c r="Y20" s="4396"/>
      <c r="Z20" s="935"/>
      <c r="AA20" s="935">
        <v>1</v>
      </c>
      <c r="AB20" s="935">
        <v>1</v>
      </c>
      <c r="AC20" s="935">
        <v>1</v>
      </c>
    </row>
    <row r="21" spans="1:29" ht="96.6">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20"/>
      <c r="Q21" s="1534" t="str">
        <f>B21</f>
        <v>办公集聚程度</v>
      </c>
      <c r="R21" s="3913" t="s">
        <v>13</v>
      </c>
      <c r="S21" s="3915">
        <f>F21</f>
        <v>100</v>
      </c>
      <c r="T21" s="3913" t="s">
        <v>13</v>
      </c>
      <c r="U21" s="3915">
        <f>H21</f>
        <v>100</v>
      </c>
      <c r="V21" s="3913" t="s">
        <v>13</v>
      </c>
      <c r="W21" s="3915">
        <f>J21</f>
        <v>100</v>
      </c>
      <c r="X21" s="937"/>
      <c r="Y21" s="4396"/>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20"/>
      <c r="Q22" s="1534"/>
      <c r="R22" s="3913"/>
      <c r="S22" s="3915"/>
      <c r="T22" s="3913"/>
      <c r="U22" s="3915"/>
      <c r="V22" s="3913"/>
      <c r="W22" s="3915"/>
      <c r="X22" s="937"/>
      <c r="Y22" s="4396"/>
      <c r="Z22" s="935"/>
      <c r="AA22" s="935">
        <v>1</v>
      </c>
      <c r="AB22" s="935">
        <v>1</v>
      </c>
      <c r="AC22" s="935">
        <v>1</v>
      </c>
    </row>
    <row r="23" spans="1:29" ht="138">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20"/>
      <c r="Q23" s="1534" t="str">
        <f>B23</f>
        <v>交通便捷度</v>
      </c>
      <c r="R23" s="3913" t="s">
        <v>13</v>
      </c>
      <c r="S23" s="3915">
        <f>F23</f>
        <v>100</v>
      </c>
      <c r="T23" s="3913" t="s">
        <v>13</v>
      </c>
      <c r="U23" s="3915">
        <f>H23</f>
        <v>100</v>
      </c>
      <c r="V23" s="3913" t="s">
        <v>13</v>
      </c>
      <c r="W23" s="3915">
        <f>J23</f>
        <v>100</v>
      </c>
      <c r="X23" s="937"/>
      <c r="Y23" s="4396"/>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20"/>
      <c r="Q24" s="1534"/>
      <c r="R24" s="3913"/>
      <c r="S24" s="3915"/>
      <c r="T24" s="3913"/>
      <c r="U24" s="3915"/>
      <c r="V24" s="3913"/>
      <c r="W24" s="3915"/>
      <c r="X24" s="937"/>
      <c r="Y24" s="4396"/>
      <c r="Z24" s="935"/>
      <c r="AA24" s="935">
        <v>1</v>
      </c>
      <c r="AB24" s="935">
        <v>1</v>
      </c>
      <c r="AC24" s="935">
        <v>1</v>
      </c>
    </row>
    <row r="25" spans="1:29" ht="28.8">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20"/>
      <c r="Q25" s="1534" t="str">
        <f t="shared" ref="Q25:Q39" si="8">B25</f>
        <v>区域土地利用方向</v>
      </c>
      <c r="R25" s="3913" t="s">
        <v>13</v>
      </c>
      <c r="S25" s="3915">
        <f>F25</f>
        <v>100</v>
      </c>
      <c r="T25" s="3913" t="s">
        <v>13</v>
      </c>
      <c r="U25" s="3915">
        <f>H25</f>
        <v>100</v>
      </c>
      <c r="V25" s="3913" t="s">
        <v>13</v>
      </c>
      <c r="W25" s="3915">
        <f>J25</f>
        <v>100</v>
      </c>
      <c r="X25" s="937"/>
      <c r="Y25" s="4396"/>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20"/>
      <c r="Q26" s="1534"/>
      <c r="R26" s="3913"/>
      <c r="S26" s="3915"/>
      <c r="T26" s="3913"/>
      <c r="U26" s="3915"/>
      <c r="V26" s="3913"/>
      <c r="W26" s="3915"/>
      <c r="X26" s="937"/>
      <c r="Y26" s="4396"/>
      <c r="Z26" s="935"/>
      <c r="AA26" s="935"/>
      <c r="AB26" s="935"/>
      <c r="AC26" s="935"/>
    </row>
    <row r="27" spans="1:29" ht="82.8">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20"/>
      <c r="Q27" s="1534" t="str">
        <f t="shared" si="8"/>
        <v>自然及人文环境状况</v>
      </c>
      <c r="R27" s="3913" t="s">
        <v>13</v>
      </c>
      <c r="S27" s="3915">
        <f>F27</f>
        <v>100</v>
      </c>
      <c r="T27" s="3913" t="s">
        <v>13</v>
      </c>
      <c r="U27" s="3915">
        <f>H27</f>
        <v>100</v>
      </c>
      <c r="V27" s="3913" t="s">
        <v>13</v>
      </c>
      <c r="W27" s="3915">
        <f>J27</f>
        <v>100</v>
      </c>
      <c r="X27" s="937"/>
      <c r="Y27" s="4396"/>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20"/>
      <c r="Q28" s="1534"/>
      <c r="R28" s="3913"/>
      <c r="S28" s="3915"/>
      <c r="T28" s="3913"/>
      <c r="U28" s="3915"/>
      <c r="V28" s="3913"/>
      <c r="W28" s="3915"/>
      <c r="X28" s="937"/>
      <c r="Y28" s="4396"/>
      <c r="Z28" s="935"/>
      <c r="AA28" s="935">
        <v>1</v>
      </c>
      <c r="AB28" s="935">
        <v>1</v>
      </c>
      <c r="AC28" s="935">
        <v>1</v>
      </c>
    </row>
    <row r="29" spans="1:29" s="46" customFormat="1" ht="331.2">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20"/>
      <c r="Q29" s="1732" t="str">
        <f t="shared" si="8"/>
        <v>公共配套设施</v>
      </c>
      <c r="R29" s="3912" t="s">
        <v>13</v>
      </c>
      <c r="S29" s="3693">
        <f>F29</f>
        <v>100</v>
      </c>
      <c r="T29" s="3912" t="s">
        <v>13</v>
      </c>
      <c r="U29" s="3693">
        <f>H29</f>
        <v>100</v>
      </c>
      <c r="V29" s="3912" t="s">
        <v>13</v>
      </c>
      <c r="W29" s="3693">
        <f>J29</f>
        <v>100</v>
      </c>
      <c r="X29" s="483"/>
      <c r="Y29" s="4396"/>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20"/>
      <c r="Q30" s="1732"/>
      <c r="R30" s="3912"/>
      <c r="S30" s="3693"/>
      <c r="T30" s="3912"/>
      <c r="U30" s="3693"/>
      <c r="V30" s="3912"/>
      <c r="W30" s="3693"/>
      <c r="X30" s="483"/>
      <c r="Y30" s="4396"/>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20"/>
      <c r="Q31" s="1732" t="str">
        <f t="shared" ref="Q31" si="9">B31</f>
        <v>基础设施水平</v>
      </c>
      <c r="R31" s="3912" t="s">
        <v>13</v>
      </c>
      <c r="S31" s="3693">
        <f>F31</f>
        <v>100</v>
      </c>
      <c r="T31" s="3912" t="s">
        <v>13</v>
      </c>
      <c r="U31" s="3693">
        <f>H31</f>
        <v>100</v>
      </c>
      <c r="V31" s="3912" t="s">
        <v>13</v>
      </c>
      <c r="W31" s="3693">
        <f>J31</f>
        <v>100</v>
      </c>
      <c r="X31" s="483"/>
      <c r="Y31" s="4396"/>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20"/>
      <c r="Q32" s="1732"/>
      <c r="R32" s="3912"/>
      <c r="S32" s="3693"/>
      <c r="T32" s="3912"/>
      <c r="U32" s="3693"/>
      <c r="V32" s="3912"/>
      <c r="W32" s="3693"/>
      <c r="X32" s="483"/>
      <c r="Y32" s="4396"/>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20"/>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396"/>
      <c r="Z33" s="935" t="str">
        <f t="shared" ref="Z33:Z47" si="13">Q33</f>
        <v>临街状况</v>
      </c>
      <c r="AA33" s="935">
        <f t="shared" si="3"/>
        <v>1</v>
      </c>
      <c r="AB33" s="935">
        <f t="shared" si="4"/>
        <v>1</v>
      </c>
      <c r="AC33" s="935">
        <f t="shared" si="5"/>
        <v>1</v>
      </c>
    </row>
    <row r="34" spans="1:29" ht="28.8">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20"/>
      <c r="Q34" s="1534" t="str">
        <f t="shared" si="8"/>
        <v>毗邻道路的类型与等级</v>
      </c>
      <c r="R34" s="3913" t="s">
        <v>13</v>
      </c>
      <c r="S34" s="3915">
        <f t="shared" si="10"/>
        <v>100</v>
      </c>
      <c r="T34" s="3913" t="s">
        <v>13</v>
      </c>
      <c r="U34" s="3915">
        <f t="shared" si="11"/>
        <v>100</v>
      </c>
      <c r="V34" s="3913" t="s">
        <v>13</v>
      </c>
      <c r="W34" s="3915">
        <f t="shared" si="12"/>
        <v>100</v>
      </c>
      <c r="X34" s="937"/>
      <c r="Y34" s="4396"/>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20"/>
      <c r="Q35" s="1534"/>
      <c r="R35" s="3913"/>
      <c r="S35" s="3915"/>
      <c r="T35" s="3913"/>
      <c r="U35" s="3915"/>
      <c r="V35" s="3913"/>
      <c r="W35" s="3915"/>
      <c r="X35" s="937"/>
      <c r="Y35" s="4396"/>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20"/>
      <c r="Q36" s="1534" t="str">
        <f t="shared" si="8"/>
        <v>土地级别</v>
      </c>
      <c r="R36" s="3913" t="s">
        <v>13</v>
      </c>
      <c r="S36" s="3915">
        <f t="shared" si="10"/>
        <v>100</v>
      </c>
      <c r="T36" s="3913" t="s">
        <v>13</v>
      </c>
      <c r="U36" s="3915">
        <f t="shared" si="11"/>
        <v>100</v>
      </c>
      <c r="V36" s="3913" t="s">
        <v>13</v>
      </c>
      <c r="W36" s="3915">
        <f t="shared" si="12"/>
        <v>100</v>
      </c>
      <c r="X36" s="937"/>
      <c r="Y36" s="4396"/>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20"/>
      <c r="Q37" s="1534">
        <f t="shared" si="8"/>
        <v>111</v>
      </c>
      <c r="R37" s="3913" t="s">
        <v>13</v>
      </c>
      <c r="S37" s="3915">
        <f t="shared" si="10"/>
        <v>100</v>
      </c>
      <c r="T37" s="3913" t="s">
        <v>13</v>
      </c>
      <c r="U37" s="3915">
        <f t="shared" si="11"/>
        <v>100</v>
      </c>
      <c r="V37" s="3913" t="s">
        <v>13</v>
      </c>
      <c r="W37" s="3915">
        <f t="shared" si="12"/>
        <v>100</v>
      </c>
      <c r="X37" s="937"/>
      <c r="Y37" s="4396"/>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21" t="s">
        <v>1611</v>
      </c>
      <c r="Q38" s="1534">
        <f t="shared" si="8"/>
        <v>111</v>
      </c>
      <c r="R38" s="3913" t="s">
        <v>13</v>
      </c>
      <c r="S38" s="3915">
        <f t="shared" si="10"/>
        <v>100</v>
      </c>
      <c r="T38" s="3913" t="s">
        <v>13</v>
      </c>
      <c r="U38" s="3915">
        <f t="shared" si="11"/>
        <v>100</v>
      </c>
      <c r="V38" s="3913" t="s">
        <v>13</v>
      </c>
      <c r="W38" s="3915">
        <f t="shared" si="12"/>
        <v>100</v>
      </c>
      <c r="X38" s="937"/>
      <c r="Y38" s="4400" t="s">
        <v>1611</v>
      </c>
      <c r="Z38" s="935">
        <f t="shared" si="13"/>
        <v>111</v>
      </c>
      <c r="AA38" s="935">
        <f t="shared" si="3"/>
        <v>1</v>
      </c>
      <c r="AB38" s="935">
        <f t="shared" si="4"/>
        <v>1</v>
      </c>
      <c r="AC38" s="935">
        <f t="shared" si="5"/>
        <v>1</v>
      </c>
    </row>
    <row r="39" spans="1:29" s="280" customFormat="1" ht="15.6"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22"/>
      <c r="Q39" s="1534">
        <f t="shared" si="8"/>
        <v>111</v>
      </c>
      <c r="R39" s="3914" t="s">
        <v>13</v>
      </c>
      <c r="S39" s="3916">
        <f t="shared" si="10"/>
        <v>100</v>
      </c>
      <c r="T39" s="3914" t="s">
        <v>13</v>
      </c>
      <c r="U39" s="3916">
        <f t="shared" si="11"/>
        <v>100</v>
      </c>
      <c r="V39" s="3914" t="s">
        <v>13</v>
      </c>
      <c r="W39" s="3916">
        <f t="shared" si="12"/>
        <v>100</v>
      </c>
      <c r="X39" s="485"/>
      <c r="Y39" s="4400"/>
      <c r="Z39" s="486">
        <f t="shared" si="13"/>
        <v>111</v>
      </c>
      <c r="AA39" s="935">
        <f t="shared" si="3"/>
        <v>1</v>
      </c>
      <c r="AB39" s="935">
        <f t="shared" si="4"/>
        <v>1</v>
      </c>
      <c r="AC39" s="935">
        <f t="shared" si="5"/>
        <v>1</v>
      </c>
    </row>
    <row r="40" spans="1:29" ht="15.6">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22"/>
      <c r="Q40" s="1534" t="str">
        <f>B40</f>
        <v>宗地面积</v>
      </c>
      <c r="R40" s="3913" t="s">
        <v>13</v>
      </c>
      <c r="S40" s="3915" t="e">
        <f t="shared" si="10"/>
        <v>#N/A</v>
      </c>
      <c r="T40" s="3913" t="s">
        <v>13</v>
      </c>
      <c r="U40" s="3915" t="e">
        <f t="shared" si="11"/>
        <v>#N/A</v>
      </c>
      <c r="V40" s="3913" t="s">
        <v>13</v>
      </c>
      <c r="W40" s="3915" t="e">
        <f t="shared" si="12"/>
        <v>#N/A</v>
      </c>
      <c r="X40" s="937"/>
      <c r="Y40" s="4400"/>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22"/>
      <c r="Q41" s="1534" t="str">
        <f t="shared" ref="Q41:Q47" si="14">B41</f>
        <v>宗地形状</v>
      </c>
      <c r="R41" s="3913" t="s">
        <v>13</v>
      </c>
      <c r="S41" s="3915">
        <f t="shared" si="10"/>
        <v>100</v>
      </c>
      <c r="T41" s="3913" t="s">
        <v>13</v>
      </c>
      <c r="U41" s="3915">
        <f t="shared" si="11"/>
        <v>100</v>
      </c>
      <c r="V41" s="3913" t="s">
        <v>13</v>
      </c>
      <c r="W41" s="3915">
        <f t="shared" si="12"/>
        <v>100</v>
      </c>
      <c r="X41" s="937"/>
      <c r="Y41" s="4400"/>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22"/>
      <c r="Q42" s="1534" t="str">
        <f t="shared" si="14"/>
        <v>临街宽度及深度</v>
      </c>
      <c r="R42" s="3913" t="s">
        <v>13</v>
      </c>
      <c r="S42" s="3915">
        <f t="shared" si="10"/>
        <v>100</v>
      </c>
      <c r="T42" s="3913" t="s">
        <v>13</v>
      </c>
      <c r="U42" s="3915">
        <f t="shared" si="11"/>
        <v>100</v>
      </c>
      <c r="V42" s="3913" t="s">
        <v>13</v>
      </c>
      <c r="W42" s="3915">
        <f t="shared" si="12"/>
        <v>100</v>
      </c>
      <c r="X42" s="937"/>
      <c r="Y42" s="4400"/>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22"/>
      <c r="Q43" s="1534" t="str">
        <f t="shared" si="14"/>
        <v>宗地开发程度</v>
      </c>
      <c r="R43" s="3912" t="s">
        <v>13</v>
      </c>
      <c r="S43" s="3693">
        <f t="shared" si="10"/>
        <v>100</v>
      </c>
      <c r="T43" s="3912" t="s">
        <v>13</v>
      </c>
      <c r="U43" s="3693">
        <f t="shared" si="11"/>
        <v>100</v>
      </c>
      <c r="V43" s="3912" t="s">
        <v>13</v>
      </c>
      <c r="W43" s="3693">
        <f t="shared" si="12"/>
        <v>100</v>
      </c>
      <c r="X43" s="483"/>
      <c r="Y43" s="4400"/>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22" t="s">
        <v>1611</v>
      </c>
      <c r="Q44" s="1534" t="str">
        <f t="shared" si="14"/>
        <v>工程地质条件</v>
      </c>
      <c r="R44" s="3913" t="s">
        <v>13</v>
      </c>
      <c r="S44" s="3915">
        <f t="shared" si="10"/>
        <v>100</v>
      </c>
      <c r="T44" s="3913" t="s">
        <v>13</v>
      </c>
      <c r="U44" s="3915">
        <f t="shared" si="11"/>
        <v>100</v>
      </c>
      <c r="V44" s="3913" t="s">
        <v>13</v>
      </c>
      <c r="W44" s="3915">
        <f t="shared" si="12"/>
        <v>100</v>
      </c>
      <c r="X44" s="937"/>
      <c r="Y44" s="4400"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22"/>
      <c r="Q45" s="1534">
        <f t="shared" si="14"/>
        <v>111</v>
      </c>
      <c r="R45" s="3913" t="s">
        <v>13</v>
      </c>
      <c r="S45" s="3915">
        <f t="shared" si="10"/>
        <v>100</v>
      </c>
      <c r="T45" s="3913" t="s">
        <v>13</v>
      </c>
      <c r="U45" s="3915">
        <f t="shared" si="11"/>
        <v>100</v>
      </c>
      <c r="V45" s="3913" t="s">
        <v>13</v>
      </c>
      <c r="W45" s="3915">
        <f t="shared" si="12"/>
        <v>100</v>
      </c>
      <c r="X45" s="937"/>
      <c r="Y45" s="4400"/>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22"/>
      <c r="Q46" s="1534">
        <f t="shared" si="14"/>
        <v>111</v>
      </c>
      <c r="R46" s="3913" t="s">
        <v>13</v>
      </c>
      <c r="S46" s="3915">
        <f t="shared" si="10"/>
        <v>100</v>
      </c>
      <c r="T46" s="3913" t="s">
        <v>13</v>
      </c>
      <c r="U46" s="3915">
        <f t="shared" si="11"/>
        <v>100</v>
      </c>
      <c r="V46" s="3913" t="s">
        <v>13</v>
      </c>
      <c r="W46" s="3915">
        <f t="shared" si="12"/>
        <v>100</v>
      </c>
      <c r="X46" s="937"/>
      <c r="Y46" s="4400"/>
      <c r="Z46" s="935">
        <f t="shared" si="13"/>
        <v>111</v>
      </c>
      <c r="AA46" s="935">
        <f t="shared" si="3"/>
        <v>1</v>
      </c>
      <c r="AB46" s="935">
        <f t="shared" si="4"/>
        <v>1</v>
      </c>
      <c r="AC46" s="935">
        <f t="shared" si="5"/>
        <v>1</v>
      </c>
    </row>
    <row r="47" spans="1:29" s="280" customFormat="1" ht="15.6"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22"/>
      <c r="Q47" s="1534">
        <f t="shared" si="14"/>
        <v>111</v>
      </c>
      <c r="R47" s="3914" t="s">
        <v>13</v>
      </c>
      <c r="S47" s="3916">
        <f t="shared" si="10"/>
        <v>100</v>
      </c>
      <c r="T47" s="3914" t="s">
        <v>13</v>
      </c>
      <c r="U47" s="3916">
        <f t="shared" si="11"/>
        <v>100</v>
      </c>
      <c r="V47" s="3914" t="s">
        <v>13</v>
      </c>
      <c r="W47" s="3916">
        <f t="shared" si="12"/>
        <v>100</v>
      </c>
      <c r="X47" s="485"/>
      <c r="Y47" s="4400"/>
      <c r="Z47" s="486">
        <f t="shared" si="13"/>
        <v>111</v>
      </c>
      <c r="AA47" s="935">
        <f t="shared" si="3"/>
        <v>1</v>
      </c>
      <c r="AB47" s="935">
        <f t="shared" si="4"/>
        <v>1</v>
      </c>
      <c r="AC47" s="935">
        <f t="shared" si="5"/>
        <v>1</v>
      </c>
    </row>
    <row r="48" spans="1:29" ht="14.4">
      <c r="A48" s="287" t="s">
        <v>1759</v>
      </c>
      <c r="B48" s="1457" t="s">
        <v>1794</v>
      </c>
      <c r="C48" s="440" t="s">
        <v>0</v>
      </c>
      <c r="D48" s="289"/>
      <c r="E48" s="3344"/>
      <c r="F48" s="3283"/>
      <c r="G48" s="3345"/>
      <c r="H48" s="3284"/>
      <c r="I48" s="3344"/>
      <c r="J48" s="3284"/>
      <c r="K48" s="2956"/>
      <c r="L48" s="2016"/>
      <c r="M48" s="2009"/>
      <c r="N48" s="2009"/>
      <c r="O48" s="2009"/>
      <c r="P48" s="4388" t="str">
        <f>A48</f>
        <v>成交单价</v>
      </c>
      <c r="Q48" s="4388"/>
      <c r="R48" s="4389">
        <f>E48</f>
        <v>0</v>
      </c>
      <c r="S48" s="4389"/>
      <c r="T48" s="4389">
        <f>G48</f>
        <v>0</v>
      </c>
      <c r="U48" s="4389"/>
      <c r="V48" s="4389">
        <f>I48</f>
        <v>0</v>
      </c>
      <c r="W48" s="4389"/>
      <c r="X48" s="266"/>
      <c r="Y48" s="487"/>
      <c r="Z48" s="266"/>
      <c r="AA48" s="266"/>
      <c r="AB48" s="266"/>
      <c r="AC48" s="266"/>
    </row>
    <row r="49" spans="1:29" ht="1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388" t="str">
        <f>A49</f>
        <v>比较价值（元/平方米）</v>
      </c>
      <c r="Q49" s="4388"/>
      <c r="R49" s="4389" t="e">
        <f>ROUND(PRODUCT(R48,AA9:AA47),0)</f>
        <v>#DIV/0!</v>
      </c>
      <c r="S49" s="4389"/>
      <c r="T49" s="4389" t="e">
        <f>ROUND(PRODUCT(T48,AB9:AB47),0)</f>
        <v>#DIV/0!</v>
      </c>
      <c r="U49" s="4389"/>
      <c r="V49" s="4389" t="e">
        <f>ROUND(PRODUCT(V48,AC9:AC47),0)</f>
        <v>#DIV/0!</v>
      </c>
      <c r="W49" s="4389"/>
      <c r="X49" s="266"/>
      <c r="Y49" s="266"/>
      <c r="Z49" s="266"/>
      <c r="AA49" s="266"/>
      <c r="AB49" s="266"/>
      <c r="AC49" s="266"/>
    </row>
    <row r="50" spans="1:29" ht="15" thickBot="1">
      <c r="A50" s="292" t="s">
        <v>1795</v>
      </c>
      <c r="B50" s="293"/>
      <c r="C50" s="3898" t="e">
        <f>R50</f>
        <v>#DIV/0!</v>
      </c>
      <c r="D50" s="294"/>
      <c r="E50" s="294"/>
      <c r="F50" s="294"/>
      <c r="G50" s="294"/>
      <c r="H50" s="294"/>
      <c r="I50" s="294"/>
      <c r="J50" s="294"/>
      <c r="K50" s="3256"/>
      <c r="L50" s="2016"/>
      <c r="M50" s="2009"/>
      <c r="N50" s="2009"/>
      <c r="O50" s="2009"/>
      <c r="P50" s="4493" t="str">
        <f>A50</f>
        <v>估价对象XX用房的比较价值（楼面单价，元/平方米）</v>
      </c>
      <c r="Q50" s="4494"/>
      <c r="R50" s="4495" t="e">
        <f>ROUND(IF(D49="简单平均",AVERAGE(R49:W49),R49*F49+T49*H49+V49*J49),0)</f>
        <v>#DIV/0!</v>
      </c>
      <c r="S50" s="4495"/>
      <c r="T50" s="4495"/>
      <c r="U50" s="4495"/>
      <c r="V50" s="4495"/>
      <c r="W50" s="4495"/>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4.4"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06" t="s">
        <v>1802</v>
      </c>
      <c r="H57" s="4536"/>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4265.7700000000004</v>
      </c>
      <c r="F58" s="3216" t="e">
        <f t="shared" ref="F58:F66" si="15">ROUND(B58*E58/10000,0)</f>
        <v>#DIV/0!</v>
      </c>
      <c r="G58" s="4537"/>
      <c r="H58" s="4524"/>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0.25</v>
      </c>
      <c r="D62" s="3196">
        <v>0.25</v>
      </c>
      <c r="E62" s="3199">
        <f>'数据-汇总表'!E11</f>
        <v>0</v>
      </c>
      <c r="F62" s="3216" t="e">
        <f t="shared" si="15"/>
        <v>#DIV/0!</v>
      </c>
      <c r="G62" s="3208" t="s">
        <v>1811</v>
      </c>
      <c r="H62" s="593" t="str">
        <f>项目基本情况!C37</f>
        <v>六级</v>
      </c>
      <c r="I62" s="3211">
        <f>SUMIF(修正!A59:A70,H62,修正!E59:E70)</f>
        <v>0.25</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0.25</v>
      </c>
      <c r="D63" s="3196">
        <v>0.25</v>
      </c>
      <c r="E63" s="3199">
        <f>'数据-汇总表'!E12</f>
        <v>0</v>
      </c>
      <c r="F63" s="3216" t="e">
        <f t="shared" si="15"/>
        <v>#DIV/0!</v>
      </c>
      <c r="G63" s="3209" t="s">
        <v>1813</v>
      </c>
      <c r="H63" s="593" t="str">
        <f>IF(G63="商业",项目基本情况!B37,IF(G63="办公",项目基本情况!C37,IF(G63="住宅",项目基本情况!D37,项目基本情况!E37)))</f>
        <v>六级</v>
      </c>
      <c r="I63" s="3211">
        <f>SUMIF(修正!A59:A70,H63,修正!F59:F70)</f>
        <v>0.25</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4.4" thickBot="1">
      <c r="A66" s="448" t="s">
        <v>1817</v>
      </c>
      <c r="B66" s="3926" t="e">
        <f t="shared" si="17"/>
        <v>#DIV/0!</v>
      </c>
      <c r="C66" s="3193">
        <f t="shared" si="16"/>
        <v>0.15</v>
      </c>
      <c r="D66" s="3196">
        <v>0.25</v>
      </c>
      <c r="E66" s="3199">
        <f>'数据-汇总表'!E15</f>
        <v>0</v>
      </c>
      <c r="F66" s="3216" t="e">
        <f t="shared" si="15"/>
        <v>#DIV/0!</v>
      </c>
      <c r="G66" s="3210" t="s">
        <v>1811</v>
      </c>
      <c r="H66" s="597" t="str">
        <f>项目基本情况!C37</f>
        <v>六级</v>
      </c>
      <c r="I66" s="3214">
        <f>SUMIF(修正!A59:A70,H66,修正!G59:G70)</f>
        <v>0.15</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thickBot="1">
      <c r="A67" s="449" t="s">
        <v>1818</v>
      </c>
      <c r="B67" s="450" t="s">
        <v>20</v>
      </c>
      <c r="C67" s="450" t="s">
        <v>21</v>
      </c>
      <c r="D67" s="3217" t="s">
        <v>386</v>
      </c>
      <c r="E67" s="3200">
        <f>IF(B48="楼面地价",SUM(E58:E66),'数据-汇总表'!D3)</f>
        <v>4265.7700000000004</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2026-1-1</v>
      </c>
      <c r="D69" s="475">
        <f>EDATE(C69,-3)</f>
        <v>45931</v>
      </c>
      <c r="E69" s="475">
        <f>EDATE(D69,-3)</f>
        <v>45839</v>
      </c>
      <c r="F69" s="475">
        <f t="shared" ref="F69:O69" si="18">EDATE(E69,-3)</f>
        <v>45748</v>
      </c>
      <c r="G69" s="475">
        <f t="shared" si="18"/>
        <v>45658</v>
      </c>
      <c r="H69" s="475">
        <f t="shared" si="18"/>
        <v>45566</v>
      </c>
      <c r="I69" s="475">
        <f t="shared" si="18"/>
        <v>45474</v>
      </c>
      <c r="J69" s="475">
        <f t="shared" si="18"/>
        <v>45383</v>
      </c>
      <c r="K69" s="3263">
        <f t="shared" si="18"/>
        <v>45292</v>
      </c>
      <c r="L69" s="475">
        <f t="shared" si="18"/>
        <v>45200</v>
      </c>
      <c r="M69" s="475">
        <f t="shared" si="18"/>
        <v>45108</v>
      </c>
      <c r="N69" s="475">
        <f t="shared" si="18"/>
        <v>45017</v>
      </c>
      <c r="O69" s="475">
        <f t="shared" si="18"/>
        <v>44927</v>
      </c>
      <c r="P69" s="2009"/>
      <c r="Q69" s="2009"/>
      <c r="R69" s="2009"/>
      <c r="S69" s="2009"/>
      <c r="T69" s="2009"/>
      <c r="U69" s="2009"/>
      <c r="V69" s="2009"/>
      <c r="W69" s="2009"/>
      <c r="X69" s="2009"/>
      <c r="Y69" s="2009"/>
      <c r="Z69" s="2009"/>
      <c r="AA69" s="2009"/>
      <c r="AB69" s="2009"/>
      <c r="AC69" s="2009"/>
    </row>
    <row r="70" spans="1:29" ht="22.2"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4.4">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4.4">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4.4"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ht="14.4">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4.4"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9.4"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4.4"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4.4"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4.4"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4.4"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4.4"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4.4"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4.4"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ht="14.4">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4.4"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4.4"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4.4"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4.4"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29.4"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4.4"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9.4"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4.4"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9.4"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4.4"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4.4"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4.4"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4.4"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4.4"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4.4"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4.4"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4.4"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4.4"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4.4"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4.4"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4.4"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4.4"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4.4">
      <c r="A6" s="3290" t="s">
        <v>1684</v>
      </c>
      <c r="B6" s="3291"/>
      <c r="C6" s="4497" t="s">
        <v>1685</v>
      </c>
      <c r="D6" s="4498"/>
      <c r="E6" s="4499" t="s">
        <v>1686</v>
      </c>
      <c r="F6" s="4500"/>
      <c r="G6" s="4497" t="s">
        <v>1687</v>
      </c>
      <c r="H6" s="4498"/>
      <c r="I6" s="4497" t="s">
        <v>1688</v>
      </c>
      <c r="J6" s="4498"/>
      <c r="K6" s="394"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3227"/>
      <c r="B7" s="3292"/>
      <c r="C7" s="4509" t="s">
        <v>1588</v>
      </c>
      <c r="D7" s="4510"/>
      <c r="E7" s="4516" t="s">
        <v>1589</v>
      </c>
      <c r="F7" s="4517"/>
      <c r="G7" s="4509" t="s">
        <v>1590</v>
      </c>
      <c r="H7" s="4510"/>
      <c r="I7" s="4509" t="s">
        <v>1591</v>
      </c>
      <c r="J7" s="4510"/>
      <c r="K7" s="394"/>
      <c r="L7" s="2008"/>
      <c r="M7" s="2009"/>
      <c r="N7" s="2009"/>
      <c r="O7" s="2009"/>
      <c r="P7" s="4503"/>
      <c r="Q7" s="4413"/>
      <c r="R7" s="4418"/>
      <c r="S7" s="4419"/>
      <c r="T7" s="4418"/>
      <c r="U7" s="4419"/>
      <c r="V7" s="4423"/>
      <c r="W7" s="4423"/>
      <c r="X7" s="937"/>
      <c r="Y7" s="4434"/>
      <c r="Z7" s="4435"/>
      <c r="AA7" s="4444"/>
      <c r="AB7" s="4444"/>
      <c r="AC7" s="4444"/>
    </row>
    <row r="8" spans="1:29" ht="15" thickBot="1">
      <c r="A8" s="3293"/>
      <c r="B8" s="3294"/>
      <c r="C8" s="4538" t="s">
        <v>1834</v>
      </c>
      <c r="D8" s="4539"/>
      <c r="E8" s="4540" t="s">
        <v>1834</v>
      </c>
      <c r="F8" s="4541"/>
      <c r="G8" s="4538" t="s">
        <v>1834</v>
      </c>
      <c r="H8" s="4539"/>
      <c r="I8" s="4538" t="s">
        <v>1834</v>
      </c>
      <c r="J8" s="4539"/>
      <c r="K8" s="394"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11" t="s">
        <v>1598</v>
      </c>
      <c r="Q10" s="4429"/>
      <c r="R10" s="3912" t="s">
        <v>13</v>
      </c>
      <c r="S10" s="3693">
        <f t="shared" si="0"/>
        <v>0</v>
      </c>
      <c r="T10" s="3912" t="s">
        <v>13</v>
      </c>
      <c r="U10" s="3693">
        <f t="shared" si="1"/>
        <v>0</v>
      </c>
      <c r="V10" s="3912" t="s">
        <v>13</v>
      </c>
      <c r="W10" s="3693">
        <f t="shared" si="2"/>
        <v>0</v>
      </c>
      <c r="X10" s="483"/>
      <c r="Y10" s="4430" t="s">
        <v>1598</v>
      </c>
      <c r="Z10" s="4431"/>
      <c r="AA10" s="28" t="e">
        <f t="shared" ref="AA10:AA42" si="3">D10/F10</f>
        <v>#DIV/0!</v>
      </c>
      <c r="AB10" s="28" t="e">
        <f t="shared" ref="AB10:AB42" si="4">D10/H10</f>
        <v>#DIV/0!</v>
      </c>
      <c r="AC10" s="28" t="e">
        <f t="shared" ref="AC10:AC42" si="5">D10/J10</f>
        <v>#DIV/0!</v>
      </c>
    </row>
    <row r="11" spans="1:29" s="46" customFormat="1" ht="14.4">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10"/>
      <c r="F12" s="3884">
        <f>ROUND(100/'数据-取费表'!G16,1)</f>
        <v>141.6</v>
      </c>
      <c r="G12" s="2910"/>
      <c r="H12" s="3884">
        <f>ROUND(100/'数据-取费表'!G16,1)</f>
        <v>141.6</v>
      </c>
      <c r="I12" s="2910"/>
      <c r="J12" s="3884">
        <f>ROUND(100/'数据-取费表'!G16,1)</f>
        <v>141.6</v>
      </c>
      <c r="K12" s="43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 t="shared" si="3"/>
        <v>1</v>
      </c>
      <c r="AB15" s="28">
        <f t="shared" si="4"/>
        <v>1</v>
      </c>
      <c r="AC15" s="28">
        <f t="shared" si="5"/>
        <v>1</v>
      </c>
    </row>
    <row r="16" spans="1:29" ht="15.6"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9" t="s">
        <v>1606</v>
      </c>
      <c r="Q17" s="1534" t="str">
        <f t="shared" si="6"/>
        <v>产业集聚程度</v>
      </c>
      <c r="R17" s="3913" t="s">
        <v>13</v>
      </c>
      <c r="S17" s="3915">
        <f t="shared" si="0"/>
        <v>100</v>
      </c>
      <c r="T17" s="3913" t="s">
        <v>13</v>
      </c>
      <c r="U17" s="3915">
        <f t="shared" si="1"/>
        <v>100</v>
      </c>
      <c r="V17" s="3913" t="s">
        <v>13</v>
      </c>
      <c r="W17" s="3915">
        <f t="shared" si="2"/>
        <v>100</v>
      </c>
      <c r="X17" s="937"/>
      <c r="Y17" s="4395"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20"/>
      <c r="Q19" s="1534" t="str">
        <f>B19</f>
        <v>交通便捷度</v>
      </c>
      <c r="R19" s="3913" t="s">
        <v>13</v>
      </c>
      <c r="S19" s="3915">
        <f>F19</f>
        <v>100</v>
      </c>
      <c r="T19" s="3913" t="s">
        <v>13</v>
      </c>
      <c r="U19" s="3915">
        <f>H19</f>
        <v>100</v>
      </c>
      <c r="V19" s="3913" t="s">
        <v>13</v>
      </c>
      <c r="W19" s="3915">
        <f>J19</f>
        <v>100</v>
      </c>
      <c r="X19" s="937"/>
      <c r="Y19" s="4396"/>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20"/>
      <c r="Q20" s="1534"/>
      <c r="R20" s="3913"/>
      <c r="S20" s="3915"/>
      <c r="T20" s="3913"/>
      <c r="U20" s="3915"/>
      <c r="V20" s="3913"/>
      <c r="W20" s="3915"/>
      <c r="X20" s="937"/>
      <c r="Y20" s="4396"/>
      <c r="Z20" s="935"/>
      <c r="AA20" s="935">
        <v>1</v>
      </c>
      <c r="AB20" s="935">
        <v>1</v>
      </c>
      <c r="AC20" s="935">
        <v>1</v>
      </c>
    </row>
    <row r="21" spans="1:29" ht="28.8">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20"/>
      <c r="Q21" s="1534" t="str">
        <f t="shared" ref="Q21:Q35" si="8">B21</f>
        <v>区域土地利用方向</v>
      </c>
      <c r="R21" s="3913" t="s">
        <v>13</v>
      </c>
      <c r="S21" s="3915">
        <f>F21</f>
        <v>100</v>
      </c>
      <c r="T21" s="3913" t="s">
        <v>13</v>
      </c>
      <c r="U21" s="3915">
        <f>H21</f>
        <v>100</v>
      </c>
      <c r="V21" s="3913" t="s">
        <v>13</v>
      </c>
      <c r="W21" s="3915">
        <f>J21</f>
        <v>100</v>
      </c>
      <c r="X21" s="937"/>
      <c r="Y21" s="4396"/>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20"/>
      <c r="Q22" s="1534"/>
      <c r="R22" s="3913"/>
      <c r="S22" s="3915"/>
      <c r="T22" s="3913"/>
      <c r="U22" s="3915"/>
      <c r="V22" s="3913"/>
      <c r="W22" s="3915"/>
      <c r="X22" s="937"/>
      <c r="Y22" s="4396"/>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20"/>
      <c r="Q23" s="1534" t="str">
        <f t="shared" si="8"/>
        <v>环境状况</v>
      </c>
      <c r="R23" s="3913" t="s">
        <v>13</v>
      </c>
      <c r="S23" s="3915">
        <f>F23</f>
        <v>100</v>
      </c>
      <c r="T23" s="3913" t="s">
        <v>13</v>
      </c>
      <c r="U23" s="3915">
        <f>H23</f>
        <v>100</v>
      </c>
      <c r="V23" s="3913" t="s">
        <v>13</v>
      </c>
      <c r="W23" s="3915">
        <f>J23</f>
        <v>100</v>
      </c>
      <c r="X23" s="937"/>
      <c r="Y23" s="4396"/>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20"/>
      <c r="Q24" s="1534"/>
      <c r="R24" s="3913"/>
      <c r="S24" s="3915"/>
      <c r="T24" s="3913"/>
      <c r="U24" s="3915"/>
      <c r="V24" s="3913"/>
      <c r="W24" s="3915"/>
      <c r="X24" s="937"/>
      <c r="Y24" s="4396"/>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20"/>
      <c r="Q25" s="1732" t="str">
        <f t="shared" si="8"/>
        <v>公共配套设施</v>
      </c>
      <c r="R25" s="3912" t="s">
        <v>13</v>
      </c>
      <c r="S25" s="3693">
        <f>F25</f>
        <v>100</v>
      </c>
      <c r="T25" s="3912" t="s">
        <v>13</v>
      </c>
      <c r="U25" s="3693">
        <f>H25</f>
        <v>100</v>
      </c>
      <c r="V25" s="3912" t="s">
        <v>13</v>
      </c>
      <c r="W25" s="3693">
        <f>J25</f>
        <v>100</v>
      </c>
      <c r="X25" s="483"/>
      <c r="Y25" s="4396"/>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20"/>
      <c r="Q26" s="1732"/>
      <c r="R26" s="3912"/>
      <c r="S26" s="3693"/>
      <c r="T26" s="3912"/>
      <c r="U26" s="3693"/>
      <c r="V26" s="3912"/>
      <c r="W26" s="3693"/>
      <c r="X26" s="483"/>
      <c r="Y26" s="4396"/>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20"/>
      <c r="Q27" s="1732" t="str">
        <f t="shared" ref="Q27" si="9">B27</f>
        <v>基础设施水平</v>
      </c>
      <c r="R27" s="3912" t="s">
        <v>13</v>
      </c>
      <c r="S27" s="3693">
        <f>F27</f>
        <v>100</v>
      </c>
      <c r="T27" s="3912" t="s">
        <v>13</v>
      </c>
      <c r="U27" s="3693">
        <f>H27</f>
        <v>100</v>
      </c>
      <c r="V27" s="3912" t="s">
        <v>13</v>
      </c>
      <c r="W27" s="3693">
        <f>J27</f>
        <v>100</v>
      </c>
      <c r="X27" s="483"/>
      <c r="Y27" s="4396"/>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20"/>
      <c r="Q28" s="1732"/>
      <c r="R28" s="3912"/>
      <c r="S28" s="3693"/>
      <c r="T28" s="3912"/>
      <c r="U28" s="3693"/>
      <c r="V28" s="3912"/>
      <c r="W28" s="3693"/>
      <c r="X28" s="483"/>
      <c r="Y28" s="4396"/>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20"/>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396"/>
      <c r="Z29" s="935" t="str">
        <f t="shared" ref="Z29:Z42" si="13">Q29</f>
        <v>临街状况</v>
      </c>
      <c r="AA29" s="935">
        <f t="shared" si="3"/>
        <v>1</v>
      </c>
      <c r="AB29" s="935">
        <f t="shared" si="4"/>
        <v>1</v>
      </c>
      <c r="AC29" s="935">
        <f t="shared" si="5"/>
        <v>1</v>
      </c>
    </row>
    <row r="30" spans="1:29" ht="28.8">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20"/>
      <c r="Q30" s="1534" t="str">
        <f t="shared" si="8"/>
        <v>毗邻道路的类型与等级</v>
      </c>
      <c r="R30" s="3913" t="s">
        <v>13</v>
      </c>
      <c r="S30" s="3915">
        <f t="shared" si="10"/>
        <v>100</v>
      </c>
      <c r="T30" s="3913" t="s">
        <v>13</v>
      </c>
      <c r="U30" s="3915">
        <f t="shared" si="11"/>
        <v>100</v>
      </c>
      <c r="V30" s="3913" t="s">
        <v>13</v>
      </c>
      <c r="W30" s="3915">
        <f t="shared" si="12"/>
        <v>100</v>
      </c>
      <c r="X30" s="937"/>
      <c r="Y30" s="4396"/>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20"/>
      <c r="Q31" s="1534"/>
      <c r="R31" s="3913"/>
      <c r="S31" s="3915"/>
      <c r="T31" s="3913"/>
      <c r="U31" s="3915"/>
      <c r="V31" s="3913"/>
      <c r="W31" s="3915"/>
      <c r="X31" s="937"/>
      <c r="Y31" s="4396"/>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20"/>
      <c r="Q32" s="1534" t="str">
        <f t="shared" si="8"/>
        <v>土地级别</v>
      </c>
      <c r="R32" s="3913" t="s">
        <v>13</v>
      </c>
      <c r="S32" s="3915">
        <f t="shared" si="10"/>
        <v>100</v>
      </c>
      <c r="T32" s="3913" t="s">
        <v>13</v>
      </c>
      <c r="U32" s="3915">
        <f t="shared" si="11"/>
        <v>100</v>
      </c>
      <c r="V32" s="3913" t="s">
        <v>13</v>
      </c>
      <c r="W32" s="3915">
        <f t="shared" si="12"/>
        <v>100</v>
      </c>
      <c r="X32" s="937"/>
      <c r="Y32" s="4396"/>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20"/>
      <c r="Q33" s="1534">
        <f t="shared" si="8"/>
        <v>111</v>
      </c>
      <c r="R33" s="3913" t="s">
        <v>13</v>
      </c>
      <c r="S33" s="3915">
        <f t="shared" si="10"/>
        <v>100</v>
      </c>
      <c r="T33" s="3913" t="s">
        <v>13</v>
      </c>
      <c r="U33" s="3915">
        <f t="shared" si="11"/>
        <v>100</v>
      </c>
      <c r="V33" s="3913" t="s">
        <v>13</v>
      </c>
      <c r="W33" s="3915">
        <f t="shared" si="12"/>
        <v>100</v>
      </c>
      <c r="X33" s="937"/>
      <c r="Y33" s="4396"/>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21" t="s">
        <v>1611</v>
      </c>
      <c r="Q34" s="1534">
        <f t="shared" si="8"/>
        <v>111</v>
      </c>
      <c r="R34" s="3913" t="s">
        <v>13</v>
      </c>
      <c r="S34" s="3915">
        <f t="shared" si="10"/>
        <v>100</v>
      </c>
      <c r="T34" s="3913" t="s">
        <v>13</v>
      </c>
      <c r="U34" s="3915">
        <f t="shared" si="11"/>
        <v>100</v>
      </c>
      <c r="V34" s="3913" t="s">
        <v>13</v>
      </c>
      <c r="W34" s="3915">
        <f t="shared" si="12"/>
        <v>100</v>
      </c>
      <c r="X34" s="937"/>
      <c r="Y34" s="4400" t="s">
        <v>1611</v>
      </c>
      <c r="Z34" s="935">
        <f t="shared" si="13"/>
        <v>111</v>
      </c>
      <c r="AA34" s="935">
        <f t="shared" si="3"/>
        <v>1</v>
      </c>
      <c r="AB34" s="935">
        <f t="shared" si="4"/>
        <v>1</v>
      </c>
      <c r="AC34" s="935">
        <f t="shared" si="5"/>
        <v>1</v>
      </c>
    </row>
    <row r="35" spans="1:31" s="280" customFormat="1" ht="15.6"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22"/>
      <c r="Q35" s="1534">
        <f t="shared" si="8"/>
        <v>111</v>
      </c>
      <c r="R35" s="3914" t="s">
        <v>13</v>
      </c>
      <c r="S35" s="3916">
        <f t="shared" si="10"/>
        <v>100</v>
      </c>
      <c r="T35" s="3914" t="s">
        <v>13</v>
      </c>
      <c r="U35" s="3916">
        <f t="shared" si="11"/>
        <v>100</v>
      </c>
      <c r="V35" s="3914" t="s">
        <v>13</v>
      </c>
      <c r="W35" s="3916">
        <f t="shared" si="12"/>
        <v>100</v>
      </c>
      <c r="X35" s="485"/>
      <c r="Y35" s="4400"/>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22"/>
      <c r="Q36" s="1534" t="str">
        <f>B36</f>
        <v>宗地面积</v>
      </c>
      <c r="R36" s="3913" t="s">
        <v>13</v>
      </c>
      <c r="S36" s="3915" t="e">
        <f t="shared" si="10"/>
        <v>#N/A</v>
      </c>
      <c r="T36" s="3913" t="s">
        <v>13</v>
      </c>
      <c r="U36" s="3915" t="e">
        <f t="shared" si="11"/>
        <v>#N/A</v>
      </c>
      <c r="V36" s="3913" t="s">
        <v>13</v>
      </c>
      <c r="W36" s="3915" t="e">
        <f t="shared" si="12"/>
        <v>#N/A</v>
      </c>
      <c r="X36" s="937"/>
      <c r="Y36" s="4400"/>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22"/>
      <c r="Q37" s="1534" t="str">
        <f t="shared" ref="Q37:Q42" si="14">B37</f>
        <v>宗地形状</v>
      </c>
      <c r="R37" s="3913" t="s">
        <v>13</v>
      </c>
      <c r="S37" s="3915">
        <f t="shared" si="10"/>
        <v>100</v>
      </c>
      <c r="T37" s="3913" t="s">
        <v>13</v>
      </c>
      <c r="U37" s="3915">
        <f t="shared" si="11"/>
        <v>100</v>
      </c>
      <c r="V37" s="3913" t="s">
        <v>13</v>
      </c>
      <c r="W37" s="3915">
        <f t="shared" si="12"/>
        <v>100</v>
      </c>
      <c r="X37" s="937"/>
      <c r="Y37" s="4400"/>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22"/>
      <c r="Q38" s="1534" t="str">
        <f t="shared" si="14"/>
        <v>宗地开发程度</v>
      </c>
      <c r="R38" s="3912" t="s">
        <v>13</v>
      </c>
      <c r="S38" s="3693">
        <f t="shared" si="10"/>
        <v>100</v>
      </c>
      <c r="T38" s="3912" t="s">
        <v>13</v>
      </c>
      <c r="U38" s="3693">
        <f t="shared" si="11"/>
        <v>100</v>
      </c>
      <c r="V38" s="3912" t="s">
        <v>13</v>
      </c>
      <c r="W38" s="3693">
        <f t="shared" si="12"/>
        <v>100</v>
      </c>
      <c r="X38" s="483"/>
      <c r="Y38" s="4400"/>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22" t="s">
        <v>1611</v>
      </c>
      <c r="Q39" s="1534" t="str">
        <f t="shared" si="14"/>
        <v>工程地质条件</v>
      </c>
      <c r="R39" s="3913" t="s">
        <v>13</v>
      </c>
      <c r="S39" s="3915">
        <f t="shared" si="10"/>
        <v>100</v>
      </c>
      <c r="T39" s="3913" t="s">
        <v>13</v>
      </c>
      <c r="U39" s="3915">
        <f t="shared" si="11"/>
        <v>100</v>
      </c>
      <c r="V39" s="3913" t="s">
        <v>13</v>
      </c>
      <c r="W39" s="3915">
        <f t="shared" si="12"/>
        <v>100</v>
      </c>
      <c r="X39" s="937"/>
      <c r="Y39" s="4400"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22"/>
      <c r="Q40" s="1534">
        <f t="shared" si="14"/>
        <v>111</v>
      </c>
      <c r="R40" s="3913" t="s">
        <v>13</v>
      </c>
      <c r="S40" s="3915">
        <f t="shared" si="10"/>
        <v>100</v>
      </c>
      <c r="T40" s="3913" t="s">
        <v>13</v>
      </c>
      <c r="U40" s="3915">
        <f t="shared" si="11"/>
        <v>100</v>
      </c>
      <c r="V40" s="3913" t="s">
        <v>13</v>
      </c>
      <c r="W40" s="3915">
        <f t="shared" si="12"/>
        <v>100</v>
      </c>
      <c r="X40" s="937"/>
      <c r="Y40" s="4400"/>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22"/>
      <c r="Q41" s="1534">
        <f t="shared" si="14"/>
        <v>111</v>
      </c>
      <c r="R41" s="3913" t="s">
        <v>13</v>
      </c>
      <c r="S41" s="3915">
        <f t="shared" si="10"/>
        <v>100</v>
      </c>
      <c r="T41" s="3913" t="s">
        <v>13</v>
      </c>
      <c r="U41" s="3915">
        <f t="shared" si="11"/>
        <v>100</v>
      </c>
      <c r="V41" s="3913" t="s">
        <v>13</v>
      </c>
      <c r="W41" s="3915">
        <f t="shared" si="12"/>
        <v>100</v>
      </c>
      <c r="X41" s="937"/>
      <c r="Y41" s="4400"/>
      <c r="Z41" s="935">
        <f t="shared" si="13"/>
        <v>111</v>
      </c>
      <c r="AA41" s="935">
        <f t="shared" si="3"/>
        <v>1</v>
      </c>
      <c r="AB41" s="935">
        <f t="shared" si="4"/>
        <v>1</v>
      </c>
      <c r="AC41" s="935">
        <f t="shared" si="5"/>
        <v>1</v>
      </c>
    </row>
    <row r="42" spans="1:31" s="280" customFormat="1" ht="15.6"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22"/>
      <c r="Q42" s="1534">
        <f t="shared" si="14"/>
        <v>111</v>
      </c>
      <c r="R42" s="3914" t="s">
        <v>13</v>
      </c>
      <c r="S42" s="3916">
        <f t="shared" si="10"/>
        <v>100</v>
      </c>
      <c r="T42" s="3914" t="s">
        <v>13</v>
      </c>
      <c r="U42" s="3916">
        <f t="shared" si="11"/>
        <v>100</v>
      </c>
      <c r="V42" s="3914" t="s">
        <v>13</v>
      </c>
      <c r="W42" s="3916">
        <f t="shared" si="12"/>
        <v>100</v>
      </c>
      <c r="X42" s="485"/>
      <c r="Y42" s="4400"/>
      <c r="Z42" s="486">
        <f t="shared" si="13"/>
        <v>111</v>
      </c>
      <c r="AA42" s="935">
        <f t="shared" si="3"/>
        <v>1</v>
      </c>
      <c r="AB42" s="935">
        <f t="shared" si="4"/>
        <v>1</v>
      </c>
      <c r="AC42" s="935">
        <f t="shared" si="5"/>
        <v>1</v>
      </c>
    </row>
    <row r="43" spans="1:31" ht="14.4">
      <c r="A43" s="287" t="s">
        <v>1759</v>
      </c>
      <c r="B43" s="1457" t="s">
        <v>1837</v>
      </c>
      <c r="C43" s="440" t="s">
        <v>0</v>
      </c>
      <c r="D43" s="3306"/>
      <c r="E43" s="3344"/>
      <c r="F43" s="3283"/>
      <c r="G43" s="3345"/>
      <c r="H43" s="3284"/>
      <c r="I43" s="3344"/>
      <c r="J43" s="3284"/>
      <c r="K43" s="2956"/>
      <c r="L43" s="2016"/>
      <c r="M43" s="2009"/>
      <c r="N43" s="2009"/>
      <c r="O43" s="2009"/>
      <c r="P43" s="4388" t="str">
        <f>A43</f>
        <v>成交单价</v>
      </c>
      <c r="Q43" s="4388"/>
      <c r="R43" s="4389">
        <f>E43</f>
        <v>0</v>
      </c>
      <c r="S43" s="4389"/>
      <c r="T43" s="4389">
        <f>G43</f>
        <v>0</v>
      </c>
      <c r="U43" s="4389"/>
      <c r="V43" s="4389">
        <f>I43</f>
        <v>0</v>
      </c>
      <c r="W43" s="4389"/>
      <c r="X43" s="266"/>
      <c r="Y43" s="487"/>
      <c r="Z43" s="266"/>
      <c r="AA43" s="266"/>
      <c r="AB43" s="266"/>
      <c r="AC43" s="266"/>
    </row>
    <row r="44" spans="1:31" ht="1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388" t="str">
        <f>A44</f>
        <v>比较价值（元/平方米）</v>
      </c>
      <c r="Q44" s="4388"/>
      <c r="R44" s="4389" t="e">
        <f>ROUND(PRODUCT(R43,AA9:AA42),0)</f>
        <v>#DIV/0!</v>
      </c>
      <c r="S44" s="4389"/>
      <c r="T44" s="4389" t="e">
        <f>ROUND(PRODUCT(T43,AB9:AB42),0)</f>
        <v>#DIV/0!</v>
      </c>
      <c r="U44" s="4389"/>
      <c r="V44" s="4389" t="e">
        <f>ROUND(PRODUCT(V43,AC9:AC42),0)</f>
        <v>#DIV/0!</v>
      </c>
      <c r="W44" s="4389"/>
      <c r="X44" s="266"/>
      <c r="Y44" s="266"/>
      <c r="Z44" s="266"/>
      <c r="AA44" s="266"/>
      <c r="AB44" s="266"/>
      <c r="AC44" s="266"/>
    </row>
    <row r="45" spans="1:31" ht="15" thickBot="1">
      <c r="A45" s="292" t="s">
        <v>1709</v>
      </c>
      <c r="B45" s="293"/>
      <c r="C45" s="3898" t="e">
        <f>R45</f>
        <v>#DIV/0!</v>
      </c>
      <c r="D45" s="3285"/>
      <c r="E45" s="3285"/>
      <c r="F45" s="3285"/>
      <c r="G45" s="3285"/>
      <c r="H45" s="3285"/>
      <c r="I45" s="3285"/>
      <c r="J45" s="3285"/>
      <c r="K45" s="3307"/>
      <c r="L45" s="2016"/>
      <c r="M45" s="2009"/>
      <c r="N45" s="2009"/>
      <c r="O45" s="2009"/>
      <c r="P45" s="4493" t="str">
        <f>A45</f>
        <v>估价对象XX用房的比较价值（楼面单价，元/平方米）</v>
      </c>
      <c r="Q45" s="4494"/>
      <c r="R45" s="4495" t="e">
        <f>ROUND(IF(D44="简单平均",AVERAGE(R44:W44),R44*F44+T44*H44+V44*J44),0)</f>
        <v>#DIV/0!</v>
      </c>
      <c r="S45" s="4495"/>
      <c r="T45" s="4495"/>
      <c r="U45" s="4495"/>
      <c r="V45" s="4495"/>
      <c r="W45" s="4495"/>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4.4"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8.8">
      <c r="A52" s="442" t="s">
        <v>1796</v>
      </c>
      <c r="B52" s="443" t="s">
        <v>1797</v>
      </c>
      <c r="C52" s="1458" t="s">
        <v>1798</v>
      </c>
      <c r="D52" s="1459" t="s">
        <v>1799</v>
      </c>
      <c r="E52" s="444" t="s">
        <v>1800</v>
      </c>
      <c r="F52" s="445" t="s">
        <v>1801</v>
      </c>
      <c r="G52" s="4406" t="s">
        <v>1802</v>
      </c>
      <c r="H52" s="4536"/>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4265.7700000000004</v>
      </c>
      <c r="F53" s="3197" t="e">
        <f t="shared" ref="F53:F62" si="15">ROUND(B53*E53/10000,0)</f>
        <v>#DIV/0!</v>
      </c>
      <c r="G53" s="4537"/>
      <c r="H53" s="4524"/>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0.25</v>
      </c>
      <c r="D58" s="3196">
        <v>0.25</v>
      </c>
      <c r="E58" s="3199">
        <f>'数据-汇总表'!E11</f>
        <v>0</v>
      </c>
      <c r="F58" s="3197" t="e">
        <f t="shared" si="15"/>
        <v>#DIV/0!</v>
      </c>
      <c r="G58" s="3208" t="s">
        <v>1811</v>
      </c>
      <c r="H58" s="3202" t="str">
        <f>项目基本情况!C37</f>
        <v>六级</v>
      </c>
      <c r="I58" s="2816">
        <f>SUMIF(修正!A59:A70,H58,修正!E59:E70)</f>
        <v>0.25</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0.25</v>
      </c>
      <c r="D59" s="3196">
        <v>0.25</v>
      </c>
      <c r="E59" s="3199">
        <f>'数据-汇总表'!E12</f>
        <v>0</v>
      </c>
      <c r="F59" s="3197" t="e">
        <f t="shared" si="15"/>
        <v>#DIV/0!</v>
      </c>
      <c r="G59" s="3209" t="s">
        <v>1813</v>
      </c>
      <c r="H59" s="3202" t="str">
        <f>IF(G59="商业",项目基本情况!B37,IF(G59="办公",项目基本情况!C37,IF(G59="住宅",项目基本情况!D37,项目基本情况!E37)))</f>
        <v>六级</v>
      </c>
      <c r="I59" s="2816">
        <f>SUMIF(修正!A59:A70,H59,修正!F59:F70)</f>
        <v>0.25</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4.4" thickBot="1">
      <c r="A62" s="448" t="s">
        <v>1817</v>
      </c>
      <c r="B62" s="3926" t="e">
        <f t="shared" si="17"/>
        <v>#DIV/0!</v>
      </c>
      <c r="C62" s="3193">
        <f t="shared" si="16"/>
        <v>0.15</v>
      </c>
      <c r="D62" s="3196">
        <v>0.25</v>
      </c>
      <c r="E62" s="3199">
        <f>'数据-汇总表'!E15</f>
        <v>0</v>
      </c>
      <c r="F62" s="3197" t="e">
        <f t="shared" si="15"/>
        <v>#DIV/0!</v>
      </c>
      <c r="G62" s="3210" t="s">
        <v>1811</v>
      </c>
      <c r="H62" s="3204" t="str">
        <f>项目基本情况!C37</f>
        <v>六级</v>
      </c>
      <c r="I62" s="2816">
        <f>SUMIF(修正!A59:A70,H62,修正!G59:G70)</f>
        <v>0.15</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4.4" thickBot="1">
      <c r="A63" s="449" t="s">
        <v>1818</v>
      </c>
      <c r="B63" s="450" t="s">
        <v>20</v>
      </c>
      <c r="C63" s="450" t="s">
        <v>21</v>
      </c>
      <c r="D63" s="450" t="s">
        <v>386</v>
      </c>
      <c r="E63" s="3200">
        <f>IF(B43="楼面地价",SUM(E53:E62),'数据-汇总表'!D3)</f>
        <v>0</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2026-1-1</v>
      </c>
      <c r="D65" s="475">
        <f>EDATE(C65,-3)</f>
        <v>45931</v>
      </c>
      <c r="E65" s="475">
        <f>EDATE(D65,-3)</f>
        <v>45839</v>
      </c>
      <c r="F65" s="475">
        <f t="shared" ref="F65:O65" si="18">EDATE(E65,-3)</f>
        <v>45748</v>
      </c>
      <c r="G65" s="475">
        <f t="shared" si="18"/>
        <v>45658</v>
      </c>
      <c r="H65" s="475">
        <f t="shared" si="18"/>
        <v>45566</v>
      </c>
      <c r="I65" s="475">
        <f t="shared" si="18"/>
        <v>45474</v>
      </c>
      <c r="J65" s="475">
        <f t="shared" si="18"/>
        <v>45383</v>
      </c>
      <c r="K65" s="475">
        <f t="shared" si="18"/>
        <v>45292</v>
      </c>
      <c r="L65" s="475">
        <f t="shared" si="18"/>
        <v>45200</v>
      </c>
      <c r="M65" s="475">
        <f t="shared" si="18"/>
        <v>45108</v>
      </c>
      <c r="N65" s="475">
        <f t="shared" si="18"/>
        <v>45017</v>
      </c>
      <c r="O65" s="475">
        <f t="shared" si="18"/>
        <v>44927</v>
      </c>
      <c r="P65" s="2009"/>
      <c r="Q65" s="2009"/>
      <c r="R65" s="2009"/>
      <c r="S65" s="2009"/>
      <c r="T65" s="2009"/>
      <c r="U65" s="2009"/>
      <c r="V65" s="2009"/>
      <c r="W65" s="2009"/>
      <c r="X65" s="2009"/>
      <c r="Y65" s="2009"/>
      <c r="Z65" s="2009"/>
      <c r="AA65" s="2009"/>
      <c r="AB65" s="2009"/>
      <c r="AC65" s="2009"/>
      <c r="AD65" s="2009"/>
      <c r="AE65" s="2009"/>
    </row>
    <row r="66" spans="1:31" ht="22.2"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4.4">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4.4">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4.4"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ht="14.4">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4.4"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9.4"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4.4"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4.4"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4.4"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4.4"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4.4"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4.4"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4.4"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ht="14.4">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29.4"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9.4"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4.4"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4.4"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4.4"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4.4"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4.4"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4.4"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4.4"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4.4"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4.4"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4.4"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4.4"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4.4"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4.4"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1536</v>
      </c>
      <c r="B1" s="47"/>
      <c r="C1" s="809"/>
      <c r="D1" s="808"/>
      <c r="E1" s="2079"/>
      <c r="F1" s="2079"/>
      <c r="G1" s="1972"/>
      <c r="H1" s="2079"/>
      <c r="I1" s="2079"/>
      <c r="J1" s="2079"/>
      <c r="K1" s="2080">
        <f>MATCH(C1,'数据-取费表'!A6:A16,0)+5</f>
        <v>7</v>
      </c>
    </row>
    <row r="2" spans="1:33" ht="18" customHeight="1">
      <c r="A2" s="97" t="s">
        <v>1434</v>
      </c>
      <c r="B2" s="2591">
        <f ca="1">IF(D2="含税",C37,C36)</f>
        <v>0</v>
      </c>
      <c r="C2" s="172" t="s">
        <v>1537</v>
      </c>
      <c r="D2" s="3464"/>
      <c r="E2" s="2079"/>
      <c r="G2" s="2079"/>
      <c r="H2" s="2079"/>
      <c r="I2" s="2079"/>
      <c r="J2" s="2079"/>
      <c r="K2" s="2079"/>
    </row>
    <row r="3" spans="1:33" ht="18" customHeight="1">
      <c r="A3" s="99" t="s">
        <v>1436</v>
      </c>
      <c r="B3" s="2591">
        <f ca="1">ROUND(B2*10000/IF(C1="",'数据-汇总表'!E3,INDIRECT("'数据-取费表'!K"&amp;$K$1)),0)</f>
        <v>0</v>
      </c>
      <c r="C3" s="172" t="s">
        <v>1538</v>
      </c>
      <c r="E3" s="533"/>
      <c r="I3" s="2079"/>
      <c r="J3" s="2079"/>
      <c r="K3" s="2079"/>
    </row>
    <row r="4" spans="1:33" ht="18" customHeight="1">
      <c r="A4" s="3520" t="s">
        <v>3641</v>
      </c>
      <c r="B4" s="3525" t="e">
        <f ca="1">ROUND(B2*10000/IF(C1="",'数据-汇总表'!D3,INDIRECT("'数据-取费表'!R"&amp;$K$1)),0)</f>
        <v>#DIV/0!</v>
      </c>
      <c r="C4" s="3524" t="s">
        <v>1538</v>
      </c>
      <c r="E4" s="533"/>
      <c r="I4" s="2079"/>
      <c r="J4" s="2079"/>
      <c r="K4" s="2079"/>
    </row>
    <row r="5" spans="1:33" ht="18" customHeight="1" thickBot="1">
      <c r="A5" s="95"/>
      <c r="B5" s="3521" t="e">
        <f ca="1">ROUND(B2/(IF(C1="",'数据-汇总表'!D3,INDIRECT("'数据-取费表'!R"&amp;$K$1))/666.67),0)</f>
        <v>#DIV/0!</v>
      </c>
      <c r="C5" s="3523" t="s">
        <v>3639</v>
      </c>
      <c r="E5" s="533"/>
      <c r="I5" s="2079"/>
      <c r="J5" s="2079"/>
      <c r="K5" s="2079"/>
    </row>
    <row r="6" spans="1:33" s="534" customFormat="1" ht="16.5" customHeight="1">
      <c r="A6" s="2728" t="s">
        <v>3379</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6" t="s">
        <v>3394</v>
      </c>
      <c r="B11" s="4547"/>
      <c r="C11" s="4547"/>
      <c r="D11" s="4547"/>
      <c r="E11" s="4547"/>
      <c r="F11" s="4547"/>
      <c r="G11" s="4547"/>
      <c r="H11" s="4547"/>
      <c r="I11" s="4547"/>
      <c r="J11" s="4547"/>
      <c r="K11" s="4548"/>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0</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0.05</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0</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0</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124</v>
      </c>
      <c r="D22" s="2784">
        <f ca="1">IF(C1="",'数据-汇总表'!E6,IF(INDIRECT("'数据-取费表'!c"&amp;$K$1)="住宅",INDIRECT("'数据-取费表'!s"&amp;$K$1),INDIRECT("'数据-取费表'!k"&amp;$K$1)+INDIRECT("'数据-取费表'!s"&amp;$K$1)))</f>
        <v>6216.26</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6216.26</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6216.26</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0.01</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0</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（(1)+取得税费率）/(1+5%)×((1+年利率)^建设期-1)</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（1）-（3）项×((1+年利率)^(建设期÷2)-1)</v>
      </c>
      <c r="H31" s="55"/>
      <c r="I31" s="55"/>
      <c r="J31" s="55"/>
      <c r="K31" s="2758"/>
    </row>
    <row r="32" spans="1:33" s="542" customFormat="1" ht="13.5" customHeight="1">
      <c r="A32" s="2560">
        <v>7</v>
      </c>
      <c r="B32" s="2767" t="s">
        <v>1565</v>
      </c>
      <c r="C32" s="2764">
        <f>ROUND(C13*F32/(1+'数据-取费表'!C43),0)</f>
        <v>0</v>
      </c>
      <c r="D32" s="2756"/>
      <c r="E32" s="2768"/>
      <c r="F32" s="2765"/>
      <c r="G32" s="4544" t="s">
        <v>3393</v>
      </c>
      <c r="H32" s="4544"/>
      <c r="I32" s="4544"/>
      <c r="J32" s="4544"/>
      <c r="K32" s="4545"/>
    </row>
    <row r="33" spans="1:11" s="177" customFormat="1" ht="13.5" customHeight="1">
      <c r="A33" s="2560">
        <v>8</v>
      </c>
      <c r="B33" s="2734" t="s">
        <v>1562</v>
      </c>
      <c r="C33" s="2783" t="str">
        <f ca="1">C35&amp;"+"&amp;C34&amp;"V"</f>
        <v>0+0V</v>
      </c>
      <c r="D33" s="173"/>
      <c r="E33" s="174"/>
      <c r="F33" s="2751">
        <f ca="1">IF(C1="",'数据-取费表'!Q16,INDIRECT("'数据-取费表'!q"&amp;$K$1))</f>
        <v>0.15</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0</v>
      </c>
      <c r="D35" s="175"/>
      <c r="E35" s="544"/>
      <c r="F35" s="2750"/>
      <c r="G35" s="55"/>
      <c r="H35" s="55"/>
      <c r="I35" s="55"/>
      <c r="J35" s="55"/>
      <c r="K35" s="2758"/>
    </row>
    <row r="36" spans="1:11" s="540" customFormat="1" ht="15.6">
      <c r="A36" s="2560">
        <v>9</v>
      </c>
      <c r="B36" s="2755" t="s">
        <v>3392</v>
      </c>
      <c r="C36" s="2739">
        <f ca="1">ROUND((C13-C15-C27-C28-C31-C35-C32)/(1+F14+C30+C34),0)</f>
        <v>0</v>
      </c>
      <c r="D36" s="2756"/>
      <c r="E36" s="2756"/>
      <c r="F36" s="173"/>
      <c r="G36" s="2793" t="s">
        <v>3404</v>
      </c>
      <c r="H36" s="2756"/>
      <c r="I36" s="2756"/>
      <c r="J36" s="2756"/>
      <c r="K36" s="2757"/>
    </row>
    <row r="37" spans="1:11" s="2882" customFormat="1" ht="15" thickBot="1">
      <c r="A37" s="2769">
        <v>10</v>
      </c>
      <c r="B37" s="2770" t="s">
        <v>3486</v>
      </c>
      <c r="C37" s="2879">
        <f ca="1">ROUND(C36*(1+F37),0)</f>
        <v>0</v>
      </c>
      <c r="D37" s="2880"/>
      <c r="E37" s="2881"/>
      <c r="F37" s="2771">
        <v>0.09</v>
      </c>
      <c r="G37" s="2755" t="s">
        <v>3487</v>
      </c>
      <c r="H37" s="2756"/>
      <c r="I37" s="2756"/>
      <c r="J37" s="2756"/>
      <c r="K37" s="2757"/>
    </row>
    <row r="38" spans="1:11" ht="12.75" customHeight="1"/>
    <row r="44" spans="1:11" s="3348" customFormat="1" ht="18" thickBot="1">
      <c r="A44" s="3353" t="s">
        <v>3496</v>
      </c>
      <c r="B44" s="1895"/>
      <c r="C44" s="3354"/>
      <c r="D44" s="1895"/>
      <c r="E44" s="1895"/>
      <c r="F44" s="1895"/>
      <c r="G44" s="1895"/>
    </row>
    <row r="45" spans="1:11" s="3348" customFormat="1" ht="14.4">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0</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0</v>
      </c>
      <c r="D53" s="645"/>
      <c r="E53" s="645"/>
      <c r="F53" s="645"/>
      <c r="G53" s="645"/>
    </row>
    <row r="54" spans="1:7" s="3348" customFormat="1">
      <c r="A54" s="3546" t="s">
        <v>3390</v>
      </c>
      <c r="B54" s="3547" t="s">
        <v>3516</v>
      </c>
      <c r="C54" s="3548">
        <f ca="1">C20</f>
        <v>0</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0</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0+0V</v>
      </c>
      <c r="D64" s="645"/>
      <c r="E64" s="645"/>
      <c r="F64" s="645"/>
      <c r="G64" s="645"/>
    </row>
    <row r="65" spans="1:7" s="3348" customFormat="1">
      <c r="A65" s="645">
        <v>5</v>
      </c>
      <c r="B65" s="2773" t="s">
        <v>3506</v>
      </c>
      <c r="C65" s="2743">
        <f ca="1">C36</f>
        <v>0</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1996</v>
      </c>
      <c r="B1" s="4"/>
      <c r="C1" s="4"/>
      <c r="D1" s="4"/>
      <c r="E1" s="4"/>
      <c r="F1" s="2066"/>
      <c r="G1" s="2066"/>
      <c r="H1" s="2066"/>
      <c r="I1" s="2066"/>
      <c r="J1" s="2066"/>
      <c r="K1" s="2066"/>
      <c r="L1" s="2066"/>
      <c r="M1" s="2066"/>
      <c r="N1" s="2066"/>
      <c r="O1" s="2066"/>
      <c r="P1" s="2066"/>
    </row>
    <row r="2" spans="1:16" ht="15.6">
      <c r="A2" s="1603" t="s">
        <v>1988</v>
      </c>
      <c r="B2" s="3019">
        <f ca="1">SUMIF(B6:B13,"&lt;&gt;#ref!",B6:B13)</f>
        <v>0</v>
      </c>
      <c r="C2" s="1603" t="s">
        <v>1989</v>
      </c>
      <c r="D2" s="1603" t="s">
        <v>1990</v>
      </c>
      <c r="E2" s="3020">
        <f ca="1">SUMIF(E6:E13,"&lt;&gt;#ref!",E6:E13)</f>
        <v>0</v>
      </c>
      <c r="F2" s="2066"/>
      <c r="G2" s="2066"/>
      <c r="H2" s="2066"/>
      <c r="I2" s="2066"/>
      <c r="J2" s="2066"/>
      <c r="K2" s="2066"/>
      <c r="L2" s="2066"/>
      <c r="M2" s="2066"/>
      <c r="N2" s="2066"/>
      <c r="O2" s="2066"/>
      <c r="P2" s="2066"/>
    </row>
    <row r="3" spans="1:16" ht="15.6">
      <c r="A3" s="1603" t="s">
        <v>1991</v>
      </c>
      <c r="B3" s="3019" t="e">
        <f ca="1">ROUND(B2*10000/E2,0)</f>
        <v>#DIV/0!</v>
      </c>
      <c r="C3" s="1603" t="s">
        <v>1997</v>
      </c>
      <c r="D3" s="2066"/>
      <c r="E3" s="2066"/>
      <c r="F3" s="2066"/>
      <c r="G3" s="2066"/>
      <c r="H3" s="2066"/>
      <c r="I3" s="2066"/>
      <c r="J3" s="2066"/>
      <c r="K3" s="2066"/>
      <c r="L3" s="2066"/>
      <c r="M3" s="2066"/>
      <c r="N3" s="2066"/>
      <c r="O3" s="2066"/>
      <c r="P3" s="2066"/>
    </row>
    <row r="4" spans="1:16" ht="15.6">
      <c r="A4" s="2078"/>
      <c r="B4" s="2066"/>
      <c r="C4" s="2066"/>
      <c r="D4" s="2066"/>
      <c r="E4" s="2066"/>
      <c r="F4" s="2066"/>
      <c r="G4" s="2066"/>
      <c r="H4" s="2066"/>
      <c r="I4" s="2066"/>
      <c r="J4" s="2066"/>
      <c r="K4" s="2066"/>
      <c r="L4" s="2066"/>
      <c r="M4" s="2066"/>
      <c r="N4" s="2066"/>
      <c r="O4" s="2066"/>
      <c r="P4" s="2066"/>
    </row>
    <row r="5" spans="1:16" ht="31.2">
      <c r="A5" s="1919" t="s">
        <v>1992</v>
      </c>
      <c r="B5" s="1921" t="s">
        <v>1993</v>
      </c>
      <c r="C5" s="1604"/>
      <c r="D5" s="2066"/>
      <c r="E5" s="1922" t="s">
        <v>1994</v>
      </c>
      <c r="F5" s="2066"/>
      <c r="G5" s="2066"/>
      <c r="H5" s="2066"/>
      <c r="I5" s="2066"/>
      <c r="J5" s="2066"/>
      <c r="K5" s="2066"/>
      <c r="L5" s="2066"/>
      <c r="M5" s="2066"/>
      <c r="N5" s="2066"/>
      <c r="O5" s="2066"/>
      <c r="P5" s="2066"/>
    </row>
    <row r="6" spans="1:16" ht="15.6">
      <c r="A6" s="1920" t="s">
        <v>1995</v>
      </c>
      <c r="B6" s="3019">
        <f ca="1">SUMIF(INDIRECT("'"&amp;A6&amp;"'"&amp;"!A:A"),"总价",INDIRECT("'"&amp;A6&amp;"'"&amp;"!B:B"))</f>
        <v>0</v>
      </c>
      <c r="C6" s="1603" t="s">
        <v>1989</v>
      </c>
      <c r="D6" s="2066"/>
      <c r="E6" s="3020">
        <f ca="1">SUMIF(INDIRECT("'"&amp;A6&amp;"'"&amp;"!C:C"),"建筑面积",INDIRECT("'"&amp;A6&amp;"'"&amp;"!D:D"))</f>
        <v>0</v>
      </c>
      <c r="F6" s="2066"/>
      <c r="G6" s="2066"/>
      <c r="H6" s="2066"/>
      <c r="I6" s="2066"/>
      <c r="J6" s="2066"/>
      <c r="K6" s="2066"/>
      <c r="L6" s="2066"/>
      <c r="M6" s="2066"/>
      <c r="N6" s="2066"/>
      <c r="O6" s="2066"/>
      <c r="P6" s="2066"/>
    </row>
    <row r="7" spans="1:16" ht="15.6">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6">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6">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6">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6">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6">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6">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zoomScaleSheetLayoutView="100" workbookViewId="0">
      <selection activeCell="I34" sqref="I34"/>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1841</v>
      </c>
      <c r="B1" s="93"/>
      <c r="C1" s="97" t="s">
        <v>1842</v>
      </c>
      <c r="D1" s="225">
        <f>SUM(D33:D34,D37:D42)</f>
        <v>0</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6">
      <c r="A2" s="97" t="s">
        <v>1849</v>
      </c>
      <c r="B2" s="2591">
        <f>C30</f>
        <v>0</v>
      </c>
      <c r="C2" s="1468" t="s">
        <v>1850</v>
      </c>
      <c r="D2" s="68" t="s">
        <v>1851</v>
      </c>
      <c r="E2" s="2535" t="s">
        <v>3273</v>
      </c>
      <c r="F2" s="68" t="s">
        <v>1852</v>
      </c>
      <c r="G2" s="69" t="str">
        <f>IF(E2="商业",项目基本情况!B37,IF(E2="办公",项目基本情况!C37,IF(E2="住宅",项目基本情况!D37,IF(E2="工业",项目基本情况!E37,项目基本情况!F37))))</f>
        <v>六级</v>
      </c>
      <c r="H2" s="68" t="s">
        <v>1853</v>
      </c>
      <c r="I2" s="69" t="str">
        <f>IF(E2="商业",项目基本情况!B38,IF(E2="办公",项目基本情况!C38,IF(E2="住宅",项目基本情况!D38,IF(E2="工业",项目基本情况!E38,项目基本情况!F38))))</f>
        <v>Ⅵ-01</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1.5019</v>
      </c>
      <c r="T2" s="2478">
        <f t="shared" ref="T2:T16" si="0">ROUND($C$5*$C$22*$C$23*$C$24*S2*$C$28,0)</f>
        <v>6467</v>
      </c>
      <c r="U2" s="828"/>
      <c r="V2" s="2478">
        <f>ROUND(T2*U2/10000,0)</f>
        <v>0</v>
      </c>
      <c r="W2" s="831"/>
      <c r="X2" s="831"/>
      <c r="Y2" s="831"/>
      <c r="Z2" s="831"/>
      <c r="AA2" s="831"/>
      <c r="AB2" s="831"/>
      <c r="AC2" s="832"/>
      <c r="AD2" s="833"/>
      <c r="AE2" s="833"/>
      <c r="AF2" s="833"/>
      <c r="AG2" s="833"/>
      <c r="AH2" s="833"/>
      <c r="AI2" s="833"/>
      <c r="AJ2" s="834"/>
    </row>
    <row r="3" spans="1:36" ht="15.6">
      <c r="A3" s="99" t="s">
        <v>1855</v>
      </c>
      <c r="B3" s="2591" t="e">
        <f>ROUND(B2*10000/D1,0)</f>
        <v>#DIV/0!</v>
      </c>
      <c r="C3" s="1468" t="s">
        <v>1856</v>
      </c>
      <c r="D3" s="68" t="s">
        <v>1857</v>
      </c>
      <c r="E3" s="2533" t="s">
        <v>2347</v>
      </c>
      <c r="F3" s="1470" t="s">
        <v>3975</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1.1838</v>
      </c>
      <c r="T3" s="2478">
        <f t="shared" si="0"/>
        <v>5097</v>
      </c>
      <c r="U3" s="828"/>
      <c r="V3" s="2478">
        <f t="shared" ref="V3:V16" si="1">ROUND(T3*U3/10000,0)</f>
        <v>0</v>
      </c>
      <c r="W3" s="831"/>
      <c r="X3" s="831"/>
      <c r="Y3" s="831"/>
      <c r="Z3" s="831"/>
      <c r="AA3" s="831"/>
      <c r="AB3" s="831"/>
      <c r="AC3" s="832"/>
      <c r="AD3" s="833"/>
      <c r="AE3" s="833"/>
      <c r="AF3" s="833"/>
      <c r="AG3" s="833"/>
      <c r="AH3" s="833"/>
      <c r="AI3" s="833"/>
      <c r="AJ3" s="834"/>
    </row>
    <row r="4" spans="1:36" ht="15.6">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1.0004999999999999</v>
      </c>
      <c r="T4" s="2478">
        <f t="shared" si="0"/>
        <v>4308</v>
      </c>
      <c r="U4" s="828"/>
      <c r="V4" s="2478">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1862</v>
      </c>
      <c r="C5" s="3022">
        <f>ROUND(IF(E2="商业",C6*C7*C17+C20,(IF(E2="住宅",C6*C13*C17+C20,IF(E2="办公",C6*C12*C17+C20,C6+C20)))),0)</f>
        <v>7870</v>
      </c>
      <c r="D5" s="3023">
        <f>ROUND(C6*C17+C20,0)</f>
        <v>7870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0.88239999999999996</v>
      </c>
      <c r="T5" s="2478">
        <f t="shared" si="0"/>
        <v>3800</v>
      </c>
      <c r="U5" s="828"/>
      <c r="V5" s="2478">
        <f t="shared" si="1"/>
        <v>0</v>
      </c>
      <c r="W5" s="831"/>
      <c r="X5" s="831"/>
      <c r="Y5" s="831"/>
      <c r="Z5" s="831"/>
      <c r="AA5" s="831"/>
      <c r="AB5" s="831"/>
      <c r="AC5" s="1477"/>
      <c r="AD5" s="1478"/>
      <c r="AE5" s="1478"/>
      <c r="AF5" s="1478"/>
      <c r="AG5" s="1478"/>
      <c r="AH5" s="1478"/>
      <c r="AI5" s="1478"/>
      <c r="AJ5" s="1479"/>
    </row>
    <row r="6" spans="1:36" ht="15.6" thickBot="1">
      <c r="A6" s="1481" t="s">
        <v>1864</v>
      </c>
      <c r="B6" s="1482" t="s">
        <v>1865</v>
      </c>
      <c r="C6" s="3024">
        <f>SUMIF(L1:L12,G2,M1:M12)</f>
        <v>7870</v>
      </c>
      <c r="D6" s="1483"/>
      <c r="E6" s="1484"/>
      <c r="F6" s="1484"/>
      <c r="G6" s="1485"/>
      <c r="H6" s="1485"/>
      <c r="I6" s="1485"/>
      <c r="J6" s="1486"/>
      <c r="K6" s="963"/>
      <c r="L6" s="1469" t="s">
        <v>1866</v>
      </c>
      <c r="M6" s="571">
        <f>SUMPRODUCT((区片价!B127:B189=I2)*(区片价!C3:G3=E2)*(区片价!C127:G189))</f>
        <v>7870</v>
      </c>
      <c r="N6" s="573">
        <f>SUMPRODUCT((因素修正幅度!B127:B189=I2)*(因素修正幅度!C3:G3=E2)*(因素修正幅度!C127:G189))</f>
        <v>0.122</v>
      </c>
      <c r="O6" s="774"/>
      <c r="P6" s="774"/>
      <c r="Q6" s="774"/>
      <c r="R6" s="827">
        <v>5</v>
      </c>
      <c r="S6" s="2478">
        <f>ROUND(SUMPRODUCT((B106:B110=R6)*(C105:N105=G2)*(C106:N110)),4)</f>
        <v>0.84799999999999998</v>
      </c>
      <c r="T6" s="2478">
        <f t="shared" si="0"/>
        <v>3651</v>
      </c>
      <c r="U6" s="828"/>
      <c r="V6" s="2478">
        <f t="shared" si="1"/>
        <v>0</v>
      </c>
      <c r="W6" s="831"/>
      <c r="X6" s="831"/>
      <c r="Y6" s="831"/>
      <c r="Z6" s="831"/>
      <c r="AA6" s="831"/>
      <c r="AB6" s="831"/>
      <c r="AC6" s="1477"/>
      <c r="AD6" s="1478"/>
      <c r="AE6" s="1478"/>
      <c r="AF6" s="1478"/>
      <c r="AG6" s="1478"/>
      <c r="AH6" s="1478"/>
      <c r="AI6" s="1478"/>
      <c r="AJ6" s="1479"/>
    </row>
    <row r="7" spans="1:36" ht="24.6" thickBot="1">
      <c r="A7" s="2433" t="s">
        <v>3126</v>
      </c>
      <c r="B7" s="1487" t="s">
        <v>1867</v>
      </c>
      <c r="C7" s="3026" t="e">
        <f>IF(C8="不临65条商业街",1,ROUND(1+(1.6*E8+1.2*E9+0.8*E10+0.4*E11)*C9,4))</f>
        <v>#DIV/0!</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六级</v>
      </c>
      <c r="Y7" s="829" t="s">
        <v>1871</v>
      </c>
      <c r="Z7" s="830">
        <f>G3</f>
        <v>2</v>
      </c>
      <c r="AA7" s="831"/>
      <c r="AB7" s="831"/>
      <c r="AC7" s="832"/>
      <c r="AD7" s="833"/>
      <c r="AE7" s="833"/>
      <c r="AF7" s="833"/>
      <c r="AG7" s="833"/>
      <c r="AH7" s="833"/>
      <c r="AI7" s="833"/>
      <c r="AJ7" s="834"/>
    </row>
    <row r="8" spans="1:36" ht="15">
      <c r="A8" s="2430"/>
      <c r="B8" s="68" t="s">
        <v>1872</v>
      </c>
      <c r="C8" s="1492"/>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53" t="s">
        <v>1875</v>
      </c>
      <c r="X8" s="4554"/>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0</v>
      </c>
      <c r="N9" s="573">
        <f>SUMPRODUCT((因素修正幅度!B277:B326=I2)*(因素修正幅度!C3:G3=E2)*(因素修正幅度!C277:G326))</f>
        <v>0</v>
      </c>
      <c r="O9" s="774"/>
      <c r="P9" s="774"/>
      <c r="Q9" s="774"/>
      <c r="R9" s="827">
        <v>8</v>
      </c>
      <c r="S9" s="828"/>
      <c r="T9" s="2478">
        <f t="shared" si="0"/>
        <v>0</v>
      </c>
      <c r="U9" s="828"/>
      <c r="V9" s="2478">
        <f t="shared" si="1"/>
        <v>0</v>
      </c>
      <c r="W9" s="4555"/>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5"/>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6"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8" thickBot="1">
      <c r="A12" s="2433" t="s">
        <v>3127</v>
      </c>
      <c r="B12" s="2434" t="s">
        <v>3128</v>
      </c>
      <c r="C12" s="3027"/>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24.6"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24">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6"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ht="24">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5"/>
      <c r="B18" s="1882"/>
      <c r="C18" s="2451"/>
      <c r="D18" s="2447" t="s">
        <v>3137</v>
      </c>
      <c r="E18" s="2662"/>
      <c r="F18" s="2448" t="s">
        <v>3140</v>
      </c>
      <c r="G18" s="2451">
        <f>ROUND(1-(1/(POWER(1+G24,E18))),4)</f>
        <v>0</v>
      </c>
      <c r="H18" s="2448" t="s">
        <v>3142</v>
      </c>
      <c r="I18" s="2451">
        <f>ROUND(1-(1/(POWER(1+G24,J24))),4)</f>
        <v>0.91279999999999994</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4.4"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3.8">
      <c r="A20" s="4556" t="s">
        <v>3143</v>
      </c>
      <c r="B20" s="66" t="s">
        <v>1909</v>
      </c>
      <c r="C20" s="3032">
        <f>ROUND(IF(F21="与级别开发程度一致",0,(G21-E21)/C21),0)</f>
        <v>0</v>
      </c>
      <c r="D20" s="2462" t="s">
        <v>1913</v>
      </c>
      <c r="E20" s="2463"/>
      <c r="F20" s="4562" t="s">
        <v>1910</v>
      </c>
      <c r="G20" s="4563"/>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7" thickBot="1">
      <c r="A21" s="4557"/>
      <c r="B21" s="1620" t="s">
        <v>1912</v>
      </c>
      <c r="C21" s="3033">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3976</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 thickBot="1">
      <c r="A22" s="1615" t="s">
        <v>357</v>
      </c>
      <c r="B22" s="1616" t="s">
        <v>1915</v>
      </c>
      <c r="C22" s="3034">
        <f>SUMIF(修正!C20:C53,E3,修正!E20:E53)</f>
        <v>0.8</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7"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1917</v>
      </c>
      <c r="E23" s="519">
        <v>44197</v>
      </c>
      <c r="F23" s="1518" t="s">
        <v>1918</v>
      </c>
      <c r="G23" s="520">
        <f>'数据-取费表'!B2</f>
        <v>46048</v>
      </c>
      <c r="H23" s="2464" t="s">
        <v>3977</v>
      </c>
      <c r="I23" s="2465" t="str">
        <f>IF(H23="季度增幅（自定义）",SUMIF(N25:N28,E2,O25:O28),"")</f>
        <v/>
      </c>
      <c r="J23" s="2550" t="s">
        <v>3978</v>
      </c>
      <c r="K23" s="779"/>
      <c r="L23" s="1519" t="s">
        <v>1919</v>
      </c>
      <c r="M23" s="914">
        <f>ROUND(SUMIF(地价!B2:G2,E2,地价!B16:G16),0)</f>
        <v>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1921</v>
      </c>
      <c r="C24" s="522">
        <f>ROUND(POWER(1+G24,J24-I24)*(POWER(1+G24,I24)-1)/(POWER(1+G24,J24)-1),4)</f>
        <v>0.70630000000000004</v>
      </c>
      <c r="D24" s="1524" t="s">
        <v>1922</v>
      </c>
      <c r="E24" s="919">
        <f>存贷款利率!E28/100</f>
        <v>4.3499999999999997E-2</v>
      </c>
      <c r="F24" s="1524" t="s">
        <v>1914</v>
      </c>
      <c r="G24" s="524">
        <f>SUMIF(M30:Q30,E2,M33:Q33)</f>
        <v>0.05</v>
      </c>
      <c r="H24" s="1524" t="s">
        <v>1923</v>
      </c>
      <c r="I24" s="525">
        <f>SUMIF('数据-取费表'!C6:C15,E2,'数据-取费表'!F6:F15)/COUNTIF('数据-取费表'!C6:C15,E2)</f>
        <v>21.21</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4.4">
      <c r="A25" s="1529" t="s">
        <v>360</v>
      </c>
      <c r="B25" s="1530" t="s">
        <v>3979</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1939</v>
      </c>
      <c r="C30" s="3041">
        <f>IF(B25="容积率修正",E33+SUM(I37:I42),SUM(V2:V16)+SUM(I37:I42))</f>
        <v>0</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1945</v>
      </c>
      <c r="C33" s="3041">
        <f>ROUND(C5*C22*C23*C24*C25*C28,0)</f>
        <v>4306</v>
      </c>
      <c r="D33" s="3044"/>
      <c r="E33" s="3046">
        <f>ROUND(C33*D33/10000,0)</f>
        <v>0</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1946</v>
      </c>
      <c r="C34" s="3042">
        <f>ROUND(IF(E2="工业",C33*M42,IF(B25="楼层修正",SUM(V2:V16)*M41*10000/D34,C33*M41)),0)</f>
        <v>1077</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3.0599999999999999E-2</v>
      </c>
      <c r="M36" s="3050">
        <f ca="1">ROUND($L$36*(1+M31),3)</f>
        <v>3.7999999999999999E-2</v>
      </c>
      <c r="N36" s="3050">
        <f ca="1">ROUND($L$36*(1+N31),3)</f>
        <v>3.6999999999999998E-2</v>
      </c>
      <c r="O36" s="3050">
        <f ca="1">ROUND($L$36*(1+O31),3)</f>
        <v>3.5000000000000003E-2</v>
      </c>
      <c r="P36" s="3050">
        <f ca="1">ROUND($L$36*(1+P31),3)</f>
        <v>3.4000000000000002E-2</v>
      </c>
      <c r="Q36" s="3050">
        <f ca="1">ROUND($L$36*(1+Q31),3)</f>
        <v>3.5000000000000003E-2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60"/>
      <c r="B37" s="1574" t="s">
        <v>1951</v>
      </c>
      <c r="C37" s="3041">
        <f>ROUND(D5*C22*C23*C24*C28*F37,0)</f>
        <v>2584</v>
      </c>
      <c r="D37" s="3044"/>
      <c r="E37" s="3043">
        <f>ROUND(C37*D37/10000,0)</f>
        <v>0</v>
      </c>
      <c r="F37" s="3008">
        <f>SUMIF(修正!A59:A70,G2,修正!B59:B70)</f>
        <v>0.6</v>
      </c>
      <c r="G37" s="3043">
        <f>ROUND(IF(E2="工业",C37*$M$42,C37*$M$41),0)</f>
        <v>646</v>
      </c>
      <c r="H37" s="3008">
        <f>D37</f>
        <v>0</v>
      </c>
      <c r="I37" s="3043">
        <f>ROUND(G37*H37/10000,0)</f>
        <v>0</v>
      </c>
      <c r="J37" s="2220"/>
      <c r="K37" s="2476" t="s">
        <v>3153</v>
      </c>
      <c r="L37" s="3051">
        <f ca="1">L36+K38</f>
        <v>3.56E-2</v>
      </c>
      <c r="M37" s="3050">
        <f ca="1">ROUND($L$37*(1+M31),3)</f>
        <v>4.4999999999999998E-2</v>
      </c>
      <c r="N37" s="3050">
        <f t="shared" ref="N37:Q37" ca="1" si="3">ROUND($L$37*(1+N31),3)</f>
        <v>4.2999999999999997E-2</v>
      </c>
      <c r="O37" s="3050">
        <f t="shared" ca="1" si="3"/>
        <v>4.1000000000000002E-2</v>
      </c>
      <c r="P37" s="3050">
        <f t="shared" ca="1" si="3"/>
        <v>3.9E-2</v>
      </c>
      <c r="Q37" s="3050">
        <f t="shared" ca="1" si="3"/>
        <v>4.1000000000000002E-2</v>
      </c>
      <c r="R37" s="774"/>
      <c r="S37" s="774"/>
      <c r="T37" s="774"/>
      <c r="U37" s="774"/>
      <c r="V37" s="774"/>
      <c r="W37" s="774"/>
      <c r="X37" s="774"/>
      <c r="Y37" s="774"/>
      <c r="Z37" s="775"/>
      <c r="AA37" s="775"/>
      <c r="AB37" s="775"/>
      <c r="AC37" s="775"/>
      <c r="AD37" s="775"/>
      <c r="AE37" s="775"/>
      <c r="AF37" s="775"/>
      <c r="AG37" s="1599"/>
      <c r="AH37" s="1599"/>
      <c r="AI37" s="1599"/>
      <c r="AJ37" s="1599"/>
    </row>
    <row r="38" spans="1:37">
      <c r="A38" s="4561"/>
      <c r="B38" s="1506" t="s">
        <v>1952</v>
      </c>
      <c r="C38" s="3041">
        <f>ROUND(D5*C22*C23*C24*C28*F38,0)</f>
        <v>1292</v>
      </c>
      <c r="D38" s="3044"/>
      <c r="E38" s="3043">
        <f t="shared" ref="E38:E42" si="4">ROUND(C38*D38/10000,0)</f>
        <v>0</v>
      </c>
      <c r="F38" s="3008">
        <f>SUMIF(修正!A59:A70,G2,修正!C59:C70)</f>
        <v>0.3</v>
      </c>
      <c r="G38" s="3043">
        <f>ROUND(IF(E2="工业",C38*$M$42,C38*$M$41),0)</f>
        <v>323</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61"/>
      <c r="B39" s="1506" t="s">
        <v>3146</v>
      </c>
      <c r="C39" s="3041">
        <f>ROUND(D5*C22*C23*C24*C28*F39,0)</f>
        <v>1076</v>
      </c>
      <c r="D39" s="3044"/>
      <c r="E39" s="3043">
        <f t="shared" si="4"/>
        <v>0</v>
      </c>
      <c r="F39" s="3008">
        <f>SUMIF(修正!A59:A70,G2,修正!D59:D70)</f>
        <v>0.25</v>
      </c>
      <c r="G39" s="3043">
        <f>ROUND(IF(E2="工业",C39*$M$42,C39*$M$41),0)</f>
        <v>269</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1076</v>
      </c>
      <c r="D40" s="3044">
        <f>'数据-汇总表'!G20</f>
        <v>0</v>
      </c>
      <c r="E40" s="3043">
        <f t="shared" si="4"/>
        <v>0</v>
      </c>
      <c r="F40" s="3039">
        <f>SUMIF(修正!A59:A70,G2,修正!E59:E70)</f>
        <v>0.25</v>
      </c>
      <c r="G40" s="3043">
        <f>ROUND(IF(E2="工业",C40*$M$42,C40*$M$41),0)</f>
        <v>269</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0.25</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8" thickBot="1">
      <c r="A42" s="1563"/>
      <c r="B42" s="1579" t="s">
        <v>1956</v>
      </c>
      <c r="C42" s="3042">
        <f>ROUND(D5*C22*C23*C44*C28*F42,0)</f>
        <v>0</v>
      </c>
      <c r="D42" s="3045"/>
      <c r="E42" s="3042">
        <f t="shared" si="4"/>
        <v>0</v>
      </c>
      <c r="F42" s="3047">
        <f>SUMIF(修正!A59:A70,G2,修正!G59:G70)</f>
        <v>0.15</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2034</v>
      </c>
      <c r="C44" s="225">
        <f>ROUND(POWER(1+E44,H44-G44)*(POWER(1+E44,G44)-1)/(POWER(1+E44,H44)-1),4)</f>
        <v>0</v>
      </c>
      <c r="D44" s="69" t="s">
        <v>1914</v>
      </c>
      <c r="E44" s="1610">
        <f>G24</f>
        <v>0.05</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5.2">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92.4">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98">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3.4"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66">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92.4">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t="str">
        <f t="shared" si="13"/>
        <v>——</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5" t="s">
        <v>3156</v>
      </c>
      <c r="B63" s="933">
        <f>估价对象房地状况!C19</f>
        <v>0</v>
      </c>
      <c r="C63" s="1509"/>
      <c r="D63" s="726">
        <f t="shared" si="12"/>
        <v>0</v>
      </c>
      <c r="E63" s="509"/>
      <c r="F63" s="1329"/>
      <c r="G63" s="724"/>
      <c r="H63" s="727" t="str">
        <f t="shared" si="13"/>
        <v>——</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1969</v>
      </c>
      <c r="B64" s="1593" t="s">
        <v>1970</v>
      </c>
      <c r="C64" s="1509"/>
      <c r="D64" s="726">
        <f t="shared" si="12"/>
        <v>0</v>
      </c>
      <c r="E64" s="509"/>
      <c r="F64" s="1329"/>
      <c r="G64" s="724"/>
      <c r="H64" s="727" t="str">
        <f t="shared" si="13"/>
        <v>——</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t="str">
        <f t="shared" si="13"/>
        <v>——</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1972</v>
      </c>
      <c r="B66" s="1594" t="s">
        <v>1973</v>
      </c>
      <c r="C66" s="1509"/>
      <c r="D66" s="726">
        <f t="shared" si="12"/>
        <v>0</v>
      </c>
      <c r="E66" s="509"/>
      <c r="F66" s="1329"/>
      <c r="G66" s="724"/>
      <c r="H66" s="727" t="str">
        <f t="shared" si="13"/>
        <v>——</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98">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t="str">
        <f t="shared" si="13"/>
        <v>——</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t="str">
        <f t="shared" si="13"/>
        <v>——</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3.4"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t="str">
        <f t="shared" si="13"/>
        <v>——</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92.4">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98">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2.8">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36.6"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4.4">
      <c r="A81" s="1586" t="s">
        <v>1984</v>
      </c>
      <c r="B81" s="1587">
        <f>1+E83</f>
        <v>1</v>
      </c>
      <c r="C81" s="505"/>
      <c r="D81" s="505"/>
      <c r="E81" s="506"/>
      <c r="F81" s="1588"/>
      <c r="G81" s="3"/>
      <c r="H81" s="3"/>
      <c r="I81" s="3"/>
      <c r="J81" s="4"/>
      <c r="K81" s="4"/>
      <c r="L81" s="4"/>
      <c r="M81" s="4"/>
      <c r="N81" s="4"/>
      <c r="Z81" s="1467"/>
      <c r="AA81" s="1517"/>
      <c r="AG81" s="776"/>
      <c r="AK81" s="1517"/>
    </row>
    <row r="82" spans="1:37" ht="25.2">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48">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3.8">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36">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4.4"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3.8">
      <c r="A91" s="2493" t="s">
        <v>2501</v>
      </c>
      <c r="B91" s="2494">
        <f>1+E93</f>
        <v>1</v>
      </c>
      <c r="C91" s="2487"/>
      <c r="D91" s="2488"/>
      <c r="E91" s="1329"/>
      <c r="F91" s="1329"/>
      <c r="G91" s="2489"/>
      <c r="H91" s="2490"/>
      <c r="I91" s="2491"/>
      <c r="J91" s="2492"/>
      <c r="K91" s="2492"/>
      <c r="L91" s="2492"/>
      <c r="M91" s="2492"/>
      <c r="N91" s="2492"/>
    </row>
    <row r="92" spans="1:37" ht="25.2">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f>IF(E2="公共服务",SUMIF(L1:L12,G2,N1:N12),"——")</f>
        <v>0.122</v>
      </c>
      <c r="G93" s="2489"/>
      <c r="H93" s="2534">
        <f>IFERROR(ROUNDDOWN($F$93*I93/2,4),"——")</f>
        <v>1.52E-2</v>
      </c>
      <c r="I93" s="2483">
        <v>0.25</v>
      </c>
      <c r="J93" s="1534">
        <f t="shared" ref="J93:J101" si="27">K93+$G93</f>
        <v>0</v>
      </c>
      <c r="K93" s="1534">
        <f t="shared" ref="K93:K101" si="28">$L93+$G93</f>
        <v>0</v>
      </c>
      <c r="L93" s="1534">
        <v>0</v>
      </c>
      <c r="M93" s="1534">
        <f t="shared" ref="M93:N101" si="29">L93-$G93</f>
        <v>0</v>
      </c>
      <c r="N93" s="1534">
        <f t="shared" si="29"/>
        <v>0</v>
      </c>
    </row>
    <row r="94" spans="1:37" ht="92.4">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f>IFERROR(ROUNDDOWN($F$93*I94/2,4),"——")</f>
        <v>1.5800000000000002E-2</v>
      </c>
      <c r="I94" s="2483">
        <v>0.26</v>
      </c>
      <c r="J94" s="1534">
        <f t="shared" si="27"/>
        <v>0</v>
      </c>
      <c r="K94" s="1534">
        <f t="shared" si="28"/>
        <v>0</v>
      </c>
      <c r="L94" s="1534">
        <v>0</v>
      </c>
      <c r="M94" s="1534">
        <f t="shared" si="29"/>
        <v>0</v>
      </c>
      <c r="N94" s="1534">
        <f t="shared" si="29"/>
        <v>0</v>
      </c>
    </row>
    <row r="95" spans="1:37" ht="48">
      <c r="A95" s="2485" t="s">
        <v>3156</v>
      </c>
      <c r="B95" s="2486">
        <f>估价对象房地状况!C19</f>
        <v>0</v>
      </c>
      <c r="C95" s="1509"/>
      <c r="D95" s="1882">
        <f t="shared" si="30"/>
        <v>0</v>
      </c>
      <c r="E95" s="2499"/>
      <c r="F95" s="1329"/>
      <c r="G95" s="2489"/>
      <c r="H95" s="2534">
        <f t="shared" ref="H95:H101" si="31">IFERROR(ROUNDDOWN($F$93*I95/2,4),"——")</f>
        <v>6.7000000000000002E-3</v>
      </c>
      <c r="I95" s="2483">
        <v>0.11</v>
      </c>
      <c r="J95" s="1534">
        <f t="shared" si="27"/>
        <v>0</v>
      </c>
      <c r="K95" s="1534">
        <f t="shared" si="28"/>
        <v>0</v>
      </c>
      <c r="L95" s="1534">
        <v>0</v>
      </c>
      <c r="M95" s="1534">
        <f t="shared" si="29"/>
        <v>0</v>
      </c>
      <c r="N95" s="1534">
        <f t="shared" si="29"/>
        <v>0</v>
      </c>
    </row>
    <row r="96" spans="1:37" ht="37.200000000000003">
      <c r="A96" s="2495" t="s">
        <v>3161</v>
      </c>
      <c r="B96" s="2501" t="s">
        <v>3172</v>
      </c>
      <c r="C96" s="1509"/>
      <c r="D96" s="1882">
        <f t="shared" si="30"/>
        <v>0</v>
      </c>
      <c r="E96" s="2499"/>
      <c r="F96" s="1329"/>
      <c r="G96" s="2489"/>
      <c r="H96" s="2534">
        <f t="shared" si="31"/>
        <v>3.0000000000000001E-3</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f t="shared" si="31"/>
        <v>3.0000000000000001E-3</v>
      </c>
      <c r="I97" s="2483">
        <v>0.05</v>
      </c>
      <c r="J97" s="1534">
        <f t="shared" si="27"/>
        <v>0</v>
      </c>
      <c r="K97" s="1534">
        <f t="shared" si="28"/>
        <v>0</v>
      </c>
      <c r="L97" s="1534">
        <v>0</v>
      </c>
      <c r="M97" s="1534">
        <f t="shared" si="29"/>
        <v>0</v>
      </c>
      <c r="N97" s="1534">
        <f t="shared" si="29"/>
        <v>0</v>
      </c>
    </row>
    <row r="98" spans="1:14" ht="36">
      <c r="A98" s="2495" t="s">
        <v>3163</v>
      </c>
      <c r="B98" s="2502" t="s">
        <v>3173</v>
      </c>
      <c r="C98" s="1509"/>
      <c r="D98" s="1882">
        <f t="shared" si="30"/>
        <v>0</v>
      </c>
      <c r="E98" s="2499"/>
      <c r="F98" s="1329"/>
      <c r="G98" s="2489"/>
      <c r="H98" s="2534">
        <f t="shared" si="31"/>
        <v>3.5999999999999999E-3</v>
      </c>
      <c r="I98" s="2483">
        <v>0.06</v>
      </c>
      <c r="J98" s="1534">
        <f t="shared" si="27"/>
        <v>0</v>
      </c>
      <c r="K98" s="1534">
        <f t="shared" si="28"/>
        <v>0</v>
      </c>
      <c r="L98" s="1534">
        <v>0</v>
      </c>
      <c r="M98" s="1534">
        <f t="shared" si="29"/>
        <v>0</v>
      </c>
      <c r="N98" s="1534">
        <f t="shared" si="29"/>
        <v>0</v>
      </c>
    </row>
    <row r="99" spans="1:14" ht="198">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f t="shared" si="31"/>
        <v>3.5999999999999999E-3</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f t="shared" si="31"/>
        <v>5.4000000000000003E-3</v>
      </c>
      <c r="I100" s="2483">
        <v>0.09</v>
      </c>
      <c r="J100" s="1534">
        <f t="shared" si="27"/>
        <v>0</v>
      </c>
      <c r="K100" s="1534">
        <f t="shared" si="28"/>
        <v>0</v>
      </c>
      <c r="L100" s="1534">
        <v>0</v>
      </c>
      <c r="M100" s="1534">
        <f t="shared" si="29"/>
        <v>0</v>
      </c>
      <c r="N100" s="1534">
        <f t="shared" si="29"/>
        <v>0</v>
      </c>
    </row>
    <row r="101" spans="1:14" ht="53.4"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f t="shared" si="31"/>
        <v>4.1999999999999997E-3</v>
      </c>
      <c r="I101" s="2484">
        <v>7.0000000000000007E-2</v>
      </c>
      <c r="J101" s="1534">
        <f t="shared" si="27"/>
        <v>0</v>
      </c>
      <c r="K101" s="1534">
        <f t="shared" si="28"/>
        <v>0</v>
      </c>
      <c r="L101" s="1534">
        <v>0</v>
      </c>
      <c r="M101" s="1534">
        <f t="shared" si="29"/>
        <v>0</v>
      </c>
      <c r="N101" s="1534">
        <f t="shared" si="29"/>
        <v>0</v>
      </c>
    </row>
    <row r="103" spans="1:14">
      <c r="A103" s="4558" t="s">
        <v>3181</v>
      </c>
      <c r="B103" s="4558"/>
      <c r="C103" s="4558"/>
      <c r="D103" s="4558"/>
      <c r="E103" s="4558"/>
      <c r="F103" s="4558"/>
      <c r="G103" s="4558"/>
      <c r="H103" s="4558"/>
      <c r="I103" s="4558"/>
      <c r="J103" s="4558"/>
      <c r="K103" s="1321"/>
      <c r="L103" s="1321"/>
      <c r="M103" s="1321"/>
      <c r="N103" s="1321"/>
    </row>
    <row r="104" spans="1:14">
      <c r="A104" s="4559" t="s">
        <v>3182</v>
      </c>
      <c r="B104" s="4559" t="s">
        <v>3183</v>
      </c>
      <c r="C104" s="2505" t="s">
        <v>3184</v>
      </c>
      <c r="D104" s="2506"/>
      <c r="E104" s="2506"/>
      <c r="F104" s="2506"/>
      <c r="G104" s="2506"/>
      <c r="H104" s="2506"/>
      <c r="I104" s="2506"/>
      <c r="J104" s="2507"/>
      <c r="K104" s="2508"/>
      <c r="L104" s="2508"/>
      <c r="M104" s="2508"/>
      <c r="N104" s="2508"/>
    </row>
    <row r="105" spans="1:14">
      <c r="A105" s="4559"/>
      <c r="B105" s="4559"/>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9"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50"/>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50"/>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50"/>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50"/>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50"/>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51"/>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52" t="s">
        <v>3198</v>
      </c>
      <c r="B113" s="4552"/>
      <c r="C113" s="4552"/>
      <c r="D113" s="4552"/>
      <c r="E113" s="4552"/>
      <c r="F113" s="4552"/>
      <c r="G113" s="4552"/>
      <c r="H113" s="4552"/>
      <c r="I113" s="4552"/>
      <c r="J113" s="4552"/>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8" thickBot="1">
      <c r="A115" s="2512"/>
      <c r="B115" s="2512"/>
      <c r="C115" s="2512"/>
      <c r="D115" s="2512"/>
      <c r="E115" s="2512"/>
      <c r="F115" s="2512"/>
      <c r="G115" s="2512"/>
      <c r="H115" s="2512"/>
      <c r="I115" s="2512"/>
      <c r="J115" s="2512"/>
      <c r="K115" s="1583"/>
      <c r="L115" s="2512"/>
      <c r="M115" s="2512"/>
      <c r="N115" s="2512"/>
    </row>
    <row r="116" spans="1:14" ht="25.8" thickBot="1">
      <c r="A116" s="2513" t="s">
        <v>3199</v>
      </c>
      <c r="B116" s="2529">
        <f>G3</f>
        <v>2</v>
      </c>
      <c r="C116" s="2514" t="s">
        <v>3200</v>
      </c>
      <c r="D116" s="2515">
        <f>SUMPRODUCT((A118:A122=F116)*(B117:M117=H116)*B118:M122)</f>
        <v>0.86850000000000005</v>
      </c>
      <c r="E116" s="68" t="s">
        <v>3201</v>
      </c>
      <c r="F116" s="2516" t="str">
        <f>E2</f>
        <v>公共服务</v>
      </c>
      <c r="G116" s="68" t="s">
        <v>3202</v>
      </c>
      <c r="H116" s="2516" t="str">
        <f>G2</f>
        <v>六级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8"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5" t="s">
        <v>3529</v>
      </c>
      <c r="B1" s="47"/>
      <c r="C1" s="809"/>
      <c r="D1" s="808"/>
      <c r="E1" s="2079"/>
      <c r="F1" s="2079"/>
      <c r="G1" s="1972"/>
      <c r="H1" s="2079"/>
      <c r="I1" s="2079"/>
      <c r="J1" s="2079"/>
      <c r="K1" s="2080">
        <f>MATCH(C1,'数据-取费表'!A6:A16,0)+5</f>
        <v>7</v>
      </c>
    </row>
    <row r="2" spans="1:33" ht="18" customHeight="1">
      <c r="A2" s="97" t="s">
        <v>1434</v>
      </c>
      <c r="B2" s="2591">
        <f ca="1">C34</f>
        <v>-2971</v>
      </c>
      <c r="C2" s="172" t="s">
        <v>1537</v>
      </c>
      <c r="D2" s="172"/>
      <c r="E2" s="2079"/>
      <c r="F2" s="2079"/>
      <c r="G2" s="2079"/>
      <c r="H2" s="2079"/>
      <c r="I2" s="2079"/>
      <c r="J2" s="2079"/>
      <c r="K2" s="2079"/>
    </row>
    <row r="3" spans="1:33" ht="18" customHeight="1">
      <c r="A3" s="99" t="s">
        <v>1436</v>
      </c>
      <c r="B3" s="2591">
        <f ca="1">ROUND(B2*10000/IF(C1="",'数据-汇总表'!E3,INDIRECT("'数据-取费表'!K"&amp;$K$1)),0)</f>
        <v>-4779</v>
      </c>
      <c r="C3" s="172" t="s">
        <v>1538</v>
      </c>
      <c r="D3" s="172"/>
      <c r="E3" s="2079"/>
      <c r="F3" s="2079"/>
      <c r="G3" s="2079"/>
      <c r="H3" s="2079"/>
      <c r="I3" s="2079"/>
      <c r="J3" s="2079"/>
      <c r="K3" s="2079"/>
    </row>
    <row r="4" spans="1:33" ht="18" customHeight="1">
      <c r="A4" s="3528" t="s">
        <v>3644</v>
      </c>
      <c r="B4" s="2590" t="e">
        <f ca="1">ROUND(B2*10000/IF(C1="",'数据-汇总表'!D3,INDIRECT("'数据-取费表'!R"&amp;$K$1)),0)</f>
        <v>#DIV/0!</v>
      </c>
      <c r="C4" s="1364" t="s">
        <v>3646</v>
      </c>
      <c r="D4" s="172"/>
      <c r="E4" s="2079"/>
      <c r="F4" s="2079"/>
      <c r="G4" s="2079"/>
      <c r="H4" s="2079"/>
      <c r="I4" s="2079"/>
      <c r="J4" s="2079"/>
      <c r="K4" s="2079"/>
    </row>
    <row r="5" spans="1:33" ht="18" customHeight="1" thickBot="1">
      <c r="A5" s="95"/>
      <c r="B5" s="3537" t="e">
        <f ca="1">ROUND(B2/(IF(C1="",'数据-汇总表'!D3,INDIRECT("'数据-取费表'!R"&amp;$K$1))/666.67),0)</f>
        <v>#DIV/0!</v>
      </c>
      <c r="C5" s="3531" t="s">
        <v>3645</v>
      </c>
      <c r="D5" s="172"/>
      <c r="E5" s="2079"/>
      <c r="F5" s="2079"/>
      <c r="G5" s="2079"/>
      <c r="H5" s="2079"/>
      <c r="I5" s="2079"/>
      <c r="J5" s="2079"/>
      <c r="K5" s="2079"/>
    </row>
    <row r="6" spans="1:33" s="534" customFormat="1" ht="16.5" customHeight="1">
      <c r="A6" s="2728" t="s">
        <v>3533</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4" t="s">
        <v>3534</v>
      </c>
      <c r="B11" s="4565"/>
      <c r="C11" s="4565"/>
      <c r="D11" s="4565"/>
      <c r="E11" s="4565"/>
      <c r="F11" s="4565"/>
      <c r="G11" s="4565"/>
      <c r="H11" s="4565"/>
      <c r="I11" s="4565"/>
      <c r="J11" s="4565"/>
      <c r="K11" s="4566"/>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2971</v>
      </c>
      <c r="D15" s="549"/>
      <c r="E15" s="174"/>
      <c r="F15" s="3365"/>
      <c r="G15" s="3490" t="s">
        <v>3553</v>
      </c>
      <c r="H15" s="545"/>
      <c r="I15" s="545"/>
      <c r="J15" s="545"/>
      <c r="K15" s="546"/>
    </row>
    <row r="16" spans="1:33" s="542" customFormat="1" ht="13.5" customHeight="1">
      <c r="A16" s="3504" t="s">
        <v>3603</v>
      </c>
      <c r="B16" s="3369" t="s">
        <v>3536</v>
      </c>
      <c r="C16" s="3370">
        <f ca="1">SUM(C17:C22)</f>
        <v>3151</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2797</v>
      </c>
      <c r="D17" s="3372"/>
      <c r="E17" s="3373"/>
      <c r="F17" s="3385"/>
      <c r="G17" s="3491"/>
      <c r="H17" s="3488"/>
      <c r="I17" s="3488"/>
      <c r="J17" s="3488"/>
      <c r="K17" s="3503"/>
    </row>
    <row r="18" spans="1:33" s="542" customFormat="1" ht="13.5" customHeight="1">
      <c r="A18" s="3505" t="s">
        <v>3542</v>
      </c>
      <c r="B18" s="3357" t="s">
        <v>3543</v>
      </c>
      <c r="C18" s="2568">
        <f ca="1">ROUND(C17*F18,0)</f>
        <v>140</v>
      </c>
      <c r="D18" s="3369"/>
      <c r="E18" s="3369"/>
      <c r="F18" s="3386">
        <f>'数据-取费表'!B33</f>
        <v>0.05</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186</v>
      </c>
      <c r="D20" s="3367">
        <f ca="1">IF(C1="",'数据-汇总表'!E3,INDIRECT("'数据-取费表'!K"&amp;$K$1)+INDIRECT("'数据-取费表'!S"&amp;$K$1))</f>
        <v>6216.26</v>
      </c>
      <c r="E20" s="3368">
        <f>'数据-取费表'!B35</f>
        <v>300</v>
      </c>
      <c r="F20" s="3367"/>
      <c r="G20" s="2564"/>
      <c r="H20" s="3488"/>
      <c r="I20" s="3488"/>
      <c r="J20" s="545"/>
      <c r="K20" s="546"/>
    </row>
    <row r="21" spans="1:33" s="542" customFormat="1" ht="13.5" customHeight="1">
      <c r="A21" s="3505" t="s">
        <v>3557</v>
      </c>
      <c r="B21" s="3359" t="s">
        <v>3514</v>
      </c>
      <c r="C21" s="2568">
        <f ca="1">ROUND(C17*F21,0)</f>
        <v>28</v>
      </c>
      <c r="D21" s="3374"/>
      <c r="E21" s="3374"/>
      <c r="F21" s="3386">
        <f>'数据-取费表'!B36</f>
        <v>0.01</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63</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4" t="s">
        <v>3606</v>
      </c>
      <c r="B25" s="3369" t="s">
        <v>3423</v>
      </c>
      <c r="C25" s="3376" t="str">
        <f ca="1">C26&amp;"+"&amp;C27&amp;"V建"</f>
        <v>73+0.0003V建</v>
      </c>
      <c r="D25" s="3377"/>
      <c r="E25" s="3377"/>
      <c r="F25" s="3386">
        <f ca="1">'数据-取费表'!B41</f>
        <v>3.0599999999999999E-2</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73</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ROUND(IF('数据-取费表'!B20&lt;=1,F24*F25*'数据-取费表'!B20/2,F24*(POWER((1+F23),'数据-取费表'!B20/2)-1)),4)</f>
        <v>2.9999999999999997E-4</v>
      </c>
      <c r="D27" s="3155"/>
      <c r="E27" s="3155"/>
      <c r="F27" s="3385"/>
      <c r="G27" s="3494"/>
      <c r="H27" s="3488"/>
      <c r="I27" s="3488"/>
      <c r="J27" s="3488"/>
      <c r="K27" s="3503"/>
    </row>
    <row r="28" spans="1:33" s="542" customFormat="1" ht="13.5" customHeight="1">
      <c r="A28" s="3504" t="s">
        <v>3549</v>
      </c>
      <c r="B28" s="3369" t="s">
        <v>3566</v>
      </c>
      <c r="C28" s="2725" t="str">
        <f ca="1">C29&amp;"+"&amp;C30&amp;"V建"</f>
        <v>482+0.003V建</v>
      </c>
      <c r="D28" s="1039"/>
      <c r="E28" s="1039"/>
      <c r="F28" s="3388">
        <f ca="1">IF(C1="",'数据-取费表'!Q16,INDIRECT("'数据-取费表'!q"&amp;$K$1))</f>
        <v>0.15</v>
      </c>
      <c r="G28" s="4567" t="s">
        <v>3550</v>
      </c>
      <c r="H28" s="3488"/>
      <c r="I28" s="3488"/>
      <c r="J28" s="3488"/>
      <c r="K28" s="3503"/>
    </row>
    <row r="29" spans="1:33" s="542" customFormat="1" ht="13.5" customHeight="1">
      <c r="A29" s="3505" t="s">
        <v>3562</v>
      </c>
      <c r="B29" s="3359" t="s">
        <v>3567</v>
      </c>
      <c r="C29" s="2726">
        <f ca="1">ROUND((C16+C23)*F28,0)</f>
        <v>482</v>
      </c>
      <c r="D29" s="1039"/>
      <c r="E29" s="1039"/>
      <c r="F29" s="2805"/>
      <c r="G29" s="4567"/>
      <c r="H29" s="3495"/>
      <c r="I29" s="3495"/>
      <c r="J29" s="3495"/>
      <c r="K29" s="3508"/>
    </row>
    <row r="30" spans="1:33" s="550" customFormat="1" ht="13.5" customHeight="1">
      <c r="A30" s="3505" t="s">
        <v>3563</v>
      </c>
      <c r="B30" s="3359" t="s">
        <v>3568</v>
      </c>
      <c r="C30" s="2568">
        <f ca="1">ROUND(F24*F28,4)</f>
        <v>3.0000000000000001E-3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3859</v>
      </c>
      <c r="D32" s="3380"/>
      <c r="E32" s="3381"/>
      <c r="F32" s="3367"/>
      <c r="G32" s="3498" t="s">
        <v>3540</v>
      </c>
      <c r="H32" s="3499"/>
      <c r="I32" s="3499"/>
      <c r="J32" s="3499"/>
      <c r="K32" s="3509"/>
    </row>
    <row r="33" spans="1:11" s="177" customFormat="1" ht="13.5" customHeight="1">
      <c r="A33" s="3504" t="s">
        <v>3561</v>
      </c>
      <c r="B33" s="3382" t="s">
        <v>3551</v>
      </c>
      <c r="C33" s="3383">
        <f ca="1">ROUND(C32*(1-F33),0)</f>
        <v>888</v>
      </c>
      <c r="D33" s="3384"/>
      <c r="E33" s="3155"/>
      <c r="F33" s="3387">
        <f>IF('数据-取费表'!B24=0,'数据-取费表'!N16,1)</f>
        <v>0.77</v>
      </c>
      <c r="G33" s="3490" t="s">
        <v>3552</v>
      </c>
      <c r="H33" s="3495"/>
      <c r="I33" s="3495"/>
      <c r="J33" s="3495"/>
      <c r="K33" s="3508"/>
    </row>
    <row r="34" spans="1:11" s="540" customFormat="1" ht="16.2" thickBot="1">
      <c r="A34" s="3510">
        <v>4</v>
      </c>
      <c r="B34" s="3511" t="s">
        <v>3609</v>
      </c>
      <c r="C34" s="3512">
        <f ca="1">C13-C15</f>
        <v>-2971</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7.399999999999999">
      <c r="A3" s="4178" t="str">
        <f>IF(项目基本情况!B9="房地产市场价值","估价结果一览表（市场价值不需“结果表-1”）","估价结果一览表")</f>
        <v>估价结果一览表</v>
      </c>
      <c r="B3" s="4178"/>
      <c r="C3" s="4178"/>
      <c r="D3" s="4178"/>
      <c r="E3" s="4178"/>
    </row>
    <row r="4" spans="1:5" ht="18" thickBot="1">
      <c r="A4" s="1063"/>
      <c r="B4" s="4176" t="s">
        <v>903</v>
      </c>
      <c r="C4" s="4176"/>
      <c r="D4" s="4176"/>
      <c r="E4" s="1063"/>
    </row>
    <row r="5" spans="1:5" ht="16.2" thickTop="1">
      <c r="B5" s="4174" t="s">
        <v>895</v>
      </c>
      <c r="C5" s="1064" t="s">
        <v>896</v>
      </c>
      <c r="D5" s="559">
        <f ca="1">结果表!H101</f>
        <v>18236</v>
      </c>
    </row>
    <row r="6" spans="1:5" ht="15.6">
      <c r="B6" s="4174"/>
      <c r="C6" s="1064" t="s">
        <v>897</v>
      </c>
      <c r="D6" s="559" t="str">
        <f ca="1">NUMBERSTRING(INT(D5*10000),2)&amp;"元整"</f>
        <v>壹亿捌仟贰佰叁拾陆万元整</v>
      </c>
    </row>
    <row r="7" spans="1:5" ht="15.6">
      <c r="B7" s="4179"/>
      <c r="C7" s="1065" t="s">
        <v>898</v>
      </c>
      <c r="D7" s="560">
        <f ca="1">结果表!H102</f>
        <v>29336</v>
      </c>
    </row>
    <row r="8" spans="1:5" ht="15.6">
      <c r="B8" s="4180" t="str">
        <f>结果表!E103</f>
        <v>2.估价师知悉的法定优先受偿款</v>
      </c>
      <c r="C8" s="1066" t="s">
        <v>899</v>
      </c>
      <c r="D8" s="560">
        <f>结果表!H103</f>
        <v>0</v>
      </c>
    </row>
    <row r="9" spans="1:5" ht="15.6">
      <c r="B9" s="4182"/>
      <c r="C9" s="1064" t="s">
        <v>897</v>
      </c>
      <c r="D9" s="559" t="str">
        <f>NUMBERSTRING(INT(D8*10000),2)&amp;"元整"</f>
        <v>零元整</v>
      </c>
    </row>
    <row r="10" spans="1:5" ht="15.6">
      <c r="B10" s="1067" t="s">
        <v>902</v>
      </c>
      <c r="C10" s="1068" t="s">
        <v>900</v>
      </c>
      <c r="D10" s="561">
        <f>结果表!H104</f>
        <v>0</v>
      </c>
    </row>
    <row r="11" spans="1:5" ht="15.6">
      <c r="B11" s="1067" t="s">
        <v>904</v>
      </c>
      <c r="C11" s="1068" t="s">
        <v>905</v>
      </c>
      <c r="D11" s="561">
        <f>结果表!H105</f>
        <v>0</v>
      </c>
    </row>
    <row r="12" spans="1:5" ht="15.6">
      <c r="B12" s="1067" t="s">
        <v>906</v>
      </c>
      <c r="C12" s="1068" t="s">
        <v>905</v>
      </c>
      <c r="D12" s="561">
        <f>结果表!H106</f>
        <v>0</v>
      </c>
    </row>
    <row r="13" spans="1:5" ht="15.6">
      <c r="B13" s="4173" t="str">
        <f>结果表!E107</f>
        <v>3.房地产抵押价值</v>
      </c>
      <c r="C13" s="1069" t="s">
        <v>896</v>
      </c>
      <c r="D13" s="562">
        <f ca="1">结果表!H107</f>
        <v>18236</v>
      </c>
    </row>
    <row r="14" spans="1:5" ht="15.6">
      <c r="B14" s="4174"/>
      <c r="C14" s="1064" t="s">
        <v>897</v>
      </c>
      <c r="D14" s="559" t="str">
        <f ca="1">NUMBERSTRING(INT(D13*10000),2)&amp;"元整"</f>
        <v>壹亿捌仟贰佰叁拾陆万元整</v>
      </c>
    </row>
    <row r="15" spans="1:5" ht="15.6">
      <c r="B15" s="4179"/>
      <c r="C15" s="1065" t="s">
        <v>907</v>
      </c>
      <c r="D15" s="567">
        <f ca="1">结果表!H108</f>
        <v>29336</v>
      </c>
    </row>
    <row r="16" spans="1:5" ht="15.6">
      <c r="B16" s="4180" t="str">
        <f>结果表!E109</f>
        <v>——</v>
      </c>
      <c r="C16" s="1069" t="s">
        <v>908</v>
      </c>
      <c r="D16" s="1070" t="str">
        <f>结果表!H109</f>
        <v>——</v>
      </c>
    </row>
    <row r="17" spans="1:5" ht="15.6">
      <c r="B17" s="4181"/>
      <c r="C17" s="1064" t="s">
        <v>909</v>
      </c>
      <c r="D17" s="559" t="e">
        <f>NUMBERSTRING(INT(D16*10000),2)&amp;"元整"</f>
        <v>#VALUE!</v>
      </c>
    </row>
    <row r="18" spans="1:5" ht="15.6">
      <c r="B18" s="4182"/>
      <c r="C18" s="1065" t="s">
        <v>898</v>
      </c>
      <c r="D18" s="567" t="str">
        <f>结果表!H110</f>
        <v>——</v>
      </c>
    </row>
    <row r="19" spans="1:5" ht="15.6">
      <c r="B19" s="4173" t="str">
        <f>结果表!E111</f>
        <v>——</v>
      </c>
      <c r="C19" s="1069" t="s">
        <v>896</v>
      </c>
      <c r="D19" s="560" t="str">
        <f>结果表!H111</f>
        <v>——</v>
      </c>
    </row>
    <row r="20" spans="1:5" ht="15.6">
      <c r="B20" s="4174"/>
      <c r="C20" s="1064" t="s">
        <v>909</v>
      </c>
      <c r="D20" s="559" t="e">
        <f>NUMBERSTRING(INT(D19*10000),2)&amp;"元整"</f>
        <v>#VALUE!</v>
      </c>
    </row>
    <row r="21" spans="1:5" ht="16.2" thickBot="1">
      <c r="B21" s="4175"/>
      <c r="C21" s="1071" t="s">
        <v>907</v>
      </c>
      <c r="D21" s="568" t="str">
        <f>结果表!H112</f>
        <v>——</v>
      </c>
    </row>
    <row r="22" spans="1:5" ht="14.4" thickTop="1">
      <c r="B22" s="1072" t="s">
        <v>910</v>
      </c>
    </row>
    <row r="24" spans="1:5" ht="17.399999999999999">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5" t="s">
        <v>3530</v>
      </c>
      <c r="B1" s="3363"/>
      <c r="C1" s="2922"/>
      <c r="D1" s="94"/>
      <c r="E1" s="94"/>
      <c r="F1" s="94"/>
      <c r="G1" s="780">
        <f>MATCH(C1,'数据-取费表'!A6:A16,0)+5</f>
        <v>7</v>
      </c>
    </row>
    <row r="2" spans="1:7" s="96" customFormat="1" ht="15.6">
      <c r="A2" s="97" t="s">
        <v>1434</v>
      </c>
      <c r="B2" s="2590">
        <f ca="1">C34</f>
        <v>354</v>
      </c>
      <c r="C2" s="95" t="s">
        <v>1435</v>
      </c>
      <c r="D2" s="95"/>
      <c r="E2" s="2577"/>
      <c r="F2" s="95"/>
      <c r="G2" s="95"/>
    </row>
    <row r="3" spans="1:7" s="96" customFormat="1" ht="15.6">
      <c r="A3" s="99" t="s">
        <v>1436</v>
      </c>
      <c r="B3" s="2591">
        <f ca="1">ROUND(B2*10000/(IF(C1="",'数据-汇总表'!E3,INDIRECT("'数据-取费表'!k"&amp;$G$1))),0)</f>
        <v>569</v>
      </c>
      <c r="C3" s="95" t="s">
        <v>1437</v>
      </c>
      <c r="D3" s="95"/>
      <c r="E3" s="2577"/>
      <c r="F3" s="95"/>
      <c r="G3" s="95"/>
    </row>
    <row r="4" spans="1:7" s="96" customFormat="1" ht="15.6">
      <c r="A4" s="3528" t="s">
        <v>3644</v>
      </c>
      <c r="B4" s="2590" t="e">
        <f ca="1">ROUND(B2*10000/'数据-汇总表'!D3,0)</f>
        <v>#DIV/0!</v>
      </c>
      <c r="C4" s="97" t="s">
        <v>3646</v>
      </c>
      <c r="D4" s="95"/>
      <c r="E4" s="2577"/>
      <c r="F4" s="95"/>
      <c r="G4" s="95"/>
    </row>
    <row r="5" spans="1:7" s="96" customFormat="1" ht="16.2" thickBot="1">
      <c r="A5" s="95"/>
      <c r="B5" s="3537" t="e">
        <f ca="1">ROUND(B2/('数据-汇总表'!D3/666.67),0)</f>
        <v>#DIV/0!</v>
      </c>
      <c r="C5" s="3522" t="s">
        <v>3645</v>
      </c>
      <c r="D5" s="95"/>
      <c r="E5" s="2577"/>
      <c r="F5" s="95"/>
      <c r="G5" s="95"/>
    </row>
    <row r="6" spans="1:7" s="96" customFormat="1" ht="15.6">
      <c r="A6" s="3407" t="s">
        <v>3330</v>
      </c>
      <c r="B6" s="3408" t="s">
        <v>3331</v>
      </c>
      <c r="C6" s="3409" t="s">
        <v>3332</v>
      </c>
      <c r="D6" s="3410" t="s">
        <v>3337</v>
      </c>
      <c r="E6" s="3411" t="s">
        <v>3338</v>
      </c>
      <c r="F6" s="3411" t="s">
        <v>3339</v>
      </c>
      <c r="G6" s="3412" t="s">
        <v>3333</v>
      </c>
    </row>
    <row r="7" spans="1:7" s="104" customFormat="1" ht="15.6">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4.4">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4.4">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6">
      <c r="A20" s="3413" t="s">
        <v>3614</v>
      </c>
      <c r="B20" s="2570" t="s">
        <v>3587</v>
      </c>
      <c r="C20" s="2602">
        <f ca="1">C21+C24+C25</f>
        <v>434</v>
      </c>
      <c r="D20" s="3475"/>
      <c r="E20" s="3476"/>
      <c r="F20" s="2625"/>
      <c r="G20" s="3482"/>
    </row>
    <row r="21" spans="1:9" s="119" customFormat="1" ht="14.4">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124</v>
      </c>
      <c r="D23" s="3389">
        <f ca="1">IF(C1="",'数据-汇总表'!E6,IF(INDIRECT("'数据-取费表'!c"&amp;$G$1)="住宅",INDIRECT("'数据-取费表'!s"&amp;$G$1),INDIRECT("'数据-取费表'!k"&amp;$G$1)+INDIRECT("'数据-取费表'!s"&amp;$G$1)))</f>
        <v>6216.26</v>
      </c>
      <c r="E23" s="3389">
        <f>'数据-取费表'!B28</f>
        <v>200</v>
      </c>
      <c r="F23" s="2621"/>
      <c r="G23" s="3483"/>
    </row>
    <row r="24" spans="1:9" s="110" customFormat="1" ht="14.4">
      <c r="A24" s="3362" t="s">
        <v>3595</v>
      </c>
      <c r="B24" s="3398" t="s">
        <v>3611</v>
      </c>
      <c r="C24" s="2630">
        <f ca="1">IF(G24="已包含在土地取得成本中","0",ROUND(D24*E24/10000,0))</f>
        <v>124</v>
      </c>
      <c r="D24" s="3390">
        <f ca="1">D22+D23</f>
        <v>6216.26</v>
      </c>
      <c r="E24" s="3390">
        <f>'数据-取费表'!B31</f>
        <v>200</v>
      </c>
      <c r="F24" s="3399"/>
      <c r="G24" s="1366"/>
    </row>
    <row r="25" spans="1:9" s="110" customFormat="1" ht="14.4">
      <c r="A25" s="3362" t="s">
        <v>337</v>
      </c>
      <c r="B25" s="3398" t="s">
        <v>3612</v>
      </c>
      <c r="C25" s="2630">
        <f ca="1">ROUND(E25*D25/10000,0)</f>
        <v>186</v>
      </c>
      <c r="D25" s="3390">
        <f ca="1">D24</f>
        <v>6216.26</v>
      </c>
      <c r="E25" s="3390">
        <f>'数据-取费表'!B35</f>
        <v>300</v>
      </c>
      <c r="F25" s="3392"/>
      <c r="G25" s="3484"/>
    </row>
    <row r="26" spans="1:9" s="104" customFormat="1" ht="15.6">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6">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3.0599999999999999E-2</v>
      </c>
      <c r="G29" s="3486" t="str">
        <f>IF('数据-取费表'!B19&lt;=1,"单利计息","复利计息")</f>
        <v>单利计息</v>
      </c>
    </row>
    <row r="30" spans="1:9" s="2601" customFormat="1" ht="15.6">
      <c r="A30" s="3413" t="s">
        <v>3619</v>
      </c>
      <c r="B30" s="2570" t="s">
        <v>3620</v>
      </c>
      <c r="C30" s="2608">
        <f ca="1">ROUND((C7+C20+C26)*F30,0)</f>
        <v>65</v>
      </c>
      <c r="D30" s="2606"/>
      <c r="E30" s="297"/>
      <c r="F30" s="3404">
        <f ca="1">IF(C1="",'数据-取费表'!Q16,INDIRECT("'数据-取费表'!q"&amp;$G$1))</f>
        <v>0.15</v>
      </c>
      <c r="G30" s="3486"/>
    </row>
    <row r="31" spans="1:9" s="110" customFormat="1" ht="15.6">
      <c r="A31" s="2571" t="s">
        <v>3600</v>
      </c>
      <c r="B31" s="2570" t="s">
        <v>3592</v>
      </c>
      <c r="C31" s="2593">
        <f ca="1">C7+C20+C29+C30</f>
        <v>499</v>
      </c>
      <c r="D31" s="2583"/>
      <c r="E31" s="2583"/>
      <c r="F31" s="2582"/>
      <c r="G31" s="2584" t="s">
        <v>3623</v>
      </c>
    </row>
    <row r="32" spans="1:9" s="110" customFormat="1" ht="15.6">
      <c r="A32" s="2571" t="s">
        <v>3591</v>
      </c>
      <c r="B32" s="2570" t="s">
        <v>3590</v>
      </c>
      <c r="C32" s="3469">
        <f ca="1">ROUND(C31*F32,0)</f>
        <v>50</v>
      </c>
      <c r="D32" s="131"/>
      <c r="E32" s="132"/>
      <c r="F32" s="3405">
        <v>0.1</v>
      </c>
      <c r="G32" s="3487"/>
    </row>
    <row r="33" spans="1:7" s="110" customFormat="1" ht="15.6">
      <c r="A33" s="3468">
        <v>8</v>
      </c>
      <c r="B33" s="2570" t="s">
        <v>3602</v>
      </c>
      <c r="C33" s="2593">
        <f ca="1">C31+C32</f>
        <v>549</v>
      </c>
      <c r="D33" s="2583"/>
      <c r="E33" s="2583"/>
      <c r="F33" s="3406"/>
      <c r="G33" s="2584" t="s">
        <v>3622</v>
      </c>
    </row>
    <row r="34" spans="1:7" s="119" customFormat="1" ht="16.2" thickBot="1">
      <c r="A34" s="3420">
        <v>9</v>
      </c>
      <c r="B34" s="3421" t="s">
        <v>3601</v>
      </c>
      <c r="C34" s="2593">
        <f ca="1">ROUND(C33*F34,0)</f>
        <v>354</v>
      </c>
      <c r="D34" s="3422"/>
      <c r="E34" s="3422"/>
      <c r="F34" s="3471">
        <f>'数据-取费表'!AS16</f>
        <v>0.64500000000000002</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4" customWidth="1"/>
    <col min="14" max="14" width="10" style="2264" customWidth="1"/>
    <col min="15" max="16" width="8.21875" style="2264"/>
    <col min="17" max="17" width="34.109375" style="2264" customWidth="1"/>
    <col min="18" max="18" width="8.21875" style="2264" customWidth="1"/>
    <col min="19" max="19" width="8.21875" style="2264"/>
    <col min="20" max="20" width="11.6640625" style="2264" customWidth="1"/>
    <col min="21" max="16384" width="8.2187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9" t="s">
        <v>2496</v>
      </c>
      <c r="B20" s="4572" t="s">
        <v>2517</v>
      </c>
      <c r="C20" s="2559" t="s">
        <v>2328</v>
      </c>
      <c r="D20" s="2559"/>
      <c r="E20" s="3185">
        <v>1</v>
      </c>
      <c r="F20" s="2282" t="s">
        <v>2329</v>
      </c>
      <c r="G20" s="2282"/>
    </row>
    <row r="21" spans="1:13" ht="19.5" customHeight="1">
      <c r="A21" s="4580"/>
      <c r="B21" s="4568"/>
      <c r="C21" s="2291" t="s">
        <v>2330</v>
      </c>
      <c r="D21" s="2291"/>
      <c r="E21" s="3186">
        <v>1</v>
      </c>
      <c r="F21" s="2282" t="s">
        <v>2331</v>
      </c>
      <c r="G21" s="2282"/>
    </row>
    <row r="22" spans="1:13" ht="19.5" customHeight="1">
      <c r="A22" s="4580"/>
      <c r="B22" s="4568"/>
      <c r="C22" s="2291" t="s">
        <v>2332</v>
      </c>
      <c r="D22" s="2291"/>
      <c r="E22" s="3186">
        <v>0.9</v>
      </c>
      <c r="F22" s="2282" t="s">
        <v>2333</v>
      </c>
      <c r="G22" s="2282"/>
    </row>
    <row r="23" spans="1:13" ht="19.5" customHeight="1">
      <c r="A23" s="4580"/>
      <c r="B23" s="4568"/>
      <c r="C23" s="2291" t="s">
        <v>2334</v>
      </c>
      <c r="D23" s="2291"/>
      <c r="E23" s="3186">
        <v>0.9</v>
      </c>
      <c r="F23" s="2282" t="s">
        <v>2335</v>
      </c>
      <c r="G23" s="2282"/>
    </row>
    <row r="24" spans="1:13" ht="19.5" customHeight="1">
      <c r="A24" s="4580"/>
      <c r="B24" s="4568"/>
      <c r="C24" s="2291" t="s">
        <v>2336</v>
      </c>
      <c r="D24" s="2291"/>
      <c r="E24" s="3186">
        <v>0.8</v>
      </c>
      <c r="F24" s="2282" t="s">
        <v>2337</v>
      </c>
      <c r="G24" s="2282"/>
    </row>
    <row r="25" spans="1:13" ht="19.5" customHeight="1">
      <c r="A25" s="4580"/>
      <c r="B25" s="4568"/>
      <c r="C25" s="2291" t="s">
        <v>2338</v>
      </c>
      <c r="D25" s="2291"/>
      <c r="E25" s="3186">
        <v>0.8</v>
      </c>
      <c r="F25" s="2282"/>
      <c r="G25" s="2282"/>
    </row>
    <row r="26" spans="1:13" ht="19.5" customHeight="1">
      <c r="A26" s="4580"/>
      <c r="B26" s="4568"/>
      <c r="C26" s="2291" t="s">
        <v>3277</v>
      </c>
      <c r="D26" s="2291"/>
      <c r="E26" s="3186">
        <v>0.43</v>
      </c>
      <c r="F26" s="2282"/>
      <c r="G26" s="2282"/>
    </row>
    <row r="27" spans="1:13" ht="19.5" customHeight="1" thickBot="1">
      <c r="A27" s="4581"/>
      <c r="B27" s="4573"/>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74" t="s">
        <v>2520</v>
      </c>
      <c r="B29" s="4577" t="s">
        <v>2501</v>
      </c>
      <c r="C29" s="2280" t="s">
        <v>2341</v>
      </c>
      <c r="D29" s="2281"/>
      <c r="E29" s="3185">
        <v>1</v>
      </c>
      <c r="F29" s="2282" t="s">
        <v>2342</v>
      </c>
      <c r="G29" s="2282"/>
    </row>
    <row r="30" spans="1:13" ht="19.5" customHeight="1">
      <c r="A30" s="4575"/>
      <c r="B30" s="4571"/>
      <c r="C30" s="2283" t="s">
        <v>2343</v>
      </c>
      <c r="D30" s="2284"/>
      <c r="E30" s="3186">
        <v>1</v>
      </c>
      <c r="F30" s="2282" t="s">
        <v>2344</v>
      </c>
      <c r="G30" s="2282"/>
    </row>
    <row r="31" spans="1:13" ht="19.5" customHeight="1">
      <c r="A31" s="4575"/>
      <c r="B31" s="4571"/>
      <c r="C31" s="2283" t="s">
        <v>2345</v>
      </c>
      <c r="D31" s="2284"/>
      <c r="E31" s="3186">
        <v>0.8</v>
      </c>
      <c r="F31" s="2282" t="s">
        <v>2346</v>
      </c>
      <c r="G31" s="2282"/>
    </row>
    <row r="32" spans="1:13" ht="19.5" customHeight="1">
      <c r="A32" s="4575"/>
      <c r="B32" s="4571"/>
      <c r="C32" s="2283" t="s">
        <v>2347</v>
      </c>
      <c r="D32" s="2284"/>
      <c r="E32" s="3186">
        <v>0.8</v>
      </c>
      <c r="F32" s="2282" t="s">
        <v>2348</v>
      </c>
      <c r="G32" s="2282"/>
    </row>
    <row r="33" spans="1:7" ht="19.5" customHeight="1">
      <c r="A33" s="4575"/>
      <c r="B33" s="4571"/>
      <c r="C33" s="2283" t="s">
        <v>2349</v>
      </c>
      <c r="D33" s="2284"/>
      <c r="E33" s="3186">
        <v>0.8</v>
      </c>
      <c r="F33" s="2282" t="s">
        <v>2350</v>
      </c>
      <c r="G33" s="2282"/>
    </row>
    <row r="34" spans="1:7" ht="19.5" customHeight="1">
      <c r="A34" s="4575"/>
      <c r="B34" s="4571"/>
      <c r="C34" s="2283" t="s">
        <v>2351</v>
      </c>
      <c r="D34" s="2284"/>
      <c r="E34" s="3186">
        <v>0.7</v>
      </c>
      <c r="F34" s="2282" t="s">
        <v>2352</v>
      </c>
      <c r="G34" s="2282"/>
    </row>
    <row r="35" spans="1:7" ht="19.5" customHeight="1">
      <c r="A35" s="4575"/>
      <c r="B35" s="4571"/>
      <c r="C35" s="2283" t="s">
        <v>2353</v>
      </c>
      <c r="D35" s="2284"/>
      <c r="E35" s="3186">
        <v>0.8</v>
      </c>
      <c r="F35" s="2282" t="s">
        <v>2354</v>
      </c>
      <c r="G35" s="2282"/>
    </row>
    <row r="36" spans="1:7" ht="19.5" customHeight="1">
      <c r="A36" s="4575"/>
      <c r="B36" s="4571"/>
      <c r="C36" s="2283" t="s">
        <v>2355</v>
      </c>
      <c r="D36" s="2284"/>
      <c r="E36" s="3186">
        <v>0.6</v>
      </c>
      <c r="F36" s="2282" t="s">
        <v>2356</v>
      </c>
      <c r="G36" s="2282"/>
    </row>
    <row r="37" spans="1:7" ht="19.5" customHeight="1">
      <c r="A37" s="4575"/>
      <c r="B37" s="4571"/>
      <c r="C37" s="2283" t="s">
        <v>2357</v>
      </c>
      <c r="D37" s="2284"/>
      <c r="E37" s="3186">
        <v>0.2</v>
      </c>
      <c r="F37" s="2282" t="s">
        <v>2358</v>
      </c>
      <c r="G37" s="2282"/>
    </row>
    <row r="38" spans="1:7" ht="19.5" customHeight="1">
      <c r="A38" s="4575"/>
      <c r="B38" s="4571"/>
      <c r="C38" s="2283" t="s">
        <v>2359</v>
      </c>
      <c r="D38" s="2284"/>
      <c r="E38" s="3186">
        <v>0.2</v>
      </c>
      <c r="F38" s="2282" t="s">
        <v>2360</v>
      </c>
      <c r="G38" s="2282"/>
    </row>
    <row r="39" spans="1:7" ht="19.5" customHeight="1">
      <c r="A39" s="4575"/>
      <c r="B39" s="4569" t="s">
        <v>2521</v>
      </c>
      <c r="C39" s="2283" t="s">
        <v>2361</v>
      </c>
      <c r="D39" s="2284"/>
      <c r="E39" s="3186">
        <v>0.6</v>
      </c>
      <c r="F39" s="2282" t="s">
        <v>2362</v>
      </c>
      <c r="G39" s="2282"/>
    </row>
    <row r="40" spans="1:7" ht="19.5" customHeight="1">
      <c r="A40" s="4575"/>
      <c r="B40" s="4571"/>
      <c r="C40" s="2283" t="s">
        <v>2363</v>
      </c>
      <c r="D40" s="2284"/>
      <c r="E40" s="3186">
        <v>0.6</v>
      </c>
      <c r="F40" s="2282" t="s">
        <v>2364</v>
      </c>
      <c r="G40" s="2282"/>
    </row>
    <row r="41" spans="1:7" ht="19.5" customHeight="1" thickBot="1">
      <c r="A41" s="4576"/>
      <c r="B41" s="4578"/>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9" t="s">
        <v>2499</v>
      </c>
      <c r="B43" s="4577" t="s">
        <v>2523</v>
      </c>
      <c r="C43" s="2280" t="s">
        <v>2368</v>
      </c>
      <c r="D43" s="2281"/>
      <c r="E43" s="3185">
        <v>1</v>
      </c>
      <c r="F43" s="2282" t="s">
        <v>2369</v>
      </c>
      <c r="G43" s="2282"/>
    </row>
    <row r="44" spans="1:7" ht="19.5" customHeight="1">
      <c r="A44" s="4580"/>
      <c r="B44" s="4571"/>
      <c r="C44" s="2283" t="s">
        <v>2370</v>
      </c>
      <c r="D44" s="2284"/>
      <c r="E44" s="3186">
        <v>1</v>
      </c>
      <c r="F44" s="2282" t="s">
        <v>2371</v>
      </c>
      <c r="G44" s="2282"/>
    </row>
    <row r="45" spans="1:7" ht="19.5" customHeight="1">
      <c r="A45" s="4580"/>
      <c r="B45" s="4570"/>
      <c r="C45" s="2283" t="s">
        <v>2372</v>
      </c>
      <c r="D45" s="2284"/>
      <c r="E45" s="3186">
        <v>1.5</v>
      </c>
      <c r="F45" s="2282" t="s">
        <v>2373</v>
      </c>
      <c r="G45" s="2282"/>
    </row>
    <row r="46" spans="1:7" ht="19.5" customHeight="1">
      <c r="A46" s="4580"/>
      <c r="B46" s="2291" t="s">
        <v>2524</v>
      </c>
      <c r="C46" s="2283" t="s">
        <v>2525</v>
      </c>
      <c r="D46" s="2284"/>
      <c r="E46" s="3186">
        <v>2</v>
      </c>
      <c r="F46" s="2282" t="s">
        <v>2374</v>
      </c>
      <c r="G46" s="2282"/>
    </row>
    <row r="47" spans="1:7" ht="19.5" customHeight="1">
      <c r="A47" s="4580"/>
      <c r="B47" s="4569" t="s">
        <v>2526</v>
      </c>
      <c r="C47" s="2283" t="s">
        <v>2375</v>
      </c>
      <c r="D47" s="2284"/>
      <c r="E47" s="3186">
        <v>1</v>
      </c>
      <c r="F47" s="2282" t="s">
        <v>2376</v>
      </c>
      <c r="G47" s="2282"/>
    </row>
    <row r="48" spans="1:7" ht="19.5" customHeight="1">
      <c r="A48" s="4580"/>
      <c r="B48" s="4571"/>
      <c r="C48" s="2283" t="s">
        <v>2377</v>
      </c>
      <c r="D48" s="2284"/>
      <c r="E48" s="3186">
        <v>1</v>
      </c>
      <c r="F48" s="2282" t="s">
        <v>2378</v>
      </c>
      <c r="G48" s="2282"/>
    </row>
    <row r="49" spans="1:7" ht="19.5" customHeight="1">
      <c r="A49" s="4580"/>
      <c r="B49" s="4571"/>
      <c r="C49" s="2283" t="s">
        <v>2379</v>
      </c>
      <c r="D49" s="2284"/>
      <c r="E49" s="3186">
        <v>1</v>
      </c>
      <c r="F49" s="2282" t="s">
        <v>2380</v>
      </c>
      <c r="G49" s="2282"/>
    </row>
    <row r="50" spans="1:7" ht="19.5" customHeight="1">
      <c r="A50" s="4580"/>
      <c r="B50" s="4571"/>
      <c r="C50" s="2283" t="s">
        <v>2381</v>
      </c>
      <c r="D50" s="2284"/>
      <c r="E50" s="3186">
        <v>1</v>
      </c>
      <c r="F50" s="2282" t="s">
        <v>2382</v>
      </c>
      <c r="G50" s="2282"/>
    </row>
    <row r="51" spans="1:7" ht="19.5" customHeight="1">
      <c r="A51" s="4580"/>
      <c r="B51" s="4571"/>
      <c r="C51" s="2283" t="s">
        <v>2383</v>
      </c>
      <c r="D51" s="2284"/>
      <c r="E51" s="3186">
        <v>1</v>
      </c>
      <c r="F51" s="2282" t="s">
        <v>2384</v>
      </c>
      <c r="G51" s="2282"/>
    </row>
    <row r="52" spans="1:7" ht="19.5" customHeight="1">
      <c r="A52" s="4580"/>
      <c r="B52" s="4571"/>
      <c r="C52" s="2283" t="s">
        <v>2385</v>
      </c>
      <c r="D52" s="2284"/>
      <c r="E52" s="3186">
        <v>1</v>
      </c>
      <c r="F52" s="2282" t="s">
        <v>2386</v>
      </c>
      <c r="G52" s="2282"/>
    </row>
    <row r="53" spans="1:7" ht="19.5" customHeight="1" thickBot="1">
      <c r="A53" s="4581"/>
      <c r="B53" s="4578"/>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4.4">
      <c r="A74" s="2291"/>
      <c r="B74" s="2291"/>
      <c r="C74" s="2291" t="s">
        <v>2539</v>
      </c>
      <c r="D74" s="2291"/>
      <c r="E74" s="2291" t="s">
        <v>2510</v>
      </c>
      <c r="F74" s="2291" t="s">
        <v>2510</v>
      </c>
    </row>
    <row r="75" spans="1:7" ht="14.4">
      <c r="A75" s="2291">
        <v>1</v>
      </c>
      <c r="B75" s="4569" t="s">
        <v>2540</v>
      </c>
      <c r="C75" s="2271" t="s">
        <v>2541</v>
      </c>
      <c r="D75" s="2271" t="s">
        <v>2542</v>
      </c>
      <c r="E75" s="3191">
        <v>0.2</v>
      </c>
      <c r="F75" s="3192">
        <v>25</v>
      </c>
    </row>
    <row r="76" spans="1:7" ht="24">
      <c r="A76" s="2291">
        <v>2</v>
      </c>
      <c r="B76" s="4571"/>
      <c r="C76" s="2271" t="s">
        <v>2543</v>
      </c>
      <c r="D76" s="2271" t="s">
        <v>2544</v>
      </c>
      <c r="E76" s="3191">
        <v>0.2</v>
      </c>
      <c r="F76" s="3192">
        <v>25</v>
      </c>
    </row>
    <row r="77" spans="1:7" ht="24">
      <c r="A77" s="2291">
        <v>3</v>
      </c>
      <c r="B77" s="4571"/>
      <c r="C77" s="2271" t="s">
        <v>2545</v>
      </c>
      <c r="D77" s="2271" t="s">
        <v>2546</v>
      </c>
      <c r="E77" s="3191">
        <v>0.2</v>
      </c>
      <c r="F77" s="3192">
        <v>25</v>
      </c>
    </row>
    <row r="78" spans="1:7" ht="14.4">
      <c r="A78" s="2291">
        <v>4</v>
      </c>
      <c r="B78" s="4571"/>
      <c r="C78" s="2271" t="s">
        <v>2547</v>
      </c>
      <c r="D78" s="2271" t="s">
        <v>2548</v>
      </c>
      <c r="E78" s="3191">
        <v>0.15</v>
      </c>
      <c r="F78" s="3192">
        <v>20</v>
      </c>
    </row>
    <row r="79" spans="1:7" ht="24">
      <c r="A79" s="2291">
        <v>5</v>
      </c>
      <c r="B79" s="4571"/>
      <c r="C79" s="2271" t="s">
        <v>2549</v>
      </c>
      <c r="D79" s="2271" t="s">
        <v>2550</v>
      </c>
      <c r="E79" s="3191">
        <v>0.15</v>
      </c>
      <c r="F79" s="3192">
        <v>20</v>
      </c>
    </row>
    <row r="80" spans="1:7" ht="24">
      <c r="A80" s="2291">
        <v>6</v>
      </c>
      <c r="B80" s="4571"/>
      <c r="C80" s="2271" t="s">
        <v>2551</v>
      </c>
      <c r="D80" s="2271" t="s">
        <v>2552</v>
      </c>
      <c r="E80" s="3191">
        <v>0.15</v>
      </c>
      <c r="F80" s="3192">
        <v>20</v>
      </c>
    </row>
    <row r="81" spans="1:6" ht="24">
      <c r="A81" s="2291">
        <v>7</v>
      </c>
      <c r="B81" s="4571"/>
      <c r="C81" s="2271" t="s">
        <v>2553</v>
      </c>
      <c r="D81" s="2271" t="s">
        <v>2554</v>
      </c>
      <c r="E81" s="3191">
        <v>0.15</v>
      </c>
      <c r="F81" s="3192">
        <v>20</v>
      </c>
    </row>
    <row r="82" spans="1:6" ht="24">
      <c r="A82" s="2291">
        <v>8</v>
      </c>
      <c r="B82" s="4571"/>
      <c r="C82" s="2271" t="s">
        <v>2555</v>
      </c>
      <c r="D82" s="2271" t="s">
        <v>2556</v>
      </c>
      <c r="E82" s="3191">
        <v>0.1</v>
      </c>
      <c r="F82" s="3192">
        <v>15</v>
      </c>
    </row>
    <row r="83" spans="1:6" ht="24">
      <c r="A83" s="2291">
        <v>9</v>
      </c>
      <c r="B83" s="4571"/>
      <c r="C83" s="2271" t="s">
        <v>2557</v>
      </c>
      <c r="D83" s="2271" t="s">
        <v>2558</v>
      </c>
      <c r="E83" s="3191">
        <v>0.1</v>
      </c>
      <c r="F83" s="3192">
        <v>15</v>
      </c>
    </row>
    <row r="84" spans="1:6" ht="24">
      <c r="A84" s="2291">
        <v>10</v>
      </c>
      <c r="B84" s="4571"/>
      <c r="C84" s="2271" t="s">
        <v>2559</v>
      </c>
      <c r="D84" s="2271" t="s">
        <v>2560</v>
      </c>
      <c r="E84" s="3191">
        <v>0.1</v>
      </c>
      <c r="F84" s="3192">
        <v>15</v>
      </c>
    </row>
    <row r="85" spans="1:6" ht="24">
      <c r="A85" s="2291">
        <v>11</v>
      </c>
      <c r="B85" s="4571"/>
      <c r="C85" s="2271" t="s">
        <v>2561</v>
      </c>
      <c r="D85" s="2271" t="s">
        <v>2562</v>
      </c>
      <c r="E85" s="3191">
        <v>0.1</v>
      </c>
      <c r="F85" s="3192">
        <v>15</v>
      </c>
    </row>
    <row r="86" spans="1:6" ht="24">
      <c r="A86" s="2291">
        <v>12</v>
      </c>
      <c r="B86" s="4571"/>
      <c r="C86" s="2271" t="s">
        <v>2563</v>
      </c>
      <c r="D86" s="2271" t="s">
        <v>2564</v>
      </c>
      <c r="E86" s="3191">
        <v>0.1</v>
      </c>
      <c r="F86" s="3192">
        <v>15</v>
      </c>
    </row>
    <row r="87" spans="1:6" ht="24">
      <c r="A87" s="2291">
        <v>13</v>
      </c>
      <c r="B87" s="4571"/>
      <c r="C87" s="2271" t="s">
        <v>2565</v>
      </c>
      <c r="D87" s="2271" t="s">
        <v>2566</v>
      </c>
      <c r="E87" s="3191">
        <v>0.1</v>
      </c>
      <c r="F87" s="3192">
        <v>15</v>
      </c>
    </row>
    <row r="88" spans="1:6" ht="24">
      <c r="A88" s="2291">
        <v>14</v>
      </c>
      <c r="B88" s="4571"/>
      <c r="C88" s="2271" t="s">
        <v>2567</v>
      </c>
      <c r="D88" s="2271" t="s">
        <v>2568</v>
      </c>
      <c r="E88" s="3191">
        <v>0.1</v>
      </c>
      <c r="F88" s="3192">
        <v>15</v>
      </c>
    </row>
    <row r="89" spans="1:6" ht="24">
      <c r="A89" s="2291">
        <v>15</v>
      </c>
      <c r="B89" s="4571"/>
      <c r="C89" s="2271" t="s">
        <v>2569</v>
      </c>
      <c r="D89" s="2271" t="s">
        <v>2570</v>
      </c>
      <c r="E89" s="3191">
        <v>0.1</v>
      </c>
      <c r="F89" s="3192">
        <v>15</v>
      </c>
    </row>
    <row r="90" spans="1:6" ht="24">
      <c r="A90" s="2291">
        <v>16</v>
      </c>
      <c r="B90" s="4571"/>
      <c r="C90" s="2271" t="s">
        <v>2571</v>
      </c>
      <c r="D90" s="2271" t="s">
        <v>2572</v>
      </c>
      <c r="E90" s="3191">
        <v>0.1</v>
      </c>
      <c r="F90" s="3192">
        <v>15</v>
      </c>
    </row>
    <row r="91" spans="1:6" ht="24">
      <c r="A91" s="2291">
        <v>17</v>
      </c>
      <c r="B91" s="4570"/>
      <c r="C91" s="2271" t="s">
        <v>2573</v>
      </c>
      <c r="D91" s="2271" t="s">
        <v>2574</v>
      </c>
      <c r="E91" s="3191">
        <v>0.1</v>
      </c>
      <c r="F91" s="3192">
        <v>15</v>
      </c>
    </row>
    <row r="92" spans="1:6" ht="14.4">
      <c r="A92" s="2291">
        <v>18</v>
      </c>
      <c r="B92" s="4569" t="s">
        <v>2575</v>
      </c>
      <c r="C92" s="2271" t="s">
        <v>2576</v>
      </c>
      <c r="D92" s="2271" t="s">
        <v>2577</v>
      </c>
      <c r="E92" s="3191">
        <v>0.2</v>
      </c>
      <c r="F92" s="3192">
        <v>25</v>
      </c>
    </row>
    <row r="93" spans="1:6" ht="24">
      <c r="A93" s="2291">
        <v>19</v>
      </c>
      <c r="B93" s="4571"/>
      <c r="C93" s="2271" t="s">
        <v>2578</v>
      </c>
      <c r="D93" s="2271" t="s">
        <v>2579</v>
      </c>
      <c r="E93" s="3191">
        <v>0.2</v>
      </c>
      <c r="F93" s="3192">
        <v>25</v>
      </c>
    </row>
    <row r="94" spans="1:6" ht="14.4">
      <c r="A94" s="2291">
        <v>20</v>
      </c>
      <c r="B94" s="4571"/>
      <c r="C94" s="2271" t="s">
        <v>2580</v>
      </c>
      <c r="D94" s="2271" t="s">
        <v>2581</v>
      </c>
      <c r="E94" s="3191">
        <v>0.15</v>
      </c>
      <c r="F94" s="3192">
        <v>20</v>
      </c>
    </row>
    <row r="95" spans="1:6" ht="24">
      <c r="A95" s="2291">
        <v>21</v>
      </c>
      <c r="B95" s="4571"/>
      <c r="C95" s="2271" t="s">
        <v>2582</v>
      </c>
      <c r="D95" s="2271" t="s">
        <v>2583</v>
      </c>
      <c r="E95" s="3191">
        <v>0.15</v>
      </c>
      <c r="F95" s="3192">
        <v>20</v>
      </c>
    </row>
    <row r="96" spans="1:6" ht="24">
      <c r="A96" s="2291">
        <v>22</v>
      </c>
      <c r="B96" s="4571"/>
      <c r="C96" s="2271" t="s">
        <v>2584</v>
      </c>
      <c r="D96" s="2271" t="s">
        <v>2585</v>
      </c>
      <c r="E96" s="3191">
        <v>0.15</v>
      </c>
      <c r="F96" s="3192">
        <v>20</v>
      </c>
    </row>
    <row r="97" spans="1:6" ht="36">
      <c r="A97" s="2291">
        <v>23</v>
      </c>
      <c r="B97" s="4571"/>
      <c r="C97" s="2271" t="s">
        <v>2586</v>
      </c>
      <c r="D97" s="2271" t="s">
        <v>2587</v>
      </c>
      <c r="E97" s="3191">
        <v>0.15</v>
      </c>
      <c r="F97" s="3192">
        <v>20</v>
      </c>
    </row>
    <row r="98" spans="1:6" ht="24">
      <c r="A98" s="2291">
        <v>24</v>
      </c>
      <c r="B98" s="4571"/>
      <c r="C98" s="2271" t="s">
        <v>2588</v>
      </c>
      <c r="D98" s="2271" t="s">
        <v>2589</v>
      </c>
      <c r="E98" s="3191">
        <v>0.1</v>
      </c>
      <c r="F98" s="3192">
        <v>15</v>
      </c>
    </row>
    <row r="99" spans="1:6" ht="24">
      <c r="A99" s="2291">
        <v>25</v>
      </c>
      <c r="B99" s="4571"/>
      <c r="C99" s="2271" t="s">
        <v>2590</v>
      </c>
      <c r="D99" s="2271" t="s">
        <v>2591</v>
      </c>
      <c r="E99" s="3191">
        <v>0.1</v>
      </c>
      <c r="F99" s="3192">
        <v>15</v>
      </c>
    </row>
    <row r="100" spans="1:6" ht="24">
      <c r="A100" s="2291">
        <v>26</v>
      </c>
      <c r="B100" s="4571"/>
      <c r="C100" s="2271" t="s">
        <v>2592</v>
      </c>
      <c r="D100" s="2271" t="s">
        <v>2593</v>
      </c>
      <c r="E100" s="3191">
        <v>0.1</v>
      </c>
      <c r="F100" s="3192">
        <v>15</v>
      </c>
    </row>
    <row r="101" spans="1:6" ht="24">
      <c r="A101" s="2291">
        <v>27</v>
      </c>
      <c r="B101" s="4571"/>
      <c r="C101" s="2271" t="s">
        <v>2594</v>
      </c>
      <c r="D101" s="2271" t="s">
        <v>2595</v>
      </c>
      <c r="E101" s="3191">
        <v>0.1</v>
      </c>
      <c r="F101" s="3192">
        <v>15</v>
      </c>
    </row>
    <row r="102" spans="1:6" ht="24">
      <c r="A102" s="2291">
        <v>28</v>
      </c>
      <c r="B102" s="4571"/>
      <c r="C102" s="2271" t="s">
        <v>2596</v>
      </c>
      <c r="D102" s="2271" t="s">
        <v>2597</v>
      </c>
      <c r="E102" s="3191">
        <v>0.1</v>
      </c>
      <c r="F102" s="3192">
        <v>15</v>
      </c>
    </row>
    <row r="103" spans="1:6" ht="24">
      <c r="A103" s="2291">
        <v>29</v>
      </c>
      <c r="B103" s="4571"/>
      <c r="C103" s="2271" t="s">
        <v>2598</v>
      </c>
      <c r="D103" s="2271" t="s">
        <v>2599</v>
      </c>
      <c r="E103" s="3191">
        <v>0.1</v>
      </c>
      <c r="F103" s="3192">
        <v>15</v>
      </c>
    </row>
    <row r="104" spans="1:6" ht="24">
      <c r="A104" s="2291">
        <v>30</v>
      </c>
      <c r="B104" s="4571"/>
      <c r="C104" s="2271" t="s">
        <v>2600</v>
      </c>
      <c r="D104" s="2271" t="s">
        <v>2601</v>
      </c>
      <c r="E104" s="3191">
        <v>0.1</v>
      </c>
      <c r="F104" s="3192">
        <v>15</v>
      </c>
    </row>
    <row r="105" spans="1:6" ht="24">
      <c r="A105" s="2291">
        <v>31</v>
      </c>
      <c r="B105" s="4571"/>
      <c r="C105" s="2271" t="s">
        <v>2602</v>
      </c>
      <c r="D105" s="2271" t="s">
        <v>2603</v>
      </c>
      <c r="E105" s="3191">
        <v>0.1</v>
      </c>
      <c r="F105" s="3192">
        <v>15</v>
      </c>
    </row>
    <row r="106" spans="1:6" ht="24">
      <c r="A106" s="2291">
        <v>32</v>
      </c>
      <c r="B106" s="4571"/>
      <c r="C106" s="2271" t="s">
        <v>2604</v>
      </c>
      <c r="D106" s="2271" t="s">
        <v>2605</v>
      </c>
      <c r="E106" s="3191">
        <v>0.1</v>
      </c>
      <c r="F106" s="3192">
        <v>15</v>
      </c>
    </row>
    <row r="107" spans="1:6" ht="24">
      <c r="A107" s="2291">
        <v>33</v>
      </c>
      <c r="B107" s="4571"/>
      <c r="C107" s="2271" t="s">
        <v>2606</v>
      </c>
      <c r="D107" s="2271" t="s">
        <v>2607</v>
      </c>
      <c r="E107" s="3191">
        <v>0.1</v>
      </c>
      <c r="F107" s="3192">
        <v>15</v>
      </c>
    </row>
    <row r="108" spans="1:6" ht="24">
      <c r="A108" s="2291">
        <v>34</v>
      </c>
      <c r="B108" s="4570"/>
      <c r="C108" s="2271" t="s">
        <v>2608</v>
      </c>
      <c r="D108" s="2271" t="s">
        <v>2609</v>
      </c>
      <c r="E108" s="3191">
        <v>0.1</v>
      </c>
      <c r="F108" s="3192">
        <v>15</v>
      </c>
    </row>
    <row r="109" spans="1:6" ht="36">
      <c r="A109" s="2291">
        <v>35</v>
      </c>
      <c r="B109" s="4569" t="s">
        <v>2610</v>
      </c>
      <c r="C109" s="2291" t="s">
        <v>2611</v>
      </c>
      <c r="D109" s="2271" t="s">
        <v>2612</v>
      </c>
      <c r="E109" s="3191">
        <v>0.15</v>
      </c>
      <c r="F109" s="3192">
        <v>20</v>
      </c>
    </row>
    <row r="110" spans="1:6" ht="24">
      <c r="A110" s="2291">
        <v>36</v>
      </c>
      <c r="B110" s="4571"/>
      <c r="C110" s="2291" t="s">
        <v>2613</v>
      </c>
      <c r="D110" s="2271" t="s">
        <v>2614</v>
      </c>
      <c r="E110" s="3191">
        <v>0.15</v>
      </c>
      <c r="F110" s="3192">
        <v>20</v>
      </c>
    </row>
    <row r="111" spans="1:6" ht="24">
      <c r="A111" s="2291">
        <v>37</v>
      </c>
      <c r="B111" s="4571"/>
      <c r="C111" s="2291" t="s">
        <v>2615</v>
      </c>
      <c r="D111" s="2271" t="s">
        <v>2616</v>
      </c>
      <c r="E111" s="3191">
        <v>0.15</v>
      </c>
      <c r="F111" s="3192">
        <v>20</v>
      </c>
    </row>
    <row r="112" spans="1:6" ht="24">
      <c r="A112" s="2291">
        <v>38</v>
      </c>
      <c r="B112" s="4571"/>
      <c r="C112" s="2291" t="s">
        <v>2617</v>
      </c>
      <c r="D112" s="2271" t="s">
        <v>2618</v>
      </c>
      <c r="E112" s="3191">
        <v>0.1</v>
      </c>
      <c r="F112" s="3192">
        <v>15</v>
      </c>
    </row>
    <row r="113" spans="1:6" ht="24">
      <c r="A113" s="2291">
        <v>39</v>
      </c>
      <c r="B113" s="4571"/>
      <c r="C113" s="2291" t="s">
        <v>2619</v>
      </c>
      <c r="D113" s="2271" t="s">
        <v>2620</v>
      </c>
      <c r="E113" s="3191">
        <v>0.1</v>
      </c>
      <c r="F113" s="3192">
        <v>15</v>
      </c>
    </row>
    <row r="114" spans="1:6" ht="24">
      <c r="A114" s="2291">
        <v>40</v>
      </c>
      <c r="B114" s="4570"/>
      <c r="C114" s="2291" t="s">
        <v>2621</v>
      </c>
      <c r="D114" s="2271" t="s">
        <v>2622</v>
      </c>
      <c r="E114" s="3191">
        <v>0.1</v>
      </c>
      <c r="F114" s="3192">
        <v>15</v>
      </c>
    </row>
    <row r="115" spans="1:6" ht="24">
      <c r="A115" s="2291">
        <v>41</v>
      </c>
      <c r="B115" s="4568" t="s">
        <v>2623</v>
      </c>
      <c r="C115" s="2291" t="s">
        <v>2624</v>
      </c>
      <c r="D115" s="2271" t="s">
        <v>2625</v>
      </c>
      <c r="E115" s="3191">
        <v>0.1</v>
      </c>
      <c r="F115" s="3192">
        <v>15</v>
      </c>
    </row>
    <row r="116" spans="1:6" ht="24">
      <c r="A116" s="2291">
        <v>42</v>
      </c>
      <c r="B116" s="4568"/>
      <c r="C116" s="2291" t="s">
        <v>2626</v>
      </c>
      <c r="D116" s="2271" t="s">
        <v>2627</v>
      </c>
      <c r="E116" s="3191">
        <v>0.1</v>
      </c>
      <c r="F116" s="3192">
        <v>15</v>
      </c>
    </row>
    <row r="117" spans="1:6" ht="24">
      <c r="A117" s="2291">
        <v>43</v>
      </c>
      <c r="B117" s="4568"/>
      <c r="C117" s="2291" t="s">
        <v>2628</v>
      </c>
      <c r="D117" s="2271" t="s">
        <v>2629</v>
      </c>
      <c r="E117" s="3191">
        <v>0.1</v>
      </c>
      <c r="F117" s="3192">
        <v>15</v>
      </c>
    </row>
    <row r="118" spans="1:6" ht="24">
      <c r="A118" s="2291">
        <v>44</v>
      </c>
      <c r="B118" s="4569" t="s">
        <v>2630</v>
      </c>
      <c r="C118" s="2291" t="s">
        <v>2631</v>
      </c>
      <c r="D118" s="2271" t="s">
        <v>2632</v>
      </c>
      <c r="E118" s="3191">
        <v>0.1</v>
      </c>
      <c r="F118" s="3192">
        <v>15</v>
      </c>
    </row>
    <row r="119" spans="1:6" ht="24">
      <c r="A119" s="2291">
        <v>45</v>
      </c>
      <c r="B119" s="4570"/>
      <c r="C119" s="2271" t="s">
        <v>2633</v>
      </c>
      <c r="D119" s="2271" t="s">
        <v>2634</v>
      </c>
      <c r="E119" s="3191">
        <v>0.1</v>
      </c>
      <c r="F119" s="3192">
        <v>15</v>
      </c>
    </row>
    <row r="120" spans="1:6" ht="24">
      <c r="A120" s="2291">
        <v>46</v>
      </c>
      <c r="B120" s="4569" t="s">
        <v>2635</v>
      </c>
      <c r="C120" s="2291" t="s">
        <v>2636</v>
      </c>
      <c r="D120" s="2271" t="s">
        <v>2637</v>
      </c>
      <c r="E120" s="3191">
        <v>0.1</v>
      </c>
      <c r="F120" s="3192">
        <v>15</v>
      </c>
    </row>
    <row r="121" spans="1:6" ht="24">
      <c r="A121" s="2291">
        <v>47</v>
      </c>
      <c r="B121" s="4570"/>
      <c r="C121" s="2291" t="s">
        <v>2638</v>
      </c>
      <c r="D121" s="2271" t="s">
        <v>2639</v>
      </c>
      <c r="E121" s="3191">
        <v>0.1</v>
      </c>
      <c r="F121" s="3192">
        <v>15</v>
      </c>
    </row>
    <row r="122" spans="1:6" ht="24">
      <c r="A122" s="2291">
        <v>48</v>
      </c>
      <c r="B122" s="4569" t="s">
        <v>2640</v>
      </c>
      <c r="C122" s="2291" t="s">
        <v>2641</v>
      </c>
      <c r="D122" s="2271" t="s">
        <v>2642</v>
      </c>
      <c r="E122" s="3191">
        <v>0.1</v>
      </c>
      <c r="F122" s="3192">
        <v>15</v>
      </c>
    </row>
    <row r="123" spans="1:6" ht="24">
      <c r="A123" s="2291">
        <v>49</v>
      </c>
      <c r="B123" s="4570"/>
      <c r="C123" s="2291" t="s">
        <v>2643</v>
      </c>
      <c r="D123" s="2271" t="s">
        <v>2644</v>
      </c>
      <c r="E123" s="3191">
        <v>0.1</v>
      </c>
      <c r="F123" s="3192">
        <v>15</v>
      </c>
    </row>
    <row r="124" spans="1:6" ht="24">
      <c r="A124" s="2291">
        <v>50</v>
      </c>
      <c r="B124" s="4568" t="s">
        <v>2645</v>
      </c>
      <c r="C124" s="2291" t="s">
        <v>2646</v>
      </c>
      <c r="D124" s="2271" t="s">
        <v>2647</v>
      </c>
      <c r="E124" s="3191">
        <v>0.1</v>
      </c>
      <c r="F124" s="3192">
        <v>15</v>
      </c>
    </row>
    <row r="125" spans="1:6" ht="24">
      <c r="A125" s="2291">
        <v>51</v>
      </c>
      <c r="B125" s="4568"/>
      <c r="C125" s="2291" t="s">
        <v>2648</v>
      </c>
      <c r="D125" s="2271" t="s">
        <v>2649</v>
      </c>
      <c r="E125" s="3191">
        <v>0.1</v>
      </c>
      <c r="F125" s="3192">
        <v>15</v>
      </c>
    </row>
    <row r="126" spans="1:6" ht="24">
      <c r="A126" s="2291">
        <v>52</v>
      </c>
      <c r="B126" s="4568" t="s">
        <v>2650</v>
      </c>
      <c r="C126" s="2291" t="s">
        <v>2651</v>
      </c>
      <c r="D126" s="2271" t="s">
        <v>2652</v>
      </c>
      <c r="E126" s="3191">
        <v>0.1</v>
      </c>
      <c r="F126" s="3192">
        <v>15</v>
      </c>
    </row>
    <row r="127" spans="1:6" ht="24">
      <c r="A127" s="2291">
        <v>53</v>
      </c>
      <c r="B127" s="4568"/>
      <c r="C127" s="2291" t="s">
        <v>2653</v>
      </c>
      <c r="D127" s="2271" t="s">
        <v>2654</v>
      </c>
      <c r="E127" s="3191">
        <v>0.1</v>
      </c>
      <c r="F127" s="3192">
        <v>15</v>
      </c>
    </row>
    <row r="128" spans="1:6" ht="24">
      <c r="A128" s="2291">
        <v>54</v>
      </c>
      <c r="B128" s="2291" t="s">
        <v>2655</v>
      </c>
      <c r="C128" s="2291" t="s">
        <v>2656</v>
      </c>
      <c r="D128" s="2271" t="s">
        <v>2657</v>
      </c>
      <c r="E128" s="3191">
        <v>0.1</v>
      </c>
      <c r="F128" s="3192">
        <v>15</v>
      </c>
    </row>
    <row r="129" spans="1:6" ht="24">
      <c r="A129" s="2291">
        <v>55</v>
      </c>
      <c r="B129" s="4568" t="s">
        <v>2658</v>
      </c>
      <c r="C129" s="2291" t="s">
        <v>2659</v>
      </c>
      <c r="D129" s="2271" t="s">
        <v>2660</v>
      </c>
      <c r="E129" s="3191">
        <v>0.1</v>
      </c>
      <c r="F129" s="3192">
        <v>15</v>
      </c>
    </row>
    <row r="130" spans="1:6" ht="24">
      <c r="A130" s="2291">
        <v>56</v>
      </c>
      <c r="B130" s="4568"/>
      <c r="C130" s="2291" t="s">
        <v>2661</v>
      </c>
      <c r="D130" s="2271" t="s">
        <v>2662</v>
      </c>
      <c r="E130" s="3191">
        <v>0.1</v>
      </c>
      <c r="F130" s="3192">
        <v>15</v>
      </c>
    </row>
    <row r="131" spans="1:6" ht="24">
      <c r="A131" s="2291">
        <v>57</v>
      </c>
      <c r="B131" s="4568"/>
      <c r="C131" s="2291" t="s">
        <v>2663</v>
      </c>
      <c r="D131" s="2271" t="s">
        <v>2664</v>
      </c>
      <c r="E131" s="3191">
        <v>0.1</v>
      </c>
      <c r="F131" s="3192">
        <v>15</v>
      </c>
    </row>
    <row r="132" spans="1:6" ht="24">
      <c r="A132" s="2291">
        <v>58</v>
      </c>
      <c r="B132" s="4568" t="s">
        <v>2665</v>
      </c>
      <c r="C132" s="2291" t="s">
        <v>2666</v>
      </c>
      <c r="D132" s="2271" t="s">
        <v>2667</v>
      </c>
      <c r="E132" s="3191">
        <v>0.1</v>
      </c>
      <c r="F132" s="3192">
        <v>15</v>
      </c>
    </row>
    <row r="133" spans="1:6" ht="24">
      <c r="A133" s="2291">
        <v>59</v>
      </c>
      <c r="B133" s="4568"/>
      <c r="C133" s="2291" t="s">
        <v>2668</v>
      </c>
      <c r="D133" s="2271" t="s">
        <v>2669</v>
      </c>
      <c r="E133" s="3191">
        <v>0.1</v>
      </c>
      <c r="F133" s="3192">
        <v>15</v>
      </c>
    </row>
    <row r="134" spans="1:6" ht="24">
      <c r="A134" s="2291">
        <v>60</v>
      </c>
      <c r="B134" s="4569" t="s">
        <v>2670</v>
      </c>
      <c r="C134" s="2291" t="s">
        <v>2671</v>
      </c>
      <c r="D134" s="2271" t="s">
        <v>2672</v>
      </c>
      <c r="E134" s="3191">
        <v>0.1</v>
      </c>
      <c r="F134" s="3192">
        <v>15</v>
      </c>
    </row>
    <row r="135" spans="1:6" ht="24">
      <c r="A135" s="2291">
        <v>61</v>
      </c>
      <c r="B135" s="4570"/>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24">
      <c r="A137" s="2291">
        <v>63</v>
      </c>
      <c r="B137" s="4568" t="s">
        <v>2678</v>
      </c>
      <c r="C137" s="2291" t="s">
        <v>2679</v>
      </c>
      <c r="D137" s="2271" t="s">
        <v>2680</v>
      </c>
      <c r="E137" s="3191">
        <v>0.1</v>
      </c>
      <c r="F137" s="3192">
        <v>15</v>
      </c>
    </row>
    <row r="138" spans="1:6" ht="24">
      <c r="A138" s="2291">
        <v>64</v>
      </c>
      <c r="B138" s="4568"/>
      <c r="C138" s="2291" t="s">
        <v>2681</v>
      </c>
      <c r="D138" s="2271" t="s">
        <v>2682</v>
      </c>
      <c r="E138" s="3191">
        <v>0.1</v>
      </c>
      <c r="F138" s="3192">
        <v>15</v>
      </c>
    </row>
    <row r="139" spans="1:6" ht="24">
      <c r="A139" s="2291">
        <v>65</v>
      </c>
      <c r="B139" s="2291" t="s">
        <v>2683</v>
      </c>
      <c r="C139" s="2291" t="s">
        <v>2684</v>
      </c>
      <c r="D139" s="2271" t="s">
        <v>2685</v>
      </c>
      <c r="E139" s="3191">
        <v>0.1</v>
      </c>
      <c r="F139" s="3192">
        <v>15</v>
      </c>
    </row>
    <row r="140" spans="1:6" ht="14.4">
      <c r="A140" s="2291"/>
      <c r="B140" s="2291"/>
      <c r="C140" s="2291"/>
      <c r="D140" s="2291"/>
      <c r="E140" s="2291" t="s">
        <v>2686</v>
      </c>
      <c r="F140" s="229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13"/>
  </cols>
  <sheetData>
    <row r="1" spans="1:20" ht="16.2"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6.2"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1.0512999999999999</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5.6">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5.6">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6.2"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6.2"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6.2"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1</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28870</v>
      </c>
      <c r="C2" s="2" t="s">
        <v>104</v>
      </c>
      <c r="D2" s="95"/>
      <c r="E2" s="95"/>
      <c r="F2" s="95"/>
      <c r="G2" s="95"/>
    </row>
    <row r="3" spans="1:7" s="96" customFormat="1" ht="18" customHeight="1" thickBot="1">
      <c r="A3" s="99" t="s">
        <v>56</v>
      </c>
      <c r="B3" s="100">
        <f ca="1">ROUND(B2*10000/'数据-汇总表'!E3,0)</f>
        <v>46443</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124</v>
      </c>
      <c r="D10" s="557">
        <f>'数据-汇总表'!E6</f>
        <v>6216.26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124</v>
      </c>
      <c r="D19" s="108">
        <f>'数据-汇总表'!E3</f>
        <v>6216.26</v>
      </c>
      <c r="E19" s="107">
        <f>'数据-取费表'!B31</f>
        <v>200</v>
      </c>
      <c r="F19" s="127"/>
      <c r="G19" s="1" t="s">
        <v>430</v>
      </c>
    </row>
    <row r="20" spans="1:7" s="110" customFormat="1" ht="13.5" customHeight="1">
      <c r="A20" s="529" t="s">
        <v>413</v>
      </c>
      <c r="B20" s="106" t="s">
        <v>75</v>
      </c>
      <c r="C20" s="128">
        <f>ROUND((C5+C19)*F20,0)</f>
        <v>415</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968</v>
      </c>
      <c r="D22" s="131">
        <f ca="1">C26</f>
        <v>5.0000000000000001E-4</v>
      </c>
      <c r="E22" s="132" t="s">
        <v>97</v>
      </c>
      <c r="F22" s="133">
        <f ca="1">'数据-取费表'!B41</f>
        <v>3.0599999999999999E-2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953</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6</v>
      </c>
      <c r="D24" s="134"/>
      <c r="E24" s="134"/>
      <c r="F24" s="135"/>
      <c r="G24" s="136" t="s">
        <v>80</v>
      </c>
    </row>
    <row r="25" spans="1:7" s="110" customFormat="1" ht="24">
      <c r="A25" s="532" t="s">
        <v>346</v>
      </c>
      <c r="B25" s="111" t="s">
        <v>414</v>
      </c>
      <c r="C25" s="765">
        <f ca="1">ROUND(IF('数据-取费表'!B22&lt;=1,C20*F22*'数据-取费表'!B23/2,C20*(POWER((1+F22),'数据-取费表'!B23/2)-1)),0)</f>
        <v>9</v>
      </c>
      <c r="D25" s="134"/>
      <c r="E25" s="137"/>
      <c r="F25" s="135"/>
      <c r="G25" s="138" t="s">
        <v>81</v>
      </c>
    </row>
    <row r="26" spans="1:7" s="110" customFormat="1">
      <c r="A26" s="532" t="s">
        <v>348</v>
      </c>
      <c r="B26" s="111" t="s">
        <v>416</v>
      </c>
      <c r="C26" s="134">
        <f ca="1">ROUND(IF('数据-取费表'!B22&lt;=1,F21*F22*'数据-取费表'!B23/2,F21*(POWER((1+F22),'数据-取费表'!B23/2)-1)),4)</f>
        <v>5.0000000000000001E-4</v>
      </c>
      <c r="D26" s="134"/>
      <c r="E26" s="137"/>
      <c r="F26" s="135"/>
      <c r="G26" s="139"/>
    </row>
    <row r="27" spans="1:7" s="110" customFormat="1" ht="26.4">
      <c r="A27" s="529" t="s">
        <v>340</v>
      </c>
      <c r="B27" s="140" t="s">
        <v>83</v>
      </c>
      <c r="C27" s="141">
        <f>C28</f>
        <v>3172</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3172</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25898</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3151</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2797</v>
      </c>
      <c r="D34" s="113"/>
      <c r="E34" s="116"/>
      <c r="F34" s="153">
        <f>IF('数据-取费表'!B24=0,1,'数据-取费表'!N16)</f>
        <v>1</v>
      </c>
      <c r="G34" s="115" t="s">
        <v>87</v>
      </c>
    </row>
    <row r="35" spans="1:7" ht="13.5" customHeight="1">
      <c r="A35" s="532" t="s">
        <v>349</v>
      </c>
      <c r="B35" s="111" t="s">
        <v>31</v>
      </c>
      <c r="C35" s="116">
        <f>ROUND(C34*F35,0)</f>
        <v>140</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186</v>
      </c>
      <c r="D37" s="113">
        <f>'数据-汇总表'!E3</f>
        <v>6216.26</v>
      </c>
      <c r="E37" s="145">
        <f>'数据-取费表'!B35</f>
        <v>300</v>
      </c>
      <c r="F37" s="155"/>
      <c r="G37" s="157" t="s">
        <v>90</v>
      </c>
    </row>
    <row r="38" spans="1:7" ht="13.5" customHeight="1">
      <c r="A38" s="532" t="s">
        <v>352</v>
      </c>
      <c r="B38" s="111" t="s">
        <v>34</v>
      </c>
      <c r="C38" s="116">
        <f>ROUND(C34*F38,0)</f>
        <v>28</v>
      </c>
      <c r="D38" s="116"/>
      <c r="E38" s="116"/>
      <c r="F38" s="155">
        <f>'数据-取费表'!B36</f>
        <v>0.01</v>
      </c>
      <c r="G38" s="115" t="s">
        <v>88</v>
      </c>
    </row>
    <row r="39" spans="1:7" s="110" customFormat="1" ht="13.5" customHeight="1">
      <c r="A39" s="529" t="s">
        <v>336</v>
      </c>
      <c r="B39" s="106" t="s">
        <v>75</v>
      </c>
      <c r="C39" s="128">
        <f>ROUND(C33*F20,0)</f>
        <v>63</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73</v>
      </c>
      <c r="D41" s="131">
        <f ca="1">C44</f>
        <v>5.0000000000000001E-4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72</v>
      </c>
      <c r="D42" s="134"/>
      <c r="E42" s="134"/>
      <c r="F42" s="135"/>
      <c r="G42" s="4384" t="s">
        <v>92</v>
      </c>
    </row>
    <row r="43" spans="1:7" ht="13.5" customHeight="1">
      <c r="A43" s="532" t="s">
        <v>345</v>
      </c>
      <c r="B43" s="111" t="s">
        <v>420</v>
      </c>
      <c r="C43" s="134">
        <f ca="1">ROUND(IF('数据-取费表'!B22&lt;=1,C39*F22*'数据-取费表'!B21/2,C39*(POWER((1+F22),'数据-取费表'!B21/2)-1)),0)</f>
        <v>1</v>
      </c>
      <c r="D43" s="134"/>
      <c r="E43" s="134"/>
      <c r="F43" s="135"/>
      <c r="G43" s="4386"/>
    </row>
    <row r="44" spans="1:7" ht="13.5" customHeight="1">
      <c r="A44" s="532" t="s">
        <v>346</v>
      </c>
      <c r="B44" s="111" t="s">
        <v>422</v>
      </c>
      <c r="C44" s="134">
        <f ca="1">ROUND(IF('数据-取费表'!B22&lt;=1,C40*F22*'数据-取费表'!B21/2,C40*(POWER((1+F22),'数据-取费表'!B21/2)-1)),4)</f>
        <v>5.0000000000000001E-4</v>
      </c>
      <c r="D44" s="134"/>
      <c r="E44" s="134"/>
      <c r="F44" s="135"/>
      <c r="G44" s="4385"/>
    </row>
    <row r="45" spans="1:7" s="110" customFormat="1" ht="13.5" customHeight="1">
      <c r="A45" s="529" t="s">
        <v>339</v>
      </c>
      <c r="B45" s="140" t="s">
        <v>83</v>
      </c>
      <c r="C45" s="141">
        <f>C46</f>
        <v>482</v>
      </c>
      <c r="D45" s="131">
        <f>C47</f>
        <v>3.0000000000000001E-3</v>
      </c>
      <c r="E45" s="132" t="s">
        <v>100</v>
      </c>
      <c r="F45" s="142"/>
      <c r="G45" s="143" t="s">
        <v>428</v>
      </c>
    </row>
    <row r="46" spans="1:7" s="110" customFormat="1" ht="13.5" customHeight="1">
      <c r="A46" s="532" t="s">
        <v>347</v>
      </c>
      <c r="B46" s="144" t="s">
        <v>421</v>
      </c>
      <c r="C46" s="145">
        <f>ROUND((C33+C39)*F27,0)</f>
        <v>482</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3860</v>
      </c>
      <c r="D49" s="128"/>
      <c r="E49" s="128"/>
      <c r="F49" s="160"/>
      <c r="G49" s="130" t="s">
        <v>429</v>
      </c>
    </row>
    <row r="50" spans="1:7" s="154" customFormat="1" ht="24">
      <c r="A50" s="529" t="s">
        <v>342</v>
      </c>
      <c r="B50" s="106" t="s">
        <v>95</v>
      </c>
      <c r="C50" s="128"/>
      <c r="D50" s="128"/>
      <c r="E50" s="128"/>
      <c r="F50" s="160">
        <f>IF('数据-取费表'!B24=0,'数据-取费表'!N16,1)</f>
        <v>0.77</v>
      </c>
      <c r="G50" s="143" t="s">
        <v>96</v>
      </c>
    </row>
    <row r="51" spans="1:7" ht="16.5" customHeight="1">
      <c r="A51" s="529" t="s">
        <v>343</v>
      </c>
      <c r="B51" s="106" t="s">
        <v>103</v>
      </c>
      <c r="C51" s="128">
        <f ca="1">ROUND(C49*F50,0)</f>
        <v>2972</v>
      </c>
      <c r="D51" s="128"/>
      <c r="E51" s="128"/>
      <c r="F51" s="160"/>
      <c r="G51" s="130" t="s">
        <v>35</v>
      </c>
    </row>
    <row r="52" spans="1:7" s="104" customFormat="1" ht="16.8" thickBot="1">
      <c r="A52" s="161" t="s">
        <v>36</v>
      </c>
      <c r="B52" s="162"/>
      <c r="C52" s="163">
        <f ca="1">C31+C51</f>
        <v>28870</v>
      </c>
      <c r="D52" s="162"/>
      <c r="E52" s="162"/>
      <c r="F52" s="162"/>
      <c r="G52" s="164"/>
    </row>
    <row r="55" spans="1:7" ht="15">
      <c r="B55" s="166" t="s">
        <v>37</v>
      </c>
      <c r="C55" s="167"/>
    </row>
    <row r="56" spans="1:7">
      <c r="B56" s="169" t="s">
        <v>38</v>
      </c>
      <c r="C56" s="170">
        <f ca="1">ROUND(C51/C52,3)</f>
        <v>0.10299999999999999</v>
      </c>
    </row>
    <row r="57" spans="1:7">
      <c r="B57" s="169" t="s">
        <v>39</v>
      </c>
      <c r="C57" s="171">
        <f ca="1">1-C56</f>
        <v>0.89700000000000002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8" customWidth="1"/>
    <col min="2" max="2" width="20" style="2388" customWidth="1"/>
    <col min="3" max="7" width="8.88671875" style="2388"/>
    <col min="8" max="16384" width="8.88671875" style="2264"/>
  </cols>
  <sheetData>
    <row r="1" spans="1:7">
      <c r="A1" s="4582" t="s">
        <v>3070</v>
      </c>
      <c r="B1" s="4582"/>
    </row>
    <row r="2" spans="1:7" ht="15" thickBot="1">
      <c r="A2" s="2389"/>
      <c r="B2" s="2389"/>
    </row>
    <row r="3" spans="1:7" ht="15" thickBot="1">
      <c r="A3" s="2389"/>
      <c r="B3" s="2389"/>
      <c r="C3" s="2390" t="s">
        <v>2700</v>
      </c>
      <c r="D3" s="2390" t="s">
        <v>2756</v>
      </c>
      <c r="E3" s="2390" t="s">
        <v>2702</v>
      </c>
      <c r="F3" s="2390" t="s">
        <v>2757</v>
      </c>
      <c r="G3" s="2390" t="s">
        <v>2520</v>
      </c>
    </row>
    <row r="4" spans="1:7" ht="1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4"/>
  </cols>
  <sheetData>
    <row r="1" spans="1:6">
      <c r="A1" s="4583" t="s">
        <v>3121</v>
      </c>
      <c r="B1" s="4583"/>
      <c r="C1" s="4583"/>
      <c r="D1" s="4583"/>
      <c r="E1" s="4583"/>
      <c r="F1" s="4584"/>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64"/>
  <sheetViews>
    <sheetView topLeftCell="A13" zoomScaleNormal="100" zoomScaleSheetLayoutView="100" workbookViewId="0">
      <selection activeCell="I34" sqref="I3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22"/>
      <c r="C1" s="3463"/>
      <c r="D1" s="94"/>
      <c r="E1" s="94"/>
      <c r="F1" s="94"/>
      <c r="G1" s="780">
        <f>MATCH(B1,'数据-取费表'!A6:A16,0)+5</f>
        <v>7</v>
      </c>
    </row>
    <row r="2" spans="1:9" s="96" customFormat="1" ht="15.6">
      <c r="A2" s="97" t="s">
        <v>1434</v>
      </c>
      <c r="B2" s="2590">
        <f ca="1">IF(C1="含税",E2+C33,E2+C32)</f>
        <v>3124</v>
      </c>
      <c r="C2" s="95" t="s">
        <v>1435</v>
      </c>
      <c r="D2" s="1363" t="s">
        <v>41</v>
      </c>
      <c r="E2" s="3553">
        <f ca="1">IF(D2="——",0,SUMIF(INDIRECT("'"&amp;G2&amp;"'"&amp;"!A:A"),"承租人权益价值",INDIRECT("'"&amp;G2&amp;"'"&amp;"!c:c")))</f>
        <v>0</v>
      </c>
      <c r="F2" s="1364" t="s">
        <v>1435</v>
      </c>
      <c r="G2" s="1365"/>
    </row>
    <row r="3" spans="1:9" s="96" customFormat="1" ht="16.2" thickBot="1">
      <c r="A3" s="99" t="s">
        <v>1436</v>
      </c>
      <c r="B3" s="2591">
        <f ca="1">ROUND(B2*10000/(IF(B1="",'数据-汇总表'!E3,INDIRECT("'数据-取费表'!k"&amp;$G$1))),0)</f>
        <v>5026</v>
      </c>
      <c r="C3" s="95" t="s">
        <v>1437</v>
      </c>
      <c r="D3" s="95"/>
      <c r="E3" s="2577"/>
      <c r="F3" s="95"/>
      <c r="G3" s="95"/>
    </row>
    <row r="4" spans="1:9" s="96" customFormat="1" ht="16.2" thickBot="1">
      <c r="A4" s="2637" t="s">
        <v>3330</v>
      </c>
      <c r="B4" s="2638" t="s">
        <v>3331</v>
      </c>
      <c r="C4" s="2574" t="s">
        <v>3332</v>
      </c>
      <c r="D4" s="2611" t="s">
        <v>3337</v>
      </c>
      <c r="E4" s="2612" t="s">
        <v>3338</v>
      </c>
      <c r="F4" s="2612" t="s">
        <v>3339</v>
      </c>
      <c r="G4" s="2575" t="s">
        <v>3333</v>
      </c>
    </row>
    <row r="5" spans="1:9" s="104" customFormat="1" ht="15.6">
      <c r="A5" s="2613" t="s">
        <v>3329</v>
      </c>
      <c r="B5" s="2614" t="s">
        <v>3334</v>
      </c>
      <c r="C5" s="2587">
        <f ca="1">ROUND((C6+C9+C21+C24+C25+C28)/(1-F22-C26-C29),0)</f>
        <v>4012</v>
      </c>
      <c r="D5" s="2615"/>
      <c r="E5" s="2615"/>
      <c r="F5" s="2615"/>
      <c r="G5" s="2777" t="s">
        <v>3480</v>
      </c>
    </row>
    <row r="6" spans="1:9" s="2601" customFormat="1" ht="14.4">
      <c r="A6" s="2579" t="s">
        <v>3340</v>
      </c>
      <c r="B6" s="2641" t="s">
        <v>3341</v>
      </c>
      <c r="C6" s="2616">
        <f>C7+C8</f>
        <v>0</v>
      </c>
      <c r="D6" s="2578"/>
      <c r="E6" s="2578"/>
      <c r="F6" s="2578"/>
      <c r="G6" s="2617"/>
    </row>
    <row r="7" spans="1:9" s="110" customFormat="1">
      <c r="A7" s="2618" t="s">
        <v>1444</v>
      </c>
      <c r="B7" s="2642" t="s">
        <v>1445</v>
      </c>
      <c r="C7" s="3142">
        <f>基准地价修正!E40</f>
        <v>0</v>
      </c>
      <c r="D7" s="2619"/>
      <c r="E7" s="2620"/>
      <c r="F7" s="2620"/>
      <c r="G7" s="157"/>
    </row>
    <row r="8" spans="1:9" s="110" customFormat="1">
      <c r="A8" s="2618" t="s">
        <v>1446</v>
      </c>
      <c r="B8" s="2642" t="s">
        <v>1447</v>
      </c>
      <c r="C8" s="2589">
        <f>ROUND(C7*F8,0)</f>
        <v>0</v>
      </c>
      <c r="D8" s="145"/>
      <c r="E8" s="2620"/>
      <c r="F8" s="2621">
        <f>IF(项目基本情况!B8="出让",0,'数据-取费表'!B49+'数据-取费表'!B50)</f>
        <v>3.0499999999999999E-2</v>
      </c>
      <c r="G8" s="157"/>
    </row>
    <row r="9" spans="1:9" s="2601" customFormat="1" ht="14.4">
      <c r="A9" s="2622" t="s">
        <v>336</v>
      </c>
      <c r="B9" s="2643" t="s">
        <v>3287</v>
      </c>
      <c r="C9" s="2602">
        <f ca="1">C10+C11+C12+C13+C19+C20</f>
        <v>3275</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2797</v>
      </c>
      <c r="D10" s="2619"/>
      <c r="E10" s="145"/>
      <c r="F10" s="2627">
        <f ca="1">IF('数据-取费表'!B24=0,1,IF(B1="",'数据-取费表'!N16,INDIRECT("'数据-取费表'!n"&amp;$G$1)))</f>
        <v>1</v>
      </c>
      <c r="G10" s="157" t="s">
        <v>1472</v>
      </c>
    </row>
    <row r="11" spans="1:9" s="110" customFormat="1">
      <c r="A11" s="2644" t="s">
        <v>349</v>
      </c>
      <c r="B11" s="2645" t="s">
        <v>3324</v>
      </c>
      <c r="C11" s="2589">
        <f ca="1">ROUND(C10*F11,0)</f>
        <v>140</v>
      </c>
      <c r="D11" s="145"/>
      <c r="E11" s="145"/>
      <c r="F11" s="2600">
        <f>'数据-取费表'!B33</f>
        <v>0.05</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310</v>
      </c>
      <c r="D13" s="145"/>
      <c r="E13" s="2620"/>
      <c r="F13" s="2621"/>
      <c r="G13" s="157"/>
    </row>
    <row r="14" spans="1:9" s="119" customFormat="1">
      <c r="A14" s="2572" t="s">
        <v>3289</v>
      </c>
      <c r="B14" s="2646" t="s">
        <v>3322</v>
      </c>
      <c r="C14" s="2589">
        <f>IF(G14="已包含在土地购买价格中","0",IF(B1="",'数据-取费表'!B29,IF(G15="全部缴纳",C15+C16,H15)))</f>
        <v>124</v>
      </c>
      <c r="D14" s="2628"/>
      <c r="E14" s="145"/>
      <c r="F14" s="2621"/>
      <c r="G14" s="1366" t="s">
        <v>3980</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3981</v>
      </c>
      <c r="H15" s="786">
        <v>124</v>
      </c>
      <c r="I15" s="1368" t="s">
        <v>1451</v>
      </c>
    </row>
    <row r="16" spans="1:9" s="110" customFormat="1">
      <c r="A16" s="2647" t="s">
        <v>354</v>
      </c>
      <c r="B16" s="2648" t="s">
        <v>1452</v>
      </c>
      <c r="C16" s="2629">
        <f ca="1">ROUND(D16*E16/10000,0)</f>
        <v>124</v>
      </c>
      <c r="D16" s="2629">
        <f ca="1">IF(B1="",'数据-汇总表'!E6,IF(INDIRECT("'数据-取费表'!c"&amp;$G$1)="住宅",INDIRECT("'数据-取费表'!s"&amp;$G$1),INDIRECT("'数据-取费表'!k"&amp;$G$1)+INDIRECT("'数据-取费表'!s"&amp;$G$1)))</f>
        <v>6216.26</v>
      </c>
      <c r="E16" s="2629">
        <f>'数据-取费表'!B28</f>
        <v>200</v>
      </c>
      <c r="F16" s="2621"/>
      <c r="G16" s="122"/>
    </row>
    <row r="17" spans="1:7" s="110" customFormat="1">
      <c r="A17" s="2572" t="s">
        <v>3290</v>
      </c>
      <c r="B17" s="2649" t="s">
        <v>3295</v>
      </c>
      <c r="C17" s="2589" t="str">
        <f>IF(G17="已包含在土地取得成本中","0",ROUND(D17*E17/10000,0))</f>
        <v>0</v>
      </c>
      <c r="D17" s="2630">
        <f ca="1">D15+D16</f>
        <v>6216.26</v>
      </c>
      <c r="E17" s="2630">
        <f>'数据-取费表'!B31</f>
        <v>200</v>
      </c>
      <c r="F17" s="2597"/>
      <c r="G17" s="1366" t="s">
        <v>3982</v>
      </c>
    </row>
    <row r="18" spans="1:7" s="110" customFormat="1">
      <c r="A18" s="2650" t="s">
        <v>3291</v>
      </c>
      <c r="B18" s="2649" t="s">
        <v>1477</v>
      </c>
      <c r="C18" s="2589">
        <f ca="1">ROUND(E18*D18*F10/10000,0)</f>
        <v>186</v>
      </c>
      <c r="D18" s="2589">
        <f ca="1">D17</f>
        <v>6216.26</v>
      </c>
      <c r="E18" s="2589">
        <f>'数据-取费表'!B35</f>
        <v>300</v>
      </c>
      <c r="F18" s="2600"/>
      <c r="G18" s="157" t="s">
        <v>1478</v>
      </c>
    </row>
    <row r="19" spans="1:7" s="110" customFormat="1">
      <c r="A19" s="2644" t="s">
        <v>352</v>
      </c>
      <c r="B19" s="2645" t="s">
        <v>3327</v>
      </c>
      <c r="C19" s="2589">
        <f ca="1">ROUND(C10*F19,0)</f>
        <v>28</v>
      </c>
      <c r="D19" s="145"/>
      <c r="E19" s="145"/>
      <c r="F19" s="2600">
        <f>'数据-取费表'!B36</f>
        <v>0.01</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4.4">
      <c r="A21" s="2579" t="s">
        <v>3342</v>
      </c>
      <c r="B21" s="2641" t="s">
        <v>3343</v>
      </c>
      <c r="C21" s="2602">
        <f ca="1">ROUND((C6+C9)*F21,0)</f>
        <v>66</v>
      </c>
      <c r="D21" s="2603"/>
      <c r="E21" s="2603"/>
      <c r="F21" s="2607">
        <f>'数据-取费表'!B38</f>
        <v>0.02</v>
      </c>
      <c r="G21" s="2604" t="s">
        <v>3344</v>
      </c>
    </row>
    <row r="22" spans="1:7" s="2601" customFormat="1" ht="14.4">
      <c r="A22" s="2579" t="s">
        <v>3345</v>
      </c>
      <c r="B22" s="2641" t="s">
        <v>3346</v>
      </c>
      <c r="C22" s="2605" t="str">
        <f>F22&amp;"V"</f>
        <v>0.02V</v>
      </c>
      <c r="D22" s="297"/>
      <c r="E22" s="2603"/>
      <c r="F22" s="2607">
        <f>'数据-取费表'!B39</f>
        <v>0.02</v>
      </c>
      <c r="G22" s="3682" t="s">
        <v>3691</v>
      </c>
    </row>
    <row r="23" spans="1:7" s="2601" customFormat="1" ht="14.4">
      <c r="A23" s="2579" t="s">
        <v>3347</v>
      </c>
      <c r="B23" s="2643" t="s">
        <v>3296</v>
      </c>
      <c r="C23" s="2580" t="str">
        <f ca="1">SUM(C24:C25)&amp;"+"&amp;C26&amp;"V"</f>
        <v>76+0.0005V</v>
      </c>
      <c r="D23" s="2606"/>
      <c r="E23" s="297"/>
      <c r="F23" s="2607">
        <f ca="1">'数据-取费表'!B41</f>
        <v>3.0599999999999999E-2</v>
      </c>
      <c r="G23" s="2604" t="str">
        <f>IF('数据-取费表'!B22&lt;=1,"单利计息","复利计息")</f>
        <v>复利计息</v>
      </c>
    </row>
    <row r="24" spans="1:7" s="110" customFormat="1">
      <c r="A24" s="2651" t="s">
        <v>1454</v>
      </c>
      <c r="B24" s="2649" t="s">
        <v>1455</v>
      </c>
      <c r="C24" s="2595">
        <f ca="1">ROUND(IF('数据-取费表'!B22&lt;=1,C6*F23*'数据-取费表'!B23,C6*(POWER((1+F23),'数据-取费表'!B23)-1)),0)</f>
        <v>0</v>
      </c>
      <c r="D24" s="134"/>
      <c r="E24" s="134"/>
      <c r="F24" s="2596"/>
      <c r="G24" s="136" t="s">
        <v>1456</v>
      </c>
    </row>
    <row r="25" spans="1:7" s="110" customFormat="1">
      <c r="A25" s="2651" t="s">
        <v>1457</v>
      </c>
      <c r="B25" s="2649" t="s">
        <v>3297</v>
      </c>
      <c r="C25" s="2595">
        <f ca="1">ROUND(IF('数据-取费表'!B22&lt;=1,(C9+C21)*F23*'数据-取费表'!B23/2,(C9+C21)*(POWER((1+F23),'数据-取费表'!B23/2)-1)),0)</f>
        <v>76</v>
      </c>
      <c r="D25" s="134"/>
      <c r="E25" s="134"/>
      <c r="F25" s="2596"/>
      <c r="G25" s="136" t="s">
        <v>1458</v>
      </c>
    </row>
    <row r="26" spans="1:7" s="110" customFormat="1">
      <c r="A26" s="2651" t="s">
        <v>348</v>
      </c>
      <c r="B26" s="2649" t="s">
        <v>1459</v>
      </c>
      <c r="C26" s="2592">
        <f ca="1">ROUND(IF('数据-取费表'!B22&lt;=1,F22*F23*'数据-取费表'!B23/2,F22*(POWER((1+F23),'数据-取费表'!B23/2)-1)),4)</f>
        <v>5.0000000000000001E-4</v>
      </c>
      <c r="D26" s="134"/>
      <c r="E26" s="137"/>
      <c r="F26" s="2596"/>
      <c r="G26" s="139"/>
    </row>
    <row r="27" spans="1:7" s="2601" customFormat="1" ht="14.4">
      <c r="A27" s="2579" t="s">
        <v>3348</v>
      </c>
      <c r="B27" s="2643" t="s">
        <v>3298</v>
      </c>
      <c r="C27" s="2608" t="str">
        <f ca="1">C28&amp;"+"&amp;C29&amp;"V"</f>
        <v>501+0.003V</v>
      </c>
      <c r="D27" s="2606"/>
      <c r="E27" s="297"/>
      <c r="F27" s="2609">
        <f ca="1">IF(B1="",'数据-取费表'!Q16,INDIRECT("'数据-取费表'!q"&amp;$G$1))</f>
        <v>0.15</v>
      </c>
      <c r="G27" s="2604" t="s">
        <v>3349</v>
      </c>
    </row>
    <row r="28" spans="1:7" s="110" customFormat="1">
      <c r="A28" s="2644" t="s">
        <v>344</v>
      </c>
      <c r="B28" s="2649" t="s">
        <v>1464</v>
      </c>
      <c r="C28" s="2573">
        <f ca="1">ROUND(C6*F27*'数据-取费表'!B23/'数据-取费表'!B22+(C9+C21)*F27,0)</f>
        <v>501</v>
      </c>
      <c r="D28" s="131"/>
      <c r="E28" s="132"/>
      <c r="F28" s="2597"/>
      <c r="G28" s="3156" t="s">
        <v>3490</v>
      </c>
    </row>
    <row r="29" spans="1:7" s="110" customFormat="1">
      <c r="A29" s="2644" t="s">
        <v>345</v>
      </c>
      <c r="B29" s="2649" t="s">
        <v>1465</v>
      </c>
      <c r="C29" s="2592">
        <f ca="1">ROUND(F22*F27,4)</f>
        <v>3.0000000000000001E-3</v>
      </c>
      <c r="D29" s="131"/>
      <c r="E29" s="132"/>
      <c r="F29" s="2597"/>
      <c r="G29" s="143"/>
    </row>
    <row r="30" spans="1:7" s="2601" customFormat="1" ht="14.4">
      <c r="A30" s="2579" t="s">
        <v>3350</v>
      </c>
      <c r="B30" s="2641" t="s">
        <v>3351</v>
      </c>
      <c r="C30" s="2602">
        <v>0</v>
      </c>
      <c r="D30" s="297"/>
      <c r="E30" s="2581"/>
      <c r="F30" s="2607"/>
      <c r="G30" s="2610" t="s">
        <v>3299</v>
      </c>
    </row>
    <row r="31" spans="1:7" s="110" customFormat="1" ht="15.6">
      <c r="A31" s="2652">
        <v>2</v>
      </c>
      <c r="B31" s="2653" t="s">
        <v>3300</v>
      </c>
      <c r="C31" s="2593">
        <f ca="1">C57</f>
        <v>888</v>
      </c>
      <c r="D31" s="2583"/>
      <c r="E31" s="2583"/>
      <c r="F31" s="2598">
        <f>IF('数据-取费表'!B24=0,'数据-取费表'!N16,1)</f>
        <v>0.77</v>
      </c>
      <c r="G31" s="2584" t="s">
        <v>3830</v>
      </c>
    </row>
    <row r="32" spans="1:7" s="110" customFormat="1" ht="15.6">
      <c r="A32" s="2571" t="s">
        <v>3301</v>
      </c>
      <c r="B32" s="2570" t="s">
        <v>3302</v>
      </c>
      <c r="C32" s="2593">
        <f ca="1">C5-C31</f>
        <v>3124</v>
      </c>
      <c r="D32" s="2583"/>
      <c r="E32" s="2583"/>
      <c r="F32" s="2582"/>
      <c r="G32" s="2585" t="s">
        <v>3335</v>
      </c>
    </row>
    <row r="33" spans="1:7" s="110" customFormat="1" ht="16.2" thickBot="1">
      <c r="A33" s="2654">
        <v>4</v>
      </c>
      <c r="B33" s="2655" t="s">
        <v>3336</v>
      </c>
      <c r="C33" s="2594">
        <f ca="1">ROUND(C32*(1+F33),0)</f>
        <v>3405</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 thickBot="1">
      <c r="A38" s="2860" t="s">
        <v>3303</v>
      </c>
      <c r="B38" s="2861"/>
      <c r="C38" s="2861"/>
      <c r="D38" s="2861"/>
      <c r="E38" s="2861"/>
      <c r="F38" s="2861"/>
      <c r="G38" s="2862"/>
    </row>
    <row r="39" spans="1:7" ht="15" thickBot="1">
      <c r="A39" s="2863" t="s">
        <v>3330</v>
      </c>
      <c r="B39" s="2864" t="s">
        <v>3331</v>
      </c>
      <c r="C39" s="2865" t="s">
        <v>3332</v>
      </c>
      <c r="D39" s="2866" t="s">
        <v>3460</v>
      </c>
      <c r="E39" s="2867" t="s">
        <v>3461</v>
      </c>
      <c r="F39" s="2867" t="s">
        <v>3462</v>
      </c>
      <c r="G39" s="2868" t="s">
        <v>3333</v>
      </c>
    </row>
    <row r="40" spans="1:7" ht="14.4">
      <c r="A40" s="2869" t="s">
        <v>3463</v>
      </c>
      <c r="B40" s="2870" t="s">
        <v>3304</v>
      </c>
      <c r="C40" s="2871">
        <f ca="1">SUM(C41:C46)</f>
        <v>3151</v>
      </c>
      <c r="D40" s="2869"/>
      <c r="E40" s="2869"/>
      <c r="F40" s="2869"/>
      <c r="G40" s="2869"/>
    </row>
    <row r="41" spans="1:7" ht="15.6">
      <c r="A41" s="2636" t="s">
        <v>3305</v>
      </c>
      <c r="B41" s="2700" t="str">
        <f t="shared" ref="B41:C43" si="0">B10</f>
        <v xml:space="preserve">  建安费用</v>
      </c>
      <c r="C41" s="2568">
        <f t="shared" ca="1" si="0"/>
        <v>2797</v>
      </c>
      <c r="D41" s="2563"/>
      <c r="E41" s="2563"/>
      <c r="F41" s="2564"/>
      <c r="G41" s="2564"/>
    </row>
    <row r="42" spans="1:7" ht="15.6">
      <c r="A42" s="2636" t="s">
        <v>3306</v>
      </c>
      <c r="B42" s="2700" t="str">
        <f t="shared" si="0"/>
        <v xml:space="preserve">  前期费用</v>
      </c>
      <c r="C42" s="2568">
        <f t="shared" ca="1" si="0"/>
        <v>140</v>
      </c>
      <c r="D42" s="2563"/>
      <c r="E42" s="2563"/>
      <c r="F42" s="2564"/>
      <c r="G42" s="2564"/>
    </row>
    <row r="43" spans="1:7" ht="15.6">
      <c r="A43" s="2636" t="s">
        <v>3374</v>
      </c>
      <c r="B43" s="2640" t="str">
        <f t="shared" si="0"/>
        <v xml:space="preserve">  公共配套设施费用</v>
      </c>
      <c r="C43" s="2568">
        <f t="shared" ca="1" si="0"/>
        <v>0</v>
      </c>
      <c r="D43" s="2563"/>
      <c r="E43" s="2563"/>
      <c r="F43" s="2564"/>
      <c r="G43" s="2564"/>
    </row>
    <row r="44" spans="1:7" ht="15.6">
      <c r="A44" s="2636" t="s">
        <v>3288</v>
      </c>
      <c r="B44" s="2640" t="str">
        <f>B18</f>
        <v>红线内市政费用</v>
      </c>
      <c r="C44" s="2568">
        <f ca="1">C18</f>
        <v>186</v>
      </c>
      <c r="D44" s="2563"/>
      <c r="E44" s="2563"/>
      <c r="F44" s="2564"/>
      <c r="G44" s="2564"/>
    </row>
    <row r="45" spans="1:7" ht="15.6">
      <c r="A45" s="2651" t="s">
        <v>3307</v>
      </c>
      <c r="B45" s="2646" t="str">
        <f>B19</f>
        <v xml:space="preserve">  其他工程费</v>
      </c>
      <c r="C45" s="2573">
        <f ca="1">C19</f>
        <v>28</v>
      </c>
      <c r="D45" s="2699"/>
      <c r="E45" s="2699"/>
      <c r="F45" s="2576"/>
      <c r="G45" s="2576"/>
    </row>
    <row r="46" spans="1:7" ht="15.6">
      <c r="A46" s="2651" t="s">
        <v>3373</v>
      </c>
      <c r="B46" s="2646" t="s">
        <v>3308</v>
      </c>
      <c r="C46" s="2573">
        <f ca="1">C20</f>
        <v>0</v>
      </c>
      <c r="D46" s="2699"/>
      <c r="E46" s="2699"/>
      <c r="F46" s="2576"/>
      <c r="G46" s="2576"/>
    </row>
    <row r="47" spans="1:7" ht="14.4">
      <c r="A47" s="2701" t="s">
        <v>3464</v>
      </c>
      <c r="B47" s="2702" t="s">
        <v>3465</v>
      </c>
      <c r="C47" s="2703">
        <f ca="1">ROUND(C40*F47,0)</f>
        <v>63</v>
      </c>
      <c r="D47" s="2704"/>
      <c r="E47" s="2704"/>
      <c r="F47" s="2705">
        <f>F21</f>
        <v>0.02</v>
      </c>
      <c r="G47" s="2706" t="s">
        <v>3466</v>
      </c>
    </row>
    <row r="48" spans="1:7"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73+0.0005V建1</v>
      </c>
      <c r="D49" s="297"/>
      <c r="E49" s="297"/>
      <c r="F49" s="2709">
        <f ca="1">F23</f>
        <v>3.0599999999999999E-2</v>
      </c>
      <c r="G49" s="2872" t="str">
        <f>IF('数据-取费表'!B22&lt;=1,"单利计息","复利计息")</f>
        <v>复利计息</v>
      </c>
    </row>
    <row r="50" spans="1:7">
      <c r="A50" s="2636" t="s">
        <v>3305</v>
      </c>
      <c r="B50" s="2639" t="s">
        <v>3376</v>
      </c>
      <c r="C50" s="2725">
        <f ca="1">ROUND(IF('数据-取费表'!B22&lt;=1,(C40+C47)*F49*'数据-取费表'!B22/2,(C40+C47)*(POWER((1+F49),'数据-取费表'!B22/2)-1)),0)</f>
        <v>73</v>
      </c>
      <c r="D50" s="1039"/>
      <c r="E50" s="1039"/>
      <c r="F50" s="1022"/>
      <c r="G50" s="4384" t="s">
        <v>3321</v>
      </c>
    </row>
    <row r="51" spans="1:7">
      <c r="A51" s="2636" t="s">
        <v>3306</v>
      </c>
      <c r="B51" s="2640" t="s">
        <v>3311</v>
      </c>
      <c r="C51" s="2726">
        <f ca="1">ROUND(IF('数据-取费表'!B22&lt;=1,F48*F23*'数据-取费表'!B22/2,F48*(POWER((1+F23),'数据-取费表'!B22/2)-1)),4)</f>
        <v>5.0000000000000001E-4</v>
      </c>
      <c r="D51" s="1039"/>
      <c r="E51" s="1039"/>
      <c r="F51" s="1022"/>
      <c r="G51" s="4385"/>
    </row>
    <row r="52" spans="1:7" ht="14.4">
      <c r="A52" s="2701" t="s">
        <v>3471</v>
      </c>
      <c r="B52" s="2710" t="s">
        <v>3312</v>
      </c>
      <c r="C52" s="2711" t="str">
        <f ca="1">C53&amp;"+"&amp;C54&amp;"V建1"</f>
        <v>482+0.003V建1</v>
      </c>
      <c r="D52" s="2712"/>
      <c r="E52" s="2704"/>
      <c r="F52" s="2713">
        <f ca="1">F27</f>
        <v>0.15</v>
      </c>
      <c r="G52" s="2714" t="s">
        <v>3472</v>
      </c>
    </row>
    <row r="53" spans="1:7">
      <c r="A53" s="2636" t="s">
        <v>3309</v>
      </c>
      <c r="B53" s="2639" t="s">
        <v>3313</v>
      </c>
      <c r="C53" s="2568">
        <f ca="1">ROUND((C40+C47)*F27,0)</f>
        <v>482</v>
      </c>
      <c r="D53" s="2569"/>
      <c r="E53" s="2565"/>
      <c r="F53" s="2566"/>
      <c r="G53" s="2567"/>
    </row>
    <row r="54" spans="1:7">
      <c r="A54" s="2636" t="s">
        <v>3310</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3860</v>
      </c>
      <c r="D56" s="297"/>
      <c r="E56" s="297"/>
      <c r="F56" s="2718"/>
      <c r="G56" s="2717" t="s">
        <v>3318</v>
      </c>
    </row>
    <row r="57" spans="1:7" ht="14.4">
      <c r="A57" s="2579" t="s">
        <v>3440</v>
      </c>
      <c r="B57" s="2719" t="s">
        <v>3315</v>
      </c>
      <c r="C57" s="2602">
        <f ca="1">ROUND(C56*(1-F57),0)</f>
        <v>888</v>
      </c>
      <c r="D57" s="297"/>
      <c r="E57" s="297"/>
      <c r="F57" s="2718">
        <f>F31</f>
        <v>0.77</v>
      </c>
      <c r="G57" s="2717" t="s">
        <v>3319</v>
      </c>
    </row>
    <row r="58" spans="1:7" ht="16.8">
      <c r="A58" s="2579" t="s">
        <v>3476</v>
      </c>
      <c r="B58" s="2715" t="s">
        <v>3477</v>
      </c>
      <c r="C58" s="2602">
        <f ca="1">C56-C57</f>
        <v>2972</v>
      </c>
      <c r="D58" s="297"/>
      <c r="E58" s="297"/>
      <c r="F58" s="2718"/>
      <c r="G58" s="2717" t="s">
        <v>3320</v>
      </c>
    </row>
    <row r="59" spans="1:7" ht="14.4">
      <c r="A59" s="2720" t="s">
        <v>3375</v>
      </c>
      <c r="B59" s="2721" t="s">
        <v>3316</v>
      </c>
      <c r="C59" s="2722">
        <f ca="1">ROUND(C58*(1+F59),0)</f>
        <v>3239</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4.9000000000000044E-2</v>
      </c>
    </row>
    <row r="64" spans="1:7" ht="21" customHeight="1">
      <c r="B64" s="55" t="s">
        <v>789</v>
      </c>
      <c r="C64" s="2634">
        <f ca="1">ROUND(C58/C32,3)</f>
        <v>0.95099999999999996</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D00-000000000000}">
      <formula1>"已包含在土地购买价格中,未包含在土地购买价格中"</formula1>
    </dataValidation>
    <dataValidation type="list" allowBlank="1" showInputMessage="1" showErrorMessage="1" sqref="G17"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15"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 type="list" allowBlank="1" showInputMessage="1" showErrorMessage="1" sqref="C1" xr:uid="{00000000-0002-0000-2D00-000006000000}">
      <formula1>"含税,不含税"</formula1>
    </dataValidation>
    <dataValidation type="list" allowBlank="1" showInputMessage="1" showErrorMessage="1" sqref="G33" xr:uid="{00000000-0002-0000-2D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2">
        <f>基准地价修正!G23</f>
        <v>46048</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3.2">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3.2">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3.2">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3.2">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3.2">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3.2">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3.2">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3.2">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3.2">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3.2">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3.2">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3.2">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3.2">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3.2">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3.2">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3.2">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3.2">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3.2">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3.2">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3.2">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3.2">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3.2">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3.2">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3.2">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5" thickTop="1"/>
    <row r="30" spans="1:44">
      <c r="A30" s="2552" t="s">
        <v>3267</v>
      </c>
    </row>
    <row r="31" spans="1:44">
      <c r="I31" s="1077" t="s">
        <v>2714</v>
      </c>
    </row>
    <row r="33" spans="1:44" s="1625" customFormat="1" ht="13.2">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3.2">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3.2">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3.2">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3.2">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3.2">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3.2">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3.2">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3.2">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3.2">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3.2">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3.2">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3.2">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3.2">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3.2">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3.2">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3.2">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3.2">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3.2">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3.2">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3.2">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3.2">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3.2">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3.2">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3.2">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8" customWidth="1"/>
    <col min="2" max="2" width="18.6640625" style="2238" customWidth="1"/>
    <col min="3" max="6" width="10.21875" style="2238" customWidth="1"/>
    <col min="7" max="7" width="10.44140625" style="2238" bestFit="1" customWidth="1"/>
    <col min="8" max="8" width="8.88671875" style="2237"/>
    <col min="9" max="9" width="13.33203125" style="2237" customWidth="1"/>
    <col min="10" max="13" width="13.33203125" style="2238" customWidth="1"/>
    <col min="14" max="14" width="18.21875" style="2238" customWidth="1"/>
    <col min="15" max="17" width="15.109375" style="2238" customWidth="1"/>
    <col min="18" max="20" width="11.44140625" style="2238" customWidth="1"/>
    <col min="21" max="16384" width="8.88671875" style="2238"/>
  </cols>
  <sheetData>
    <row r="1" spans="1:20" ht="11.4"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1.4"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1.4"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1.4"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1.4"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1.4"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1.4"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1.4"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1.4"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190" t="str">
        <f>IF(项目基本情况!B9="房地产市场价值","估价结果一览表","结果表-2")</f>
        <v>结果表-2</v>
      </c>
      <c r="B1" s="4190"/>
      <c r="C1" s="4190"/>
      <c r="D1" s="4190"/>
      <c r="E1" s="4190"/>
      <c r="F1" s="4190"/>
      <c r="G1" s="4190"/>
      <c r="H1" s="4190"/>
      <c r="I1" s="4190"/>
    </row>
    <row r="2" spans="1:9" ht="30" customHeight="1" thickTop="1">
      <c r="A2" s="4191" t="s">
        <v>914</v>
      </c>
      <c r="B2" s="4191" t="s">
        <v>915</v>
      </c>
      <c r="C2" s="4191" t="s">
        <v>916</v>
      </c>
      <c r="D2" s="4191" t="str">
        <f>结果表!D116</f>
        <v>出让国有建设用地使用权价值</v>
      </c>
      <c r="E2" s="4191"/>
      <c r="F2" s="4191">
        <f>结果表!F116</f>
        <v>0</v>
      </c>
      <c r="G2" s="4191"/>
      <c r="H2" s="4191" t="str">
        <f>IF(项目基本情况!B9="房地产市场价值","房地产市场价值","房地产价值")</f>
        <v>房地产价值</v>
      </c>
      <c r="I2" s="4191"/>
    </row>
    <row r="3" spans="1:9" ht="15.6">
      <c r="A3" s="4186"/>
      <c r="B3" s="4186"/>
      <c r="C3" s="4186"/>
      <c r="D3" s="563" t="s">
        <v>911</v>
      </c>
      <c r="E3" s="563" t="s">
        <v>917</v>
      </c>
      <c r="F3" s="563" t="s">
        <v>911</v>
      </c>
      <c r="G3" s="563" t="s">
        <v>912</v>
      </c>
      <c r="H3" s="563" t="s">
        <v>911</v>
      </c>
      <c r="I3" s="563" t="s">
        <v>912</v>
      </c>
    </row>
    <row r="4" spans="1:9" ht="30">
      <c r="A4" s="1075" t="str">
        <f>项目基本情况!S2</f>
        <v>北京市北京市海淀区建材城东路26号院4号楼房地产</v>
      </c>
      <c r="B4" s="563">
        <f>项目基本情况!C17</f>
        <v>6216.26</v>
      </c>
      <c r="C4" s="563">
        <f>项目基本情况!C18</f>
        <v>0</v>
      </c>
      <c r="D4" s="563">
        <f ca="1">结果表!D118</f>
        <v>13112</v>
      </c>
      <c r="E4" s="563">
        <f ca="1">结果表!E118</f>
        <v>21093</v>
      </c>
      <c r="F4" s="563">
        <f ca="1">结果表!F118</f>
        <v>5124</v>
      </c>
      <c r="G4" s="563">
        <f ca="1">结果表!G118</f>
        <v>8243</v>
      </c>
      <c r="H4" s="563">
        <f ca="1">结果表!H118</f>
        <v>18236</v>
      </c>
      <c r="I4" s="563">
        <f ca="1">结果表!I118</f>
        <v>29336</v>
      </c>
    </row>
    <row r="5" spans="1:9" ht="30" customHeight="1">
      <c r="A5" s="4186" t="s">
        <v>913</v>
      </c>
      <c r="B5" s="4186"/>
      <c r="C5" s="4186"/>
      <c r="D5" s="4186" t="str">
        <f ca="1">结果表!D119</f>
        <v>壹亿叁仟壹佰壹拾贰万元整</v>
      </c>
      <c r="E5" s="4186"/>
      <c r="F5" s="4186" t="str">
        <f ca="1">结果表!F119</f>
        <v>伍仟壹佰贰拾肆万元整</v>
      </c>
      <c r="G5" s="4186"/>
      <c r="H5" s="4186" t="str">
        <f ca="1">结果表!H119</f>
        <v>壹亿捌仟贰佰叁拾陆万元整</v>
      </c>
      <c r="I5" s="4186"/>
    </row>
    <row r="6" spans="1:9" ht="15.6">
      <c r="A6" s="4185" t="str">
        <f>结果表!A120</f>
        <v>估价师知悉的法定优先受偿款</v>
      </c>
      <c r="B6" s="4185"/>
      <c r="C6" s="4185"/>
      <c r="D6" s="4185">
        <f>结果表!H120</f>
        <v>0</v>
      </c>
      <c r="E6" s="4185"/>
      <c r="F6" s="4185"/>
      <c r="G6" s="4185"/>
      <c r="H6" s="4185"/>
      <c r="I6" s="4185"/>
    </row>
    <row r="7" spans="1:9" ht="15">
      <c r="A7" s="4186" t="s">
        <v>913</v>
      </c>
      <c r="B7" s="4186"/>
      <c r="C7" s="4186"/>
      <c r="D7" s="4187" t="str">
        <f>结果表!H121</f>
        <v>零元整</v>
      </c>
      <c r="E7" s="4188"/>
      <c r="F7" s="4188"/>
      <c r="G7" s="4188"/>
      <c r="H7" s="4188"/>
      <c r="I7" s="4189"/>
    </row>
    <row r="8" spans="1:9" ht="15.6">
      <c r="A8" s="4185" t="str">
        <f>结果表!A122</f>
        <v>房地产抵押价值</v>
      </c>
      <c r="B8" s="4185"/>
      <c r="C8" s="4185"/>
      <c r="D8" s="4185">
        <f ca="1">结果表!H122</f>
        <v>18236</v>
      </c>
      <c r="E8" s="4185"/>
      <c r="F8" s="4185"/>
      <c r="G8" s="4185"/>
      <c r="H8" s="4185"/>
      <c r="I8" s="4185"/>
    </row>
    <row r="9" spans="1:9" ht="15">
      <c r="A9" s="4186" t="s">
        <v>913</v>
      </c>
      <c r="B9" s="4186"/>
      <c r="C9" s="4186"/>
      <c r="D9" s="4186" t="str">
        <f ca="1">结果表!H123</f>
        <v>壹亿捌仟贰佰叁拾陆万元整</v>
      </c>
      <c r="E9" s="4186"/>
      <c r="F9" s="4186"/>
      <c r="G9" s="4186"/>
      <c r="H9" s="4186"/>
      <c r="I9" s="4186"/>
    </row>
    <row r="10" spans="1:9" ht="15.6">
      <c r="A10" s="4185" t="str">
        <f>结果表!A124</f>
        <v/>
      </c>
      <c r="B10" s="4185"/>
      <c r="C10" s="4185"/>
      <c r="D10" s="4185" t="str">
        <f>结果表!H124</f>
        <v>——</v>
      </c>
      <c r="E10" s="4185"/>
      <c r="F10" s="4185"/>
      <c r="G10" s="4185"/>
      <c r="H10" s="4185"/>
      <c r="I10" s="4185"/>
    </row>
    <row r="11" spans="1:9" ht="15">
      <c r="A11" s="4186" t="s">
        <v>913</v>
      </c>
      <c r="B11" s="4186"/>
      <c r="C11" s="4186"/>
      <c r="D11" s="4186" t="e">
        <f>结果表!H125</f>
        <v>#VALUE!</v>
      </c>
      <c r="E11" s="4186"/>
      <c r="F11" s="4186"/>
      <c r="G11" s="4186"/>
      <c r="H11" s="4186"/>
      <c r="I11" s="4186"/>
    </row>
    <row r="12" spans="1:9" ht="15.6">
      <c r="A12" s="4185" t="str">
        <f>结果表!A126</f>
        <v/>
      </c>
      <c r="B12" s="4185"/>
      <c r="C12" s="4185"/>
      <c r="D12" s="4185" t="str">
        <f>结果表!H126</f>
        <v>——</v>
      </c>
      <c r="E12" s="4185"/>
      <c r="F12" s="4185"/>
      <c r="G12" s="4185"/>
      <c r="H12" s="4185"/>
      <c r="I12" s="4185"/>
    </row>
    <row r="13" spans="1:9" ht="15.6" thickBot="1">
      <c r="A13" s="4183" t="s">
        <v>913</v>
      </c>
      <c r="B13" s="4183"/>
      <c r="C13" s="4183"/>
      <c r="D13" s="4183" t="e">
        <f>结果表!H127</f>
        <v>#VALUE!</v>
      </c>
      <c r="E13" s="4183"/>
      <c r="F13" s="4183"/>
      <c r="G13" s="4183"/>
      <c r="H13" s="4183"/>
      <c r="I13" s="4183"/>
    </row>
    <row r="14" spans="1:9" ht="14.4" thickTop="1">
      <c r="A14" s="4184" t="s">
        <v>918</v>
      </c>
      <c r="B14" s="4184"/>
      <c r="C14" s="4184"/>
      <c r="D14" s="4184"/>
      <c r="E14" s="4184"/>
      <c r="F14" s="4184"/>
      <c r="G14" s="4184"/>
      <c r="H14" s="4184"/>
      <c r="I14" s="4184"/>
    </row>
    <row r="16" spans="1:9" ht="17.399999999999999">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46048</v>
      </c>
      <c r="D1" s="901" t="s">
        <v>597</v>
      </c>
      <c r="E1" s="3123">
        <f>'数据-取费表'!B22</f>
        <v>1.5</v>
      </c>
      <c r="F1" s="901" t="s">
        <v>598</v>
      </c>
      <c r="G1" s="897">
        <f ca="1">IF(OR(C1&lt;C27,E1&lt;=1),INDIRECT("d"&amp;$K$1)/100,ROUND((D5+(E1-C5)*(D7-D5)/(C7-C5))/100,4))</f>
        <v>3.0599999999999999E-2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5.6">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5.6">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5.6">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6.8">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5.6">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5.6">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5.6">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5.6">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5.6">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5.6">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198" t="s">
        <v>935</v>
      </c>
      <c r="B1" s="4198"/>
      <c r="C1" s="4198"/>
      <c r="D1" s="4198"/>
    </row>
    <row r="2" spans="1:4" ht="17.399999999999999">
      <c r="A2" s="4199" t="s">
        <v>919</v>
      </c>
      <c r="B2" s="4199"/>
      <c r="C2" s="4199"/>
      <c r="D2" s="4199"/>
    </row>
    <row r="3" spans="1:4" ht="17.399999999999999">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7.399999999999999">
      <c r="A6" s="4199" t="s">
        <v>925</v>
      </c>
      <c r="B6" s="4199"/>
      <c r="C6" s="4199"/>
      <c r="D6" s="4199"/>
    </row>
    <row r="7" spans="1:4" ht="17.399999999999999">
      <c r="A7" s="1079" t="s">
        <v>920</v>
      </c>
      <c r="B7" s="1081" t="s">
        <v>926</v>
      </c>
      <c r="C7" s="1079" t="s">
        <v>922</v>
      </c>
      <c r="D7" s="1079" t="s">
        <v>923</v>
      </c>
    </row>
    <row r="8" spans="1:4" ht="56.25" customHeight="1">
      <c r="A8" s="1085" t="s">
        <v>384</v>
      </c>
      <c r="B8" s="1085" t="s">
        <v>0</v>
      </c>
      <c r="C8" s="1082"/>
      <c r="D8" s="1083" t="s">
        <v>924</v>
      </c>
    </row>
    <row r="10" spans="1:4" ht="17.399999999999999">
      <c r="A10" s="1086" t="s">
        <v>927</v>
      </c>
    </row>
    <row r="11" spans="1:4" ht="30" customHeight="1">
      <c r="A11" s="4200" t="s">
        <v>928</v>
      </c>
      <c r="B11" s="4192"/>
      <c r="C11" s="4192"/>
      <c r="D11" s="4192"/>
    </row>
    <row r="12" spans="1:4" ht="15.6">
      <c r="A12" s="4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7"/>
      <c r="C12" s="4197"/>
      <c r="D12" s="4197"/>
    </row>
    <row r="13" spans="1:4" ht="30" customHeight="1">
      <c r="A13" s="4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7"/>
      <c r="C13" s="4197"/>
      <c r="D13" s="4197"/>
    </row>
    <row r="14" spans="1:4" ht="15.75" customHeight="1">
      <c r="A14" s="4192" t="str">
        <f>IF(项目基本情况!B8="抵押","4.本次评估估价师所知悉的法定优先受偿款情况说明如下：","——")</f>
        <v>4.本次评估估价师所知悉的法定优先受偿款情况说明如下：</v>
      </c>
      <c r="B14" s="4197"/>
      <c r="C14" s="4197"/>
      <c r="D14" s="4197"/>
    </row>
    <row r="15" spans="1:4" ht="42" customHeight="1">
      <c r="A15" s="4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2"/>
      <c r="C15" s="4192"/>
      <c r="D15" s="4192"/>
    </row>
    <row r="16" spans="1:4" ht="30" customHeight="1">
      <c r="A16" s="4194" t="s">
        <v>929</v>
      </c>
      <c r="B16" s="4194"/>
      <c r="C16" s="4194"/>
      <c r="D16" s="4194"/>
    </row>
    <row r="17" spans="1:4" ht="144" customHeight="1">
      <c r="A17" s="4194" t="s">
        <v>930</v>
      </c>
      <c r="B17" s="4194"/>
      <c r="C17" s="4194"/>
      <c r="D17" s="4194"/>
    </row>
    <row r="18" spans="1:4" ht="15.75" customHeight="1">
      <c r="A18" s="4192" t="str">
        <f>IF(项目基本情况!B8="抵押",结果表!K120,"——")</f>
        <v>故，本次评估不存在估价师知悉的法定优先受偿款</v>
      </c>
      <c r="B18" s="4192"/>
      <c r="C18" s="4192"/>
      <c r="D18" s="4192"/>
    </row>
    <row r="19" spans="1:4" ht="46.5" customHeight="1">
      <c r="A19" s="4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2"/>
      <c r="C19" s="4192"/>
      <c r="D19" s="4192"/>
    </row>
    <row r="20" spans="1:4" ht="57.75" customHeight="1">
      <c r="A20" s="4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2"/>
      <c r="C20" s="4192"/>
      <c r="D20" s="4192"/>
    </row>
    <row r="21" spans="1:4" ht="57.75" customHeight="1">
      <c r="A21" s="4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5"/>
      <c r="C21" s="4195"/>
      <c r="D21" s="4195"/>
    </row>
    <row r="22" spans="1:4" ht="18.75" customHeight="1">
      <c r="A22" s="4196" t="s">
        <v>931</v>
      </c>
      <c r="B22" s="4196"/>
      <c r="C22" s="4196"/>
      <c r="D22" s="4196"/>
    </row>
    <row r="23" spans="1:4">
      <c r="A23" s="1087"/>
      <c r="B23" s="1060"/>
      <c r="C23" s="1060"/>
      <c r="D23" s="1060"/>
    </row>
    <row r="24" spans="1:4">
      <c r="A24" s="1087"/>
      <c r="B24" s="1060"/>
      <c r="C24" s="1060"/>
      <c r="D24" s="1060"/>
    </row>
    <row r="25" spans="1:4" ht="17.399999999999999">
      <c r="A25" s="1088" t="s">
        <v>932</v>
      </c>
    </row>
    <row r="26" spans="1:4" ht="17.399999999999999">
      <c r="A26" s="1058"/>
    </row>
    <row r="27" spans="1:4" ht="17.399999999999999">
      <c r="A27" s="1058" t="s">
        <v>933</v>
      </c>
    </row>
    <row r="30" spans="1:4" ht="17.399999999999999">
      <c r="D30" s="1088" t="s">
        <v>934</v>
      </c>
    </row>
    <row r="31" spans="1:4" ht="13.5" customHeight="1">
      <c r="C31" s="4193">
        <v>42551</v>
      </c>
      <c r="D31" s="41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4.4">
      <c r="A15" s="4206" t="s">
        <v>942</v>
      </c>
      <c r="B15" s="4201" t="s">
        <v>107</v>
      </c>
      <c r="C15" s="4202"/>
    </row>
    <row r="16" spans="1:7" ht="14.4">
      <c r="A16" s="4207"/>
      <c r="B16" s="4201" t="s">
        <v>40</v>
      </c>
      <c r="C16" s="4202"/>
    </row>
    <row r="17" spans="1:3" ht="14.4">
      <c r="A17" s="4207"/>
      <c r="B17" s="4204" t="s">
        <v>943</v>
      </c>
      <c r="C17" s="1101" t="s">
        <v>942</v>
      </c>
    </row>
    <row r="18" spans="1:3" ht="14.4">
      <c r="A18" s="4207"/>
      <c r="B18" s="4204"/>
      <c r="C18" s="1101" t="s">
        <v>944</v>
      </c>
    </row>
    <row r="19" spans="1:3" ht="14.4">
      <c r="A19" s="4207"/>
      <c r="B19" s="4204"/>
      <c r="C19" s="1101" t="s">
        <v>945</v>
      </c>
    </row>
    <row r="20" spans="1:3" ht="14.4">
      <c r="A20" s="4208"/>
      <c r="B20" s="4203" t="s">
        <v>946</v>
      </c>
      <c r="C20" s="4202"/>
    </row>
    <row r="21" spans="1:3" ht="14.4">
      <c r="A21" s="1102" t="s">
        <v>947</v>
      </c>
      <c r="B21" s="1103"/>
      <c r="C21" s="1104"/>
    </row>
    <row r="22" spans="1:3" ht="14.4">
      <c r="A22" s="4205" t="s">
        <v>948</v>
      </c>
      <c r="B22" s="4203" t="s">
        <v>949</v>
      </c>
      <c r="C22" s="4202"/>
    </row>
    <row r="23" spans="1:3" ht="14.4">
      <c r="A23" s="4205"/>
      <c r="B23" s="4203" t="s">
        <v>950</v>
      </c>
      <c r="C23" s="4202"/>
    </row>
    <row r="24" spans="1:3" ht="14.4">
      <c r="A24" s="4205"/>
      <c r="B24" s="4203" t="s">
        <v>951</v>
      </c>
      <c r="C24" s="4202"/>
    </row>
    <row r="25" spans="1:3" ht="14.4">
      <c r="A25" s="4205"/>
      <c r="B25" s="4204" t="s">
        <v>952</v>
      </c>
      <c r="C25" s="1101" t="s">
        <v>953</v>
      </c>
    </row>
    <row r="26" spans="1:3" ht="14.4">
      <c r="A26" s="4205"/>
      <c r="B26" s="4204"/>
      <c r="C26" s="1101" t="s">
        <v>954</v>
      </c>
    </row>
    <row r="27" spans="1:3" ht="14.4">
      <c r="A27" s="4205"/>
      <c r="B27" s="4204"/>
      <c r="C27" s="1101" t="s">
        <v>955</v>
      </c>
    </row>
    <row r="28" spans="1:3" ht="14.4">
      <c r="A28" s="4205"/>
      <c r="B28" s="4204"/>
      <c r="C28" s="1101" t="s">
        <v>956</v>
      </c>
    </row>
    <row r="29" spans="1:3" ht="14.4">
      <c r="A29" s="4205"/>
      <c r="B29" s="4204"/>
      <c r="C29" s="1101" t="s">
        <v>957</v>
      </c>
    </row>
    <row r="30" spans="1:3" ht="14.4">
      <c r="A30" s="4205"/>
      <c r="B30" s="4204"/>
      <c r="C30" s="1101" t="s">
        <v>958</v>
      </c>
    </row>
    <row r="31" spans="1:3" ht="14.4">
      <c r="A31" s="4205"/>
      <c r="B31" s="4204"/>
      <c r="C31" s="1101" t="s">
        <v>959</v>
      </c>
    </row>
    <row r="32" spans="1:3" ht="14.4">
      <c r="A32" s="4205"/>
      <c r="B32" s="4204"/>
      <c r="C32" s="1101" t="s">
        <v>960</v>
      </c>
    </row>
    <row r="33" spans="1:3" ht="14.4">
      <c r="A33" s="4205"/>
      <c r="B33" s="4204"/>
      <c r="C33" s="1101" t="s">
        <v>961</v>
      </c>
    </row>
    <row r="34" spans="1:3">
      <c r="A34" s="1105" t="s">
        <v>47</v>
      </c>
    </row>
    <row r="37" spans="1:3">
      <c r="A37" s="1105" t="s">
        <v>962</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2051</v>
      </c>
      <c r="B2" s="1738">
        <f ca="1">TODAY()</f>
        <v>46050</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2026-01-28T02:19:29Z</dcterms:modified>
</cp:coreProperties>
</file>