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0" yWindow="-495" windowWidth="29040" windowHeight="14145" tabRatio="899" firstSheet="13" activeTab="4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取值过程" sheetId="82" r:id="rId15"/>
    <sheet name="数据-取费表" sheetId="1" r:id="rId16"/>
    <sheet name="估价对象房地状况" sheetId="20" r:id="rId17"/>
    <sheet name="系统读取表" sheetId="74" r:id="rId18"/>
    <sheet name="分套价值" sheetId="81" r:id="rId19"/>
    <sheet name="结果表" sheetId="9" r:id="rId20"/>
    <sheet name="成本法" sheetId="68" state="hidden" r:id="rId21"/>
    <sheet name="成本法 (元)" sheetId="69" state="hidden" r:id="rId22"/>
    <sheet name="假设开发法" sheetId="12" state="hidden" r:id="rId23"/>
    <sheet name="收益法" sheetId="15" state="hidden" r:id="rId24"/>
    <sheet name="比较法-办公" sheetId="34" r:id="rId25"/>
    <sheet name="收益法 (元)" sheetId="67" r:id="rId26"/>
    <sheet name="收益法-酒店模型" sheetId="77" state="hidden" r:id="rId27"/>
    <sheet name="收益法（汇总）" sheetId="70" state="hidden" r:id="rId28"/>
    <sheet name="比较法-住宅" sheetId="21"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结果表 (2)" sheetId="85" r:id="rId41"/>
    <sheet name="比较法-商业" sheetId="33" r:id="rId42"/>
    <sheet name="收益法商" sheetId="83" r:id="rId43"/>
    <sheet name="典型户型修正 (2)" sheetId="84" r:id="rId44"/>
    <sheet name="区片价" sheetId="44" r:id="rId45"/>
    <sheet name="因素修正幅度" sheetId="65" state="hidden" r:id="rId46"/>
    <sheet name="区片价（范围）" sheetId="75" state="hidden" r:id="rId47"/>
    <sheet name="地价-分区" sheetId="79" r:id="rId48"/>
    <sheet name="地价" sheetId="71" r:id="rId49"/>
    <sheet name="存贷款利率" sheetId="73" r:id="rId50"/>
  </sheets>
  <externalReferences>
    <externalReference r:id="rId51"/>
    <externalReference r:id="rId52"/>
    <externalReference r:id="rId53"/>
    <externalReference r:id="rId54"/>
    <externalReference r:id="rId55"/>
    <externalReference r:id="rId56"/>
    <externalReference r:id="rId57"/>
  </externalReferences>
  <definedNames>
    <definedName name="_xlnm._FilterDatabase" localSheetId="24"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41" hidden="1">'比较法-商业'!$A$1:$L$49</definedName>
    <definedName name="_xlnm._FilterDatabase" localSheetId="28"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41">'比较法-商业'!$A$1:$K$54,'比较法-商业'!$A$57:$M$131</definedName>
    <definedName name="_xlnm.Print_Area" localSheetId="28">'比较法-住宅'!$A$1:$K$54,'比较法-住宅'!$A$57:$M$131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19">结果表!$A$1:$I$127</definedName>
    <definedName name="_xlnm.Print_Area" localSheetId="40">'结果表 (2)'!$A$1:$I$127</definedName>
    <definedName name="_xlnm.Print_Area" localSheetId="23">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42">收益法商!$A$1:$F$43,收益法商!$H$3:$M$29,收益法商!$A$45:$F$71,收益法商!$I$46:$N$65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8">'[1]比较法-办公'!$B$119:$M$119</definedName>
    <definedName name="办公层高" localSheetId="14">'[2]比较法-办公'!$B$119:$M$119</definedName>
    <definedName name="办公层高">'比较法-办公'!$B$119:$M$119</definedName>
    <definedName name="办公朝向" localSheetId="18">'[1]比较法-办公'!$B$91:$M$91</definedName>
    <definedName name="办公朝向" localSheetId="14">'[2]比较法-办公'!$B$91:$M$91</definedName>
    <definedName name="办公朝向">'比较法-办公'!$B$91:$M$91</definedName>
    <definedName name="办公道路级别" localSheetId="18">'[1]比较法-办公'!$B$87:$M$87</definedName>
    <definedName name="办公道路级别" localSheetId="14">'[2]比较法-办公'!$B$87:$M$87</definedName>
    <definedName name="办公道路级别">'比较法-办公'!$B$87:$M$87</definedName>
    <definedName name="办公公共部分装修" localSheetId="18">'[1]比较法-办公'!$B$108:$M$108</definedName>
    <definedName name="办公公共部分装修" localSheetId="14">'[2]比较法-办公'!$B$108:$M$108</definedName>
    <definedName name="办公公共部分装修">'比较法-办公'!$B$108:$M$108</definedName>
    <definedName name="办公基础设施水平" localSheetId="18">'[1]比较法-办公'!$B$117:$M$117</definedName>
    <definedName name="办公基础设施水平" localSheetId="14">'[2]比较法-办公'!$B$117:$M$117</definedName>
    <definedName name="办公基础设施水平">'比较法-办公'!$B$117:$M$117</definedName>
    <definedName name="办公集聚程度" localSheetId="18">[1]定义!$M$1:$M$6</definedName>
    <definedName name="办公集聚程度" localSheetId="14">[2]定义!$M$1:$M$6</definedName>
    <definedName name="办公集聚程度">定义!$M$1:$M$6</definedName>
    <definedName name="办公建筑结构" localSheetId="18">'[1]比较法-办公'!$B$106:$M$106</definedName>
    <definedName name="办公建筑结构" localSheetId="14">'[2]比较法-办公'!$B$106:$M$106</definedName>
    <definedName name="办公建筑结构">'比较法-办公'!$B$106:$M$106</definedName>
    <definedName name="办公建筑类型" localSheetId="18">'[1]比较法-办公'!$B$101:$M$101</definedName>
    <definedName name="办公建筑类型" localSheetId="14">'[2]比较法-办公'!$B$101:$M$101</definedName>
    <definedName name="办公建筑类型">'比较法-办公'!$B$101:$M$101</definedName>
    <definedName name="办公交易情况" localSheetId="18">'[1]比较法-办公'!$A$62:$M$62</definedName>
    <definedName name="办公交易情况" localSheetId="14">'[2]比较法-办公'!$A$62:$M$62</definedName>
    <definedName name="办公交易情况">'比较法-办公'!$A$62:$M$62</definedName>
    <definedName name="办公楼层" localSheetId="18">'[1]比较法-办公'!$B$89:$M$89</definedName>
    <definedName name="办公楼层" localSheetId="14">'[2]比较法-办公'!$B$89:$M$89</definedName>
    <definedName name="办公楼层">'比较法-办公'!$B$89:$M$89</definedName>
    <definedName name="办公内部装修" localSheetId="18">'[1]比较法-办公'!$B$123:$M$123</definedName>
    <definedName name="办公内部装修" localSheetId="14">'[2]比较法-办公'!$B$123:$M$123</definedName>
    <definedName name="办公内部装修">'比较法-办公'!$B$123:$M$123</definedName>
    <definedName name="办公物业管理" localSheetId="18">'[1]比较法-办公'!$B$115:$M$115</definedName>
    <definedName name="办公物业管理" localSheetId="14">'[2]比较法-办公'!$B$115:$M$115</definedName>
    <definedName name="办公物业管理">'比较法-办公'!$B$115:$M$115</definedName>
    <definedName name="办公用途" localSheetId="18">'[1]比较法-办公'!$B$64:$M$64</definedName>
    <definedName name="办公用途" localSheetId="14">'[2]比较法-办公'!$B$64:$M$64</definedName>
    <definedName name="办公用途">'比较法-办公'!$B$64:$M$64</definedName>
    <definedName name="仓储公共部分装修" localSheetId="18">'[1]比较法-仓储'!$B$77:$M$77</definedName>
    <definedName name="仓储公共部分装修" localSheetId="14">'[2]比较法-仓储'!$B$77:$M$77</definedName>
    <definedName name="仓储公共部分装修">'比较法-仓储'!$B$77:$M$77</definedName>
    <definedName name="仓储交易情况" localSheetId="18">'[1]比较法-仓储'!$A$49:$M$49</definedName>
    <definedName name="仓储交易情况" localSheetId="14">'[2]比较法-仓储'!$A$49:$M$49</definedName>
    <definedName name="仓储交易情况">'比较法-仓储'!$A$49:$M$49</definedName>
    <definedName name="仓储楼层" localSheetId="18">'[1]比较法-仓储'!$B$69:$M$69</definedName>
    <definedName name="仓储楼层" localSheetId="14">'[2]比较法-仓储'!$B$69:$M$69</definedName>
    <definedName name="仓储楼层">'比较法-仓储'!$B$69:$M$69</definedName>
    <definedName name="仓储物业等级" localSheetId="18">'[1]比较法-仓储'!$B$82:$M$82</definedName>
    <definedName name="仓储物业等级" localSheetId="14">'[2]比较法-仓储'!$B$82:$M$82</definedName>
    <definedName name="仓储物业等级">'比较法-仓储'!$B$82:$M$82</definedName>
    <definedName name="仓储用途" localSheetId="18">'[1]比较法-仓储'!$B$51:$M$51</definedName>
    <definedName name="仓储用途" localSheetId="14">'[2]比较法-仓储'!$B$51:$M$51</definedName>
    <definedName name="仓储用途">'比较法-仓储'!$B$51:$M$51</definedName>
    <definedName name="产业集聚程度" localSheetId="18">[1]定义!$N$1:$N$6</definedName>
    <definedName name="产业集聚程度" localSheetId="14">[2]定义!$N$1:$N$6</definedName>
    <definedName name="产业集聚程度">定义!$N$1:$N$6</definedName>
    <definedName name="车位公共部分装修" localSheetId="18">'[1]比较法-车位'!$B$83:$M$83</definedName>
    <definedName name="车位公共部分装修" localSheetId="14">'[2]比较法-车位'!$B$83:$M$83</definedName>
    <definedName name="车位公共部分装修">'比较法-车位'!$B$83:$M$83</definedName>
    <definedName name="车位交易情况" localSheetId="18">'[1]比较法-车位'!$A$51:$M$51</definedName>
    <definedName name="车位交易情况" localSheetId="14">'[2]比较法-车位'!$A$51:$M$51</definedName>
    <definedName name="车位交易情况">'比较法-车位'!$A$51:$M$51</definedName>
    <definedName name="车位类型" localSheetId="18">'[1]比较法-车位'!$B$93:$M$93</definedName>
    <definedName name="车位类型" localSheetId="14">'[2]比较法-车位'!$B$93:$M$93</definedName>
    <definedName name="车位类型">'比较法-车位'!$B$93:$M$93</definedName>
    <definedName name="车位楼层" localSheetId="18">'[1]比较法-车位'!$B$71:$M$71</definedName>
    <definedName name="车位楼层" localSheetId="14">'[2]比较法-车位'!$B$71:$M$71</definedName>
    <definedName name="车位楼层">'比较法-车位'!$B$71:$M$71</definedName>
    <definedName name="车位配套类型" localSheetId="18">'[1]比较法-车位'!$B$79:$M$79</definedName>
    <definedName name="车位配套类型" localSheetId="14">'[2]比较法-车位'!$B$79:$M$79</definedName>
    <definedName name="车位配套类型">'比较法-车位'!$B$79:$M$79</definedName>
    <definedName name="车位物业等级" localSheetId="18">'[1]比较法-车位'!$B$88:$M$88</definedName>
    <definedName name="车位物业等级" localSheetId="14">'[2]比较法-车位'!$B$88:$M$88</definedName>
    <definedName name="车位物业等级">'比较法-车位'!$B$88:$M$88</definedName>
    <definedName name="车位用途" localSheetId="18">'[1]比较法-车位'!$B$53:$M$53</definedName>
    <definedName name="车位用途" localSheetId="14">'[2]比较法-车位'!$B$53:$M$53</definedName>
    <definedName name="车位用途">'比较法-车位'!$B$53:$M$53</definedName>
    <definedName name="城镇土地纳税等级分级范围" localSheetId="18">'[1]数据-取费表'!$A$53:$A$63</definedName>
    <definedName name="城镇土地纳税等级分级范围" localSheetId="14">'[2]数据-取费表'!$A$53:$A$63</definedName>
    <definedName name="城镇土地纳税等级分级范围">'数据-取费表'!$A$53:$A$63</definedName>
    <definedName name="单价内涵" localSheetId="18">[1]定义!$V$1:$V$3</definedName>
    <definedName name="单价内涵" localSheetId="14">[2]定义!$V$1:$V$3</definedName>
    <definedName name="单价内涵">定义!$V$1:$V$3</definedName>
    <definedName name="地类判定" localSheetId="18">[1]定义!$H$1:$H$9</definedName>
    <definedName name="地类判定" localSheetId="14">[2]定义!$H$1:$H$9</definedName>
    <definedName name="地类判定">定义!$H$1:$H$9</definedName>
    <definedName name="二级">区片价!$J$1:$J$21</definedName>
    <definedName name="二级分类" localSheetId="18">[1]修正!$C$19:$C$51</definedName>
    <definedName name="二级分类" localSheetId="14">[2]修正!$C$19:$C$51</definedName>
    <definedName name="二级分类">修正!$C$19:$C$51</definedName>
    <definedName name="法定最高年限" localSheetId="18">[1]定义!$G$1:$G$4</definedName>
    <definedName name="法定最高年限" localSheetId="14">[2]定义!$G$1:$G$6</definedName>
    <definedName name="法定最高年限">定义!$G$1:$G$6</definedName>
    <definedName name="工业公共部分装修" localSheetId="18">'[1]比较法-工业'!$B$95:$M$95</definedName>
    <definedName name="工业公共部分装修" localSheetId="14">'[2]比较法-工业'!$B$95:$M$95</definedName>
    <definedName name="工业公共部分装修">'比较法-工业'!$B$95:$M$95</definedName>
    <definedName name="工业基础设施水平" localSheetId="18">'[1]比较法-工业'!$B$102:$M$102</definedName>
    <definedName name="工业基础设施水平" localSheetId="14">'[2]比较法-工业'!$B$102:$M$102</definedName>
    <definedName name="工业基础设施水平">'比较法-工业'!$B$102:$M$102</definedName>
    <definedName name="工业建筑结构" localSheetId="18">'[1]比较法-工业'!$B$93:$M$93</definedName>
    <definedName name="工业建筑结构" localSheetId="14">'[2]比较法-工业'!$B$93:$M$93</definedName>
    <definedName name="工业建筑结构">'比较法-工业'!$B$93:$M$93</definedName>
    <definedName name="工业建筑类型" localSheetId="18">'[1]比较法-工业'!$B$88:$M$88</definedName>
    <definedName name="工业建筑类型" localSheetId="14">'[2]比较法-工业'!$B$88:$M$88</definedName>
    <definedName name="工业建筑类型">'比较法-工业'!$B$88:$M$88</definedName>
    <definedName name="工业交易情况" localSheetId="18">'[1]比较法-工业'!$A$55:$M$55</definedName>
    <definedName name="工业交易情况" localSheetId="14">'[2]比较法-工业'!$A$55:$M$55</definedName>
    <definedName name="工业交易情况">'比较法-工业'!$A$55:$M$55</definedName>
    <definedName name="工业内部装修" localSheetId="18">'[1]比较法-工业'!$B$104:$M$104</definedName>
    <definedName name="工业内部装修" localSheetId="14">'[2]比较法-工业'!$B$104:$M$104</definedName>
    <definedName name="工业内部装修">'比较法-工业'!$B$104:$M$104</definedName>
    <definedName name="工业物业管理" localSheetId="18">'[1]比较法-工业'!$B$100:$M$100</definedName>
    <definedName name="工业物业管理" localSheetId="14">'[2]比较法-工业'!$B$100:$M$100</definedName>
    <definedName name="工业物业管理">'比较法-工业'!$B$100:$M$100</definedName>
    <definedName name="工业用途" localSheetId="18">'[1]比较法-工业'!$B$57:$M$57</definedName>
    <definedName name="工业用途" localSheetId="14">'[2]比较法-工业'!$B$57:$M$57</definedName>
    <definedName name="工业用途">'比较法-工业'!$B$57:$M$57</definedName>
    <definedName name="公共配套设施" localSheetId="18">[1]定义!$Q$1:$Q$6</definedName>
    <definedName name="公共配套设施" localSheetId="14">[2]定义!$Q$1:$Q$6</definedName>
    <definedName name="公共配套设施">定义!$Q$1:$Q$6</definedName>
    <definedName name="估价范围判定" localSheetId="18">[3]定义!$D$1:$D$4</definedName>
    <definedName name="估价范围判定" localSheetId="14">[2]定义!$D$1:$D$4</definedName>
    <definedName name="估价范围判定">定义!$D$1:$D$4</definedName>
    <definedName name="估价方法" localSheetId="18">[1]定义!$B$1:$B$50</definedName>
    <definedName name="估价方法" localSheetId="14">[2]定义!$B$1:$B$50</definedName>
    <definedName name="估价方法">定义!$B$1:$B$50</definedName>
    <definedName name="环境" localSheetId="18">[1]定义!$S$1:$S$6</definedName>
    <definedName name="环境" localSheetId="14">[2]定义!$S$1:$S$6</definedName>
    <definedName name="环境">定义!$S$1:$S$6</definedName>
    <definedName name="基础设施水平" localSheetId="18">[1]定义!$R$1:$R$6</definedName>
    <definedName name="基础设施水平" localSheetId="14">[2]定义!$R$1:$R$6</definedName>
    <definedName name="基础设施水平">定义!$R$1:$R$6</definedName>
    <definedName name="季度">基准地价修正!$Q$19:$AD$19</definedName>
    <definedName name="价值类型2" localSheetId="18">[1]定义!$B$54:$B$56</definedName>
    <definedName name="价值类型2" localSheetId="14">[2]定义!$B$54:$B$56</definedName>
    <definedName name="价值类型2">定义!$B$54:$B$56</definedName>
    <definedName name="交通便捷度" localSheetId="18">[1]定义!$O$1:$O$6</definedName>
    <definedName name="交通便捷度" localSheetId="14">[2]定义!$O$1:$O$6</definedName>
    <definedName name="交通便捷度">定义!$O$1:$O$6</definedName>
    <definedName name="九级">区片价!$Q$1:$Q$51</definedName>
    <definedName name="居住社区成熟度" localSheetId="18">[1]定义!$K$1:$K$6</definedName>
    <definedName name="居住社区成熟度" localSheetId="14">[2]定义!$K$1:$K$6</definedName>
    <definedName name="居住社区成熟度">定义!$K$1:$K$6</definedName>
    <definedName name="可用科目">[4]隐藏数据!$B$1:$B$300</definedName>
    <definedName name="类别" localSheetId="18">[1]定义!$J$1:$J$3</definedName>
    <definedName name="类别" localSheetId="14">[2]定义!$J$1:$J$3</definedName>
    <definedName name="类别">定义!$J$1:$J$3</definedName>
    <definedName name="临街状况" localSheetId="18">[1]定义!$T$1:$T$5</definedName>
    <definedName name="临街状况" localSheetId="14">[2]定义!$T$1:$T$5</definedName>
    <definedName name="临街状况">定义!$T$1:$T$5</definedName>
    <definedName name="六级">区片价!$N$1:$N$64</definedName>
    <definedName name="内部装修维护情况" localSheetId="18">[1]定义!$U$1:$U$6</definedName>
    <definedName name="内部装修维护情况" localSheetId="14">[2]定义!$U$1:$U$6</definedName>
    <definedName name="内部装修维护情况">定义!$U$1:$U$6</definedName>
    <definedName name="判定" localSheetId="14">[5]定义!$D$1:$D$4</definedName>
    <definedName name="判定">[1]定义!$D$1:$D$4</definedName>
    <definedName name="七级">区片价!$O$1:$O$45</definedName>
    <definedName name="七通一平" localSheetId="18">[1]修正!$A$8:$A$16</definedName>
    <definedName name="七通一平" localSheetId="14">[2]修正!$A$8:$A$16</definedName>
    <definedName name="七通一平">修正!$A$8:$A$16</definedName>
    <definedName name="区域土地利用方向" localSheetId="18">[1]定义!$P$1:$P$6</definedName>
    <definedName name="区域土地利用方向" localSheetId="14">[2]定义!$P$1:$P$6</definedName>
    <definedName name="区域土地利用方向">定义!$P$1:$P$6</definedName>
    <definedName name="三级">区片价!$K$1:$K$26</definedName>
    <definedName name="商业层高" localSheetId="18">'[1]比较法-商业'!$B$116:$M$116</definedName>
    <definedName name="商业层高" localSheetId="14">'[2]比较法-商业'!$B$116:$M$116</definedName>
    <definedName name="商业层高">'比较法-商业'!$B$116:$M$116</definedName>
    <definedName name="商业成新度">'比较法-商业'!$B$109:$M$109</definedName>
    <definedName name="商业繁华度" localSheetId="18">[1]定义!$L$1:$L$6</definedName>
    <definedName name="商业繁华度" localSheetId="14">[2]定义!$L$1:$L$6</definedName>
    <definedName name="商业繁华度">定义!$L$1:$L$6</definedName>
    <definedName name="商业公共部分装修" localSheetId="18">'[1]比较法-商业'!$B$107:$M$107</definedName>
    <definedName name="商业公共部分装修" localSheetId="14">'[2]比较法-商业'!$B$107:$M$107</definedName>
    <definedName name="商业公共部分装修">'比较法-商业'!$B$107:$M$107</definedName>
    <definedName name="商业基础设施水平" localSheetId="18">'[1]比较法-商业'!$B$112:$M$112</definedName>
    <definedName name="商业基础设施水平" localSheetId="14">'[2]比较法-商业'!$B$112:$M$112</definedName>
    <definedName name="商业基础设施水平">'比较法-商业'!$B$112:$M$112</definedName>
    <definedName name="商业建筑结构" localSheetId="18">'[1]比较法-商业'!$B$105:$M$105</definedName>
    <definedName name="商业建筑结构" localSheetId="14">'[2]比较法-商业'!$B$105:$M$105</definedName>
    <definedName name="商业建筑结构">'比较法-商业'!$B$105:$M$105</definedName>
    <definedName name="商业交易情况" localSheetId="18">'[1]比较法-商业'!$A$61:$M$61</definedName>
    <definedName name="商业交易情况" localSheetId="14">'[2]比较法-商业'!$A$61:$M$61</definedName>
    <definedName name="商业交易情况">'比较法-商业'!$A$61:$M$61</definedName>
    <definedName name="商业街名称" localSheetId="18">[1]修正!$C$71:$C$138</definedName>
    <definedName name="商业街名称" localSheetId="14">[2]修正!$C$71:$C$138</definedName>
    <definedName name="商业街名称">修正!$C$71:$C$138</definedName>
    <definedName name="商业进深比" localSheetId="18">'[1]比较法-商业'!$B$120:$M$120</definedName>
    <definedName name="商业进深比" localSheetId="14">'[2]比较法-商业'!$B$120:$M$120</definedName>
    <definedName name="商业进深比">'比较法-商业'!$B$120:$M$120</definedName>
    <definedName name="商业类型" localSheetId="18">'[1]比较法-商业'!$B$100:$M$100</definedName>
    <definedName name="商业类型" localSheetId="14">'[2]比较法-商业'!$B$100:$M$100</definedName>
    <definedName name="商业类型">'比较法-商业'!$B$100:$M$100</definedName>
    <definedName name="商业临街状况" localSheetId="18">'[1]比较法-商业'!$B$86:$M$86</definedName>
    <definedName name="商业临街状况" localSheetId="14">'[2]比较法-商业'!$B$86:$M$86</definedName>
    <definedName name="商业临街状况">'比较法-商业'!$B$86:$M$86</definedName>
    <definedName name="商业楼层" localSheetId="18">'[1]比较法-商业'!$B$92:$M$92</definedName>
    <definedName name="商业楼层" localSheetId="14">'[2]比较法-商业'!$B$92:$M$92</definedName>
    <definedName name="商业楼层">'比较法-商业'!$B$92:$M$92</definedName>
    <definedName name="商业内部装修" localSheetId="18">'[1]比较法-商业'!$B$122:$M$122</definedName>
    <definedName name="商业内部装修" localSheetId="14">'[2]比较法-商业'!$B$122:$M$122</definedName>
    <definedName name="商业内部装修">'比较法-商业'!$B$122:$M$122</definedName>
    <definedName name="商业人流量" localSheetId="18">'[1]比较法-商业'!$B$90:$M$90</definedName>
    <definedName name="商业人流量" localSheetId="14">'[2]比较法-商业'!$B$90:$M$90</definedName>
    <definedName name="商业人流量">'比较法-商业'!$B$90:$M$90</definedName>
    <definedName name="商业业态" localSheetId="18">'[1]比较法-商业'!$B$114:$M$114</definedName>
    <definedName name="商业业态" localSheetId="14">'[2]比较法-商业'!$B$114:$M$114</definedName>
    <definedName name="商业业态">'比较法-商业'!$B$114:$M$114</definedName>
    <definedName name="商业用途" localSheetId="18">'[1]比较法-商业'!$B$63:$M$63</definedName>
    <definedName name="商业用途" localSheetId="14">'[2]比较法-商业'!$B$63:$M$63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8">'[1]比较法-仓储'!$B$89:$M$89</definedName>
    <definedName name="是否封闭" localSheetId="14">'[2]比较法-仓储'!$B$89:$M$89</definedName>
    <definedName name="是否封闭">'比较法-仓储'!$B$89:$M$89</definedName>
    <definedName name="是否直接入户" localSheetId="18">'[1]比较法-车位'!$B$95:$M$95</definedName>
    <definedName name="是否直接入户" localSheetId="14">'[2]比较法-车位'!$B$95:$M$95</definedName>
    <definedName name="是否直接入户">'比较法-车位'!$B$95:$M$95</definedName>
    <definedName name="四级">区片价!$L$1:$L$33</definedName>
    <definedName name="套工道路等级" localSheetId="18">'[1]土地比较法-工业'!$B$97:$M$97</definedName>
    <definedName name="套工道路等级" localSheetId="14">'[2]土地比较法-工业'!$B$97:$M$97</definedName>
    <definedName name="套工道路等级">'土地比较法-工业'!$B$97:$M$97</definedName>
    <definedName name="套工地质条件" localSheetId="18">'[1]土地比较法-工业'!$B$114:$M$114</definedName>
    <definedName name="套工地质条件" localSheetId="14">'[2]土地比较法-工业'!$B$114:$M$114</definedName>
    <definedName name="套工地质条件">'土地比较法-工业'!$B$114:$M$114</definedName>
    <definedName name="套工交易情况" localSheetId="18">'[1]土地比较法-住宅、综合'!$A$72:$M$72</definedName>
    <definedName name="套工交易情况" localSheetId="14">'[2]土地比较法-住宅、综合'!$A$72:$M$72</definedName>
    <definedName name="套工交易情况">'土地比较法-住宅、综合'!$A$72:$M$72</definedName>
    <definedName name="套工土地级别" localSheetId="18">'[1]土地比较法-工业'!$B$99:$M$99</definedName>
    <definedName name="套工土地级别" localSheetId="14">'[2]土地比较法-工业'!$B$99:$M$99</definedName>
    <definedName name="套工土地级别">'土地比较法-工业'!$B$99:$M$99</definedName>
    <definedName name="套工用途" localSheetId="18">'[1]土地比较法-工业'!$B$70:$M$70</definedName>
    <definedName name="套工用途" localSheetId="14">'[2]土地比较法-工业'!$B$70:$M$70</definedName>
    <definedName name="套工用途">'土地比较法-工业'!$B$70:$M$70</definedName>
    <definedName name="套工宗地开发程度" localSheetId="18">'[1]土地比较法-工业'!$B$112:$M$112</definedName>
    <definedName name="套工宗地开发程度" localSheetId="14">'[2]土地比较法-工业'!$B$112:$M$112</definedName>
    <definedName name="套工宗地开发程度">'土地比较法-工业'!$B$112:$M$112</definedName>
    <definedName name="套工宗地形状" localSheetId="18">'[1]土地比较法-工业'!$B$110:$M$110</definedName>
    <definedName name="套工宗地形状" localSheetId="14">'[2]土地比较法-工业'!$B$110:$M$110</definedName>
    <definedName name="套工宗地形状">'土地比较法-工业'!$B$110:$M$110</definedName>
    <definedName name="套综道路等级" localSheetId="18">'[1]土地比较法-住宅、综合'!$B$105:$M$105</definedName>
    <definedName name="套综道路等级" localSheetId="14">'[2]土地比较法-住宅、综合'!$B$105:$M$105</definedName>
    <definedName name="套综道路等级">'土地比较法-住宅、综合'!$B$105:$M$105</definedName>
    <definedName name="套综工程地质条件" localSheetId="18">'[1]土地比较法-住宅、综合'!$B$124:$M$124</definedName>
    <definedName name="套综工程地质条件" localSheetId="14">'[2]土地比较法-住宅、综合'!$B$124:$M$124</definedName>
    <definedName name="套综工程地质条件">'土地比较法-住宅、综合'!$B$124:$M$124</definedName>
    <definedName name="套综交易情况" localSheetId="18">'[1]土地比较法-住宅、综合'!$A$72:$M$72</definedName>
    <definedName name="套综交易情况" localSheetId="14">'[2]土地比较法-住宅、综合'!$A$72:$M$72</definedName>
    <definedName name="套综交易情况">'土地比较法-住宅、综合'!$A$72:$M$72</definedName>
    <definedName name="套综临街宽度及深度" localSheetId="18">'[1]土地比较法-住宅、综合'!$B$120:$M$120</definedName>
    <definedName name="套综临街宽度及深度" localSheetId="14">'[2]土地比较法-住宅、综合'!$B$120:$M$120</definedName>
    <definedName name="套综临街宽度及深度">'土地比较法-住宅、综合'!$B$120:$M$120</definedName>
    <definedName name="套综土地级别" localSheetId="18">'[1]土地比较法-住宅、综合'!$B$107:$M$107</definedName>
    <definedName name="套综土地级别" localSheetId="14">'[2]土地比较法-住宅、综合'!$B$107:$M$107</definedName>
    <definedName name="套综土地级别">'土地比较法-住宅、综合'!$B$107:$M$107</definedName>
    <definedName name="套综用途" localSheetId="18">'[1]土地比较法-住宅、综合'!$B$74:$M$74</definedName>
    <definedName name="套综用途" localSheetId="14">'[2]土地比较法-住宅、综合'!$B$74:$M$74</definedName>
    <definedName name="套综用途">'土地比较法-住宅、综合'!$B$74:$M$74</definedName>
    <definedName name="套综宗地内开发程度" localSheetId="18">'[1]土地比较法-住宅、综合'!$B$122:$M$122</definedName>
    <definedName name="套综宗地内开发程度" localSheetId="14">'[2]土地比较法-住宅、综合'!$B$122:$M$122</definedName>
    <definedName name="套综宗地内开发程度">'土地比较法-住宅、综合'!$B$122:$M$122</definedName>
    <definedName name="套综宗地形状" localSheetId="18">'[1]土地比较法-住宅、综合'!$B$118:$M$118</definedName>
    <definedName name="套综宗地形状" localSheetId="14">'[2]土地比较法-住宅、综合'!$B$118:$M$118</definedName>
    <definedName name="套综宗地形状">'土地比较法-住宅、综合'!$B$118:$M$118</definedName>
    <definedName name="土地估价师">估价师及机构信息!$D$3:$D$24</definedName>
    <definedName name="土地级别" localSheetId="18">[1]定义!$C$1:$C$14</definedName>
    <definedName name="土地级别" localSheetId="14">[2]定义!$C$1:$C$14</definedName>
    <definedName name="土地级别">定义!$C$1:$C$14</definedName>
    <definedName name="土地利用方向">定义!$P$1:$P$6</definedName>
    <definedName name="土地年限区间" localSheetId="18">[1]定义!$I$1:$I$8</definedName>
    <definedName name="土地年限区间">定义!$I$1:$I$16</definedName>
    <definedName name="位置" localSheetId="18">[1]定义!$E$2:$E$4</definedName>
    <definedName name="位置" localSheetId="14">[2]定义!$E$2:$E$4</definedName>
    <definedName name="位置">定义!$E$2:$E$4</definedName>
    <definedName name="五等判定" localSheetId="18">[1]定义!$W$1:$W$6</definedName>
    <definedName name="五等判定" localSheetId="14">[2]定义!$W$1:$W$6</definedName>
    <definedName name="五等判定">定义!$W$1:$W$6</definedName>
    <definedName name="五级">区片价!$M$1:$M$41</definedName>
    <definedName name="项目类型" localSheetId="18">'[1]数据-汇总表'!$C$17:$C$26</definedName>
    <definedName name="项目类型" localSheetId="14">'[2]数据-汇总表'!$C$17:$C$26</definedName>
    <definedName name="项目类型" localSheetId="26">'[6]数据-汇总表'!$C$17:$C$26</definedName>
    <definedName name="项目类型">'数据-汇总表'!$C$17:$C$26</definedName>
    <definedName name="写字楼等级" localSheetId="18">'[1]比较法-办公'!$B$113:$M$113</definedName>
    <definedName name="写字楼等级" localSheetId="14">'[2]比较法-办公'!$B$113:$M$113</definedName>
    <definedName name="写字楼等级">'比较法-办公'!$B$113:$M$113</definedName>
    <definedName name="一级">区片价!$I$1:$I$6</definedName>
    <definedName name="一修多修正项2" localSheetId="18">[1]典型户型修正!$5:$5</definedName>
    <definedName name="一修多修正项2" localSheetId="14">[2]典型户型修正!$5:$5</definedName>
    <definedName name="一修多修正项2">典型户型修正!$5:$5</definedName>
    <definedName name="一修多修正项3" localSheetId="18">[1]典型户型修正!$7:$7</definedName>
    <definedName name="一修多修正项3" localSheetId="14">[2]典型户型修正!$7:$7</definedName>
    <definedName name="一修多修正项3">典型户型修正!$7:$7</definedName>
    <definedName name="一修多修正项4" localSheetId="18">[1]典型户型修正!$9:$9</definedName>
    <definedName name="一修多修正项4" localSheetId="14">[2]典型户型修正!$9:$9</definedName>
    <definedName name="一修多修正项4">典型户型修正!$9:$9</definedName>
    <definedName name="一修多修正项5" localSheetId="18">[1]典型户型修正!$11:$11</definedName>
    <definedName name="一修多修正项5" localSheetId="14">[2]典型户型修正!$11:$11</definedName>
    <definedName name="一修多修正项5">典型户型修正!$11:$11</definedName>
    <definedName name="一修多修正项6" localSheetId="18">[1]典型户型修正!$13:$13</definedName>
    <definedName name="一修多修正项6" localSheetId="14">[2]典型户型修正!$13:$13</definedName>
    <definedName name="一修多修正项6">典型户型修正!$13:$13</definedName>
    <definedName name="一修多修正项7" localSheetId="18">[1]典型户型修正!$15:$15</definedName>
    <definedName name="一修多修正项7" localSheetId="14">[2]典型户型修正!$15:$15</definedName>
    <definedName name="一修多修正项7">典型户型修正!$15:$15</definedName>
    <definedName name="一修多修正项8" localSheetId="18">[1]典型户型修正!$17:$17</definedName>
    <definedName name="一修多修正项8" localSheetId="14">[2]典型户型修正!$17:$17</definedName>
    <definedName name="一修多修正项8">典型户型修正!$17:$17</definedName>
    <definedName name="用途明细" localSheetId="18">[1]定义!$A$1:$A$50</definedName>
    <definedName name="用途明细" localSheetId="14">[2]定义!$A$1:$A$50</definedName>
    <definedName name="用途明细">定义!$A$1:$A$50</definedName>
    <definedName name="有无电梯" localSheetId="18">'[1]比较法-仓储'!$B$84:$M$84</definedName>
    <definedName name="有无电梯" localSheetId="14">'[2]比较法-仓储'!$B$84:$M$84</definedName>
    <definedName name="有无电梯">'比较法-仓储'!$B$84:$M$84</definedName>
    <definedName name="主用途" localSheetId="18">[1]定义!$F$1:$F$10</definedName>
    <definedName name="主用途" localSheetId="14">[2]定义!$F$1:$F$12</definedName>
    <definedName name="主用途">定义!$F$1:$F$12</definedName>
    <definedName name="住宅朝向" localSheetId="18">'[1]比较法-住宅'!$B$88:$M$88</definedName>
    <definedName name="住宅朝向" localSheetId="14">'[2]比较法-住宅'!$B$88:$M$88</definedName>
    <definedName name="住宅朝向">'比较法-住宅'!$B$88:$M$88</definedName>
    <definedName name="住宅房型" localSheetId="18">'[1]比较法-住宅'!$B$118:$M$118</definedName>
    <definedName name="住宅房型" localSheetId="14">'[2]比较法-住宅'!$B$118:$M$118</definedName>
    <definedName name="住宅房型">'比较法-住宅'!$B$118:$M$118</definedName>
    <definedName name="住宅公共部分装修" localSheetId="18">'[1]比较法-住宅'!$B$109:$M$109</definedName>
    <definedName name="住宅公共部分装修" localSheetId="14">'[2]比较法-住宅'!$B$109:$M$109</definedName>
    <definedName name="住宅公共部分装修">'比较法-住宅'!$B$109:$M$109</definedName>
    <definedName name="住宅基础设施水平" localSheetId="18">'[1]比较法-住宅'!$B$116:$M$116</definedName>
    <definedName name="住宅基础设施水平" localSheetId="14">'[2]比较法-住宅'!$B$116:$M$116</definedName>
    <definedName name="住宅基础设施水平">'比较法-住宅'!$B$116:$M$116</definedName>
    <definedName name="住宅建筑结构" localSheetId="18">'[1]比较法-住宅'!$B$105:$M$105</definedName>
    <definedName name="住宅建筑结构" localSheetId="14">'[2]比较法-住宅'!$B$105:$M$105</definedName>
    <definedName name="住宅建筑结构">'比较法-住宅'!$B$105:$M$105</definedName>
    <definedName name="住宅建筑类型" localSheetId="18">'[1]比较法-住宅'!$B$100:$M$100</definedName>
    <definedName name="住宅建筑类型" localSheetId="14">'[2]比较法-住宅'!$B$100:$M$100</definedName>
    <definedName name="住宅建筑类型">'比较法-住宅'!$B$100:$M$100</definedName>
    <definedName name="住宅建筑品质" localSheetId="18">'[1]比较法-住宅'!$B$107:$M$107</definedName>
    <definedName name="住宅建筑品质" localSheetId="14">'[2]比较法-住宅'!$B$107:$M$107</definedName>
    <definedName name="住宅建筑品质">'比较法-住宅'!$B$107:$M$107</definedName>
    <definedName name="住宅交易情况" localSheetId="18">'[1]比较法-住宅'!$A$61:$M$61</definedName>
    <definedName name="住宅交易情况" localSheetId="14">'[2]比较法-住宅'!$A$61:$M$61</definedName>
    <definedName name="住宅交易情况">'比较法-住宅'!$A$61:$M$61</definedName>
    <definedName name="住宅楼层" localSheetId="18">'[1]比较法-住宅'!$B$86:$M$86</definedName>
    <definedName name="住宅楼层" localSheetId="14">'[2]比较法-住宅'!$B$86:$M$86</definedName>
    <definedName name="住宅楼层">'比较法-住宅'!$B$86:$M$86</definedName>
    <definedName name="住宅内部装修" localSheetId="18">'[1]比较法-住宅'!$B$122:$M$122</definedName>
    <definedName name="住宅内部装修" localSheetId="14">'[2]比较法-住宅'!$B$122:$M$122</definedName>
    <definedName name="住宅内部装修">'比较法-住宅'!$B$122:$M$122</definedName>
    <definedName name="住宅物业管理" localSheetId="18">'[1]比较法-住宅'!$B$114:$M$114</definedName>
    <definedName name="住宅物业管理" localSheetId="14">'[2]比较法-住宅'!$B$114:$M$114</definedName>
    <definedName name="住宅物业管理">'比较法-住宅'!$B$114:$M$114</definedName>
    <definedName name="住宅用途" localSheetId="18">'[1]比较法-住宅'!$B$63:$M$63</definedName>
    <definedName name="住宅用途" localSheetId="14">'[2]比较法-住宅'!$B$63:$M$63</definedName>
    <definedName name="住宅用途">'比较法-住宅'!$B$63:$M$63</definedName>
    <definedName name="住宅主力户型面积">'比较法-住宅'!$B$120:$M$120</definedName>
    <definedName name="注册房地产估价师" localSheetId="18">[1]估价师及机构信息!$A$3:$A$16</definedName>
    <definedName name="注册房地产估价师" localSheetId="14">[2]估价师及机构信息!$A$3:$A$16</definedName>
    <definedName name="注册房地产估价师">估价师及机构信息!$A$3:$A$16</definedName>
  </definedNames>
  <calcPr calcId="145621"/>
</workbook>
</file>

<file path=xl/calcChain.xml><?xml version="1.0" encoding="utf-8"?>
<calcChain xmlns="http://schemas.openxmlformats.org/spreadsheetml/2006/main">
  <c r="T5" i="84" l="1"/>
  <c r="D89" i="33"/>
  <c r="E89" i="33" l="1"/>
  <c r="F89" i="33"/>
  <c r="G89" i="33" s="1"/>
  <c r="E66" i="33"/>
  <c r="F66" i="33" s="1"/>
  <c r="G66" i="33" s="1"/>
  <c r="D66" i="33"/>
  <c r="G105" i="34" l="1"/>
  <c r="H105" i="34" s="1"/>
  <c r="I36" i="33" l="1"/>
  <c r="E36" i="33"/>
  <c r="G36" i="33"/>
  <c r="T11" i="84" l="1"/>
  <c r="T9" i="84"/>
  <c r="T7" i="84"/>
  <c r="A120" i="85"/>
  <c r="E111" i="85"/>
  <c r="H112" i="85" s="1"/>
  <c r="E109" i="85"/>
  <c r="A124" i="85" s="1"/>
  <c r="E107" i="85"/>
  <c r="A122" i="85" s="1"/>
  <c r="H106" i="85"/>
  <c r="H105" i="85"/>
  <c r="H104" i="85"/>
  <c r="H103" i="85"/>
  <c r="D120" i="85" s="1"/>
  <c r="D101" i="85"/>
  <c r="C101" i="85"/>
  <c r="C91" i="85"/>
  <c r="E90" i="85"/>
  <c r="D89" i="85"/>
  <c r="C89" i="85" s="1"/>
  <c r="C87" i="85" s="1"/>
  <c r="H77" i="85"/>
  <c r="D77" i="85"/>
  <c r="C76" i="85"/>
  <c r="F59" i="85"/>
  <c r="E59" i="85"/>
  <c r="N55" i="85" s="1"/>
  <c r="F56" i="85"/>
  <c r="O54" i="85" s="1"/>
  <c r="O55" i="85"/>
  <c r="K55" i="85"/>
  <c r="J55" i="85"/>
  <c r="I55" i="85"/>
  <c r="F55" i="85"/>
  <c r="O53" i="85" s="1"/>
  <c r="N54" i="85"/>
  <c r="N53" i="85"/>
  <c r="K49" i="85"/>
  <c r="E48" i="85"/>
  <c r="N52" i="85" s="1"/>
  <c r="D48" i="85"/>
  <c r="M52" i="85" s="1"/>
  <c r="F33" i="85"/>
  <c r="D27" i="85"/>
  <c r="C25" i="85"/>
  <c r="C24" i="85"/>
  <c r="D17" i="85"/>
  <c r="C17" i="85"/>
  <c r="C18" i="85" s="1"/>
  <c r="D18" i="85" s="1"/>
  <c r="L4" i="85"/>
  <c r="K4" i="85"/>
  <c r="H1" i="85"/>
  <c r="R524" i="84"/>
  <c r="S524" i="84" s="1"/>
  <c r="O524" i="84"/>
  <c r="M524" i="84"/>
  <c r="K524" i="84"/>
  <c r="C524" i="84"/>
  <c r="R523" i="84"/>
  <c r="S523" i="84" s="1"/>
  <c r="O523" i="84"/>
  <c r="M523" i="84"/>
  <c r="K523" i="84"/>
  <c r="C523" i="84"/>
  <c r="R522" i="84"/>
  <c r="S522" i="84" s="1"/>
  <c r="O522" i="84"/>
  <c r="M522" i="84"/>
  <c r="K522" i="84"/>
  <c r="C522" i="84"/>
  <c r="R521" i="84"/>
  <c r="S521" i="84" s="1"/>
  <c r="O521" i="84"/>
  <c r="M521" i="84"/>
  <c r="K521" i="84"/>
  <c r="C521" i="84"/>
  <c r="R520" i="84"/>
  <c r="S520" i="84" s="1"/>
  <c r="O520" i="84"/>
  <c r="M520" i="84"/>
  <c r="K520" i="84"/>
  <c r="C520" i="84"/>
  <c r="R519" i="84"/>
  <c r="S519" i="84" s="1"/>
  <c r="O519" i="84"/>
  <c r="M519" i="84"/>
  <c r="K519" i="84"/>
  <c r="C519" i="84"/>
  <c r="R518" i="84"/>
  <c r="S518" i="84" s="1"/>
  <c r="O518" i="84"/>
  <c r="M518" i="84"/>
  <c r="K518" i="84"/>
  <c r="C518" i="84"/>
  <c r="R517" i="84"/>
  <c r="S517" i="84" s="1"/>
  <c r="O517" i="84"/>
  <c r="M517" i="84"/>
  <c r="K517" i="84"/>
  <c r="C517" i="84"/>
  <c r="R516" i="84"/>
  <c r="S516" i="84" s="1"/>
  <c r="O516" i="84"/>
  <c r="M516" i="84"/>
  <c r="K516" i="84"/>
  <c r="C516" i="84"/>
  <c r="R515" i="84"/>
  <c r="S515" i="84" s="1"/>
  <c r="O515" i="84"/>
  <c r="M515" i="84"/>
  <c r="K515" i="84"/>
  <c r="C515" i="84"/>
  <c r="R514" i="84"/>
  <c r="S514" i="84" s="1"/>
  <c r="O514" i="84"/>
  <c r="M514" i="84"/>
  <c r="K514" i="84"/>
  <c r="C514" i="84"/>
  <c r="R513" i="84"/>
  <c r="S513" i="84" s="1"/>
  <c r="O513" i="84"/>
  <c r="M513" i="84"/>
  <c r="K513" i="84"/>
  <c r="C513" i="84"/>
  <c r="R512" i="84"/>
  <c r="S512" i="84" s="1"/>
  <c r="O512" i="84"/>
  <c r="M512" i="84"/>
  <c r="K512" i="84"/>
  <c r="C512" i="84"/>
  <c r="R511" i="84"/>
  <c r="S511" i="84" s="1"/>
  <c r="O511" i="84"/>
  <c r="M511" i="84"/>
  <c r="K511" i="84"/>
  <c r="C511" i="84"/>
  <c r="R510" i="84"/>
  <c r="S510" i="84" s="1"/>
  <c r="O510" i="84"/>
  <c r="M510" i="84"/>
  <c r="K510" i="84"/>
  <c r="C510" i="84"/>
  <c r="R509" i="84"/>
  <c r="S509" i="84" s="1"/>
  <c r="O509" i="84"/>
  <c r="M509" i="84"/>
  <c r="K509" i="84"/>
  <c r="C509" i="84"/>
  <c r="R508" i="84"/>
  <c r="S508" i="84" s="1"/>
  <c r="O508" i="84"/>
  <c r="M508" i="84"/>
  <c r="K508" i="84"/>
  <c r="C508" i="84"/>
  <c r="R507" i="84"/>
  <c r="S507" i="84" s="1"/>
  <c r="O507" i="84"/>
  <c r="M507" i="84"/>
  <c r="K507" i="84"/>
  <c r="C507" i="84"/>
  <c r="R506" i="84"/>
  <c r="S506" i="84" s="1"/>
  <c r="O506" i="84"/>
  <c r="M506" i="84"/>
  <c r="K506" i="84"/>
  <c r="C506" i="84"/>
  <c r="R505" i="84"/>
  <c r="S505" i="84" s="1"/>
  <c r="O505" i="84"/>
  <c r="M505" i="84"/>
  <c r="K505" i="84"/>
  <c r="C505" i="84"/>
  <c r="R504" i="84"/>
  <c r="S504" i="84" s="1"/>
  <c r="O504" i="84"/>
  <c r="M504" i="84"/>
  <c r="K504" i="84"/>
  <c r="C504" i="84"/>
  <c r="R503" i="84"/>
  <c r="S503" i="84" s="1"/>
  <c r="O503" i="84"/>
  <c r="M503" i="84"/>
  <c r="K503" i="84"/>
  <c r="C503" i="84"/>
  <c r="R502" i="84"/>
  <c r="S502" i="84" s="1"/>
  <c r="O502" i="84"/>
  <c r="M502" i="84"/>
  <c r="K502" i="84"/>
  <c r="C502" i="84"/>
  <c r="R501" i="84"/>
  <c r="S501" i="84" s="1"/>
  <c r="O501" i="84"/>
  <c r="M501" i="84"/>
  <c r="K501" i="84"/>
  <c r="C501" i="84"/>
  <c r="R500" i="84"/>
  <c r="S500" i="84" s="1"/>
  <c r="O500" i="84"/>
  <c r="M500" i="84"/>
  <c r="K500" i="84"/>
  <c r="C500" i="84"/>
  <c r="R499" i="84"/>
  <c r="S499" i="84" s="1"/>
  <c r="O499" i="84"/>
  <c r="M499" i="84"/>
  <c r="K499" i="84"/>
  <c r="C499" i="84"/>
  <c r="R498" i="84"/>
  <c r="S498" i="84" s="1"/>
  <c r="O498" i="84"/>
  <c r="M498" i="84"/>
  <c r="K498" i="84"/>
  <c r="C498" i="84"/>
  <c r="R497" i="84"/>
  <c r="S497" i="84" s="1"/>
  <c r="O497" i="84"/>
  <c r="M497" i="84"/>
  <c r="K497" i="84"/>
  <c r="C497" i="84"/>
  <c r="R496" i="84"/>
  <c r="S496" i="84" s="1"/>
  <c r="O496" i="84"/>
  <c r="M496" i="84"/>
  <c r="K496" i="84"/>
  <c r="C496" i="84"/>
  <c r="R495" i="84"/>
  <c r="S495" i="84" s="1"/>
  <c r="O495" i="84"/>
  <c r="M495" i="84"/>
  <c r="K495" i="84"/>
  <c r="C495" i="84"/>
  <c r="R494" i="84"/>
  <c r="S494" i="84" s="1"/>
  <c r="O494" i="84"/>
  <c r="M494" i="84"/>
  <c r="K494" i="84"/>
  <c r="C494" i="84"/>
  <c r="R493" i="84"/>
  <c r="S493" i="84" s="1"/>
  <c r="O493" i="84"/>
  <c r="M493" i="84"/>
  <c r="K493" i="84"/>
  <c r="C493" i="84"/>
  <c r="R492" i="84"/>
  <c r="S492" i="84" s="1"/>
  <c r="O492" i="84"/>
  <c r="M492" i="84"/>
  <c r="K492" i="84"/>
  <c r="C492" i="84"/>
  <c r="R491" i="84"/>
  <c r="S491" i="84" s="1"/>
  <c r="O491" i="84"/>
  <c r="M491" i="84"/>
  <c r="K491" i="84"/>
  <c r="C491" i="84"/>
  <c r="R490" i="84"/>
  <c r="S490" i="84" s="1"/>
  <c r="O490" i="84"/>
  <c r="M490" i="84"/>
  <c r="K490" i="84"/>
  <c r="C490" i="84"/>
  <c r="R489" i="84"/>
  <c r="S489" i="84" s="1"/>
  <c r="O489" i="84"/>
  <c r="M489" i="84"/>
  <c r="K489" i="84"/>
  <c r="C489" i="84"/>
  <c r="R488" i="84"/>
  <c r="S488" i="84" s="1"/>
  <c r="O488" i="84"/>
  <c r="M488" i="84"/>
  <c r="K488" i="84"/>
  <c r="C488" i="84"/>
  <c r="R487" i="84"/>
  <c r="S487" i="84" s="1"/>
  <c r="O487" i="84"/>
  <c r="M487" i="84"/>
  <c r="K487" i="84"/>
  <c r="C487" i="84"/>
  <c r="R486" i="84"/>
  <c r="S486" i="84" s="1"/>
  <c r="O486" i="84"/>
  <c r="M486" i="84"/>
  <c r="K486" i="84"/>
  <c r="C486" i="84"/>
  <c r="R485" i="84"/>
  <c r="S485" i="84" s="1"/>
  <c r="O485" i="84"/>
  <c r="M485" i="84"/>
  <c r="K485" i="84"/>
  <c r="C485" i="84"/>
  <c r="R484" i="84"/>
  <c r="S484" i="84" s="1"/>
  <c r="O484" i="84"/>
  <c r="M484" i="84"/>
  <c r="K484" i="84"/>
  <c r="C484" i="84"/>
  <c r="R483" i="84"/>
  <c r="S483" i="84" s="1"/>
  <c r="O483" i="84"/>
  <c r="M483" i="84"/>
  <c r="K483" i="84"/>
  <c r="C483" i="84"/>
  <c r="R482" i="84"/>
  <c r="S482" i="84" s="1"/>
  <c r="O482" i="84"/>
  <c r="M482" i="84"/>
  <c r="K482" i="84"/>
  <c r="C482" i="84"/>
  <c r="R481" i="84"/>
  <c r="S481" i="84" s="1"/>
  <c r="O481" i="84"/>
  <c r="M481" i="84"/>
  <c r="K481" i="84"/>
  <c r="C481" i="84"/>
  <c r="R480" i="84"/>
  <c r="S480" i="84" s="1"/>
  <c r="O480" i="84"/>
  <c r="M480" i="84"/>
  <c r="K480" i="84"/>
  <c r="C480" i="84"/>
  <c r="R479" i="84"/>
  <c r="S479" i="84" s="1"/>
  <c r="O479" i="84"/>
  <c r="M479" i="84"/>
  <c r="K479" i="84"/>
  <c r="C479" i="84"/>
  <c r="R478" i="84"/>
  <c r="S478" i="84" s="1"/>
  <c r="O478" i="84"/>
  <c r="M478" i="84"/>
  <c r="K478" i="84"/>
  <c r="C478" i="84"/>
  <c r="R477" i="84"/>
  <c r="S477" i="84" s="1"/>
  <c r="O477" i="84"/>
  <c r="M477" i="84"/>
  <c r="K477" i="84"/>
  <c r="C477" i="84"/>
  <c r="R476" i="84"/>
  <c r="S476" i="84" s="1"/>
  <c r="O476" i="84"/>
  <c r="M476" i="84"/>
  <c r="K476" i="84"/>
  <c r="C476" i="84"/>
  <c r="R475" i="84"/>
  <c r="S475" i="84" s="1"/>
  <c r="O475" i="84"/>
  <c r="M475" i="84"/>
  <c r="K475" i="84"/>
  <c r="C475" i="84"/>
  <c r="R474" i="84"/>
  <c r="S474" i="84" s="1"/>
  <c r="O474" i="84"/>
  <c r="M474" i="84"/>
  <c r="K474" i="84"/>
  <c r="C474" i="84"/>
  <c r="R473" i="84"/>
  <c r="S473" i="84" s="1"/>
  <c r="O473" i="84"/>
  <c r="M473" i="84"/>
  <c r="K473" i="84"/>
  <c r="C473" i="84"/>
  <c r="R472" i="84"/>
  <c r="S472" i="84" s="1"/>
  <c r="O472" i="84"/>
  <c r="M472" i="84"/>
  <c r="K472" i="84"/>
  <c r="C472" i="84"/>
  <c r="R471" i="84"/>
  <c r="S471" i="84" s="1"/>
  <c r="O471" i="84"/>
  <c r="M471" i="84"/>
  <c r="K471" i="84"/>
  <c r="C471" i="84"/>
  <c r="R470" i="84"/>
  <c r="S470" i="84" s="1"/>
  <c r="O470" i="84"/>
  <c r="M470" i="84"/>
  <c r="K470" i="84"/>
  <c r="C470" i="84"/>
  <c r="R469" i="84"/>
  <c r="S469" i="84" s="1"/>
  <c r="O469" i="84"/>
  <c r="M469" i="84"/>
  <c r="K469" i="84"/>
  <c r="C469" i="84"/>
  <c r="R468" i="84"/>
  <c r="S468" i="84" s="1"/>
  <c r="O468" i="84"/>
  <c r="M468" i="84"/>
  <c r="K468" i="84"/>
  <c r="C468" i="84"/>
  <c r="R467" i="84"/>
  <c r="S467" i="84" s="1"/>
  <c r="O467" i="84"/>
  <c r="M467" i="84"/>
  <c r="K467" i="84"/>
  <c r="C467" i="84"/>
  <c r="R466" i="84"/>
  <c r="S466" i="84" s="1"/>
  <c r="O466" i="84"/>
  <c r="M466" i="84"/>
  <c r="K466" i="84"/>
  <c r="C466" i="84"/>
  <c r="R465" i="84"/>
  <c r="S465" i="84" s="1"/>
  <c r="O465" i="84"/>
  <c r="M465" i="84"/>
  <c r="K465" i="84"/>
  <c r="C465" i="84"/>
  <c r="R464" i="84"/>
  <c r="S464" i="84" s="1"/>
  <c r="O464" i="84"/>
  <c r="M464" i="84"/>
  <c r="K464" i="84"/>
  <c r="C464" i="84"/>
  <c r="R463" i="84"/>
  <c r="S463" i="84" s="1"/>
  <c r="O463" i="84"/>
  <c r="M463" i="84"/>
  <c r="K463" i="84"/>
  <c r="C463" i="84"/>
  <c r="R462" i="84"/>
  <c r="S462" i="84" s="1"/>
  <c r="O462" i="84"/>
  <c r="M462" i="84"/>
  <c r="K462" i="84"/>
  <c r="C462" i="84"/>
  <c r="R461" i="84"/>
  <c r="S461" i="84" s="1"/>
  <c r="O461" i="84"/>
  <c r="M461" i="84"/>
  <c r="K461" i="84"/>
  <c r="C461" i="84"/>
  <c r="R460" i="84"/>
  <c r="S460" i="84" s="1"/>
  <c r="O460" i="84"/>
  <c r="M460" i="84"/>
  <c r="K460" i="84"/>
  <c r="C460" i="84"/>
  <c r="R459" i="84"/>
  <c r="S459" i="84" s="1"/>
  <c r="O459" i="84"/>
  <c r="M459" i="84"/>
  <c r="K459" i="84"/>
  <c r="C459" i="84"/>
  <c r="R458" i="84"/>
  <c r="S458" i="84" s="1"/>
  <c r="O458" i="84"/>
  <c r="M458" i="84"/>
  <c r="K458" i="84"/>
  <c r="C458" i="84"/>
  <c r="R457" i="84"/>
  <c r="S457" i="84" s="1"/>
  <c r="O457" i="84"/>
  <c r="M457" i="84"/>
  <c r="K457" i="84"/>
  <c r="C457" i="84"/>
  <c r="R456" i="84"/>
  <c r="S456" i="84" s="1"/>
  <c r="O456" i="84"/>
  <c r="M456" i="84"/>
  <c r="K456" i="84"/>
  <c r="C456" i="84"/>
  <c r="R455" i="84"/>
  <c r="S455" i="84" s="1"/>
  <c r="O455" i="84"/>
  <c r="M455" i="84"/>
  <c r="K455" i="84"/>
  <c r="C455" i="84"/>
  <c r="R454" i="84"/>
  <c r="S454" i="84" s="1"/>
  <c r="O454" i="84"/>
  <c r="M454" i="84"/>
  <c r="K454" i="84"/>
  <c r="C454" i="84"/>
  <c r="R453" i="84"/>
  <c r="S453" i="84" s="1"/>
  <c r="O453" i="84"/>
  <c r="M453" i="84"/>
  <c r="K453" i="84"/>
  <c r="C453" i="84"/>
  <c r="R452" i="84"/>
  <c r="S452" i="84" s="1"/>
  <c r="O452" i="84"/>
  <c r="M452" i="84"/>
  <c r="K452" i="84"/>
  <c r="C452" i="84"/>
  <c r="R451" i="84"/>
  <c r="S451" i="84" s="1"/>
  <c r="O451" i="84"/>
  <c r="M451" i="84"/>
  <c r="K451" i="84"/>
  <c r="C451" i="84"/>
  <c r="R450" i="84"/>
  <c r="S450" i="84" s="1"/>
  <c r="O450" i="84"/>
  <c r="M450" i="84"/>
  <c r="K450" i="84"/>
  <c r="C450" i="84"/>
  <c r="R449" i="84"/>
  <c r="S449" i="84" s="1"/>
  <c r="O449" i="84"/>
  <c r="M449" i="84"/>
  <c r="K449" i="84"/>
  <c r="C449" i="84"/>
  <c r="R448" i="84"/>
  <c r="S448" i="84" s="1"/>
  <c r="O448" i="84"/>
  <c r="M448" i="84"/>
  <c r="K448" i="84"/>
  <c r="C448" i="84"/>
  <c r="R447" i="84"/>
  <c r="S447" i="84" s="1"/>
  <c r="O447" i="84"/>
  <c r="M447" i="84"/>
  <c r="K447" i="84"/>
  <c r="C447" i="84"/>
  <c r="R446" i="84"/>
  <c r="S446" i="84" s="1"/>
  <c r="O446" i="84"/>
  <c r="M446" i="84"/>
  <c r="K446" i="84"/>
  <c r="C446" i="84"/>
  <c r="R445" i="84"/>
  <c r="S445" i="84" s="1"/>
  <c r="O445" i="84"/>
  <c r="M445" i="84"/>
  <c r="K445" i="84"/>
  <c r="C445" i="84"/>
  <c r="R444" i="84"/>
  <c r="S444" i="84" s="1"/>
  <c r="O444" i="84"/>
  <c r="M444" i="84"/>
  <c r="K444" i="84"/>
  <c r="C444" i="84"/>
  <c r="R443" i="84"/>
  <c r="S443" i="84" s="1"/>
  <c r="O443" i="84"/>
  <c r="M443" i="84"/>
  <c r="K443" i="84"/>
  <c r="C443" i="84"/>
  <c r="R442" i="84"/>
  <c r="S442" i="84" s="1"/>
  <c r="O442" i="84"/>
  <c r="M442" i="84"/>
  <c r="K442" i="84"/>
  <c r="C442" i="84"/>
  <c r="R441" i="84"/>
  <c r="S441" i="84" s="1"/>
  <c r="O441" i="84"/>
  <c r="M441" i="84"/>
  <c r="K441" i="84"/>
  <c r="C441" i="84"/>
  <c r="R440" i="84"/>
  <c r="S440" i="84" s="1"/>
  <c r="O440" i="84"/>
  <c r="M440" i="84"/>
  <c r="K440" i="84"/>
  <c r="C440" i="84"/>
  <c r="R439" i="84"/>
  <c r="S439" i="84" s="1"/>
  <c r="O439" i="84"/>
  <c r="M439" i="84"/>
  <c r="K439" i="84"/>
  <c r="C439" i="84"/>
  <c r="R438" i="84"/>
  <c r="S438" i="84" s="1"/>
  <c r="O438" i="84"/>
  <c r="M438" i="84"/>
  <c r="K438" i="84"/>
  <c r="C438" i="84"/>
  <c r="R437" i="84"/>
  <c r="S437" i="84" s="1"/>
  <c r="O437" i="84"/>
  <c r="M437" i="84"/>
  <c r="K437" i="84"/>
  <c r="C437" i="84"/>
  <c r="R436" i="84"/>
  <c r="S436" i="84" s="1"/>
  <c r="O436" i="84"/>
  <c r="M436" i="84"/>
  <c r="K436" i="84"/>
  <c r="C436" i="84"/>
  <c r="R435" i="84"/>
  <c r="S435" i="84" s="1"/>
  <c r="O435" i="84"/>
  <c r="M435" i="84"/>
  <c r="K435" i="84"/>
  <c r="C435" i="84"/>
  <c r="R434" i="84"/>
  <c r="S434" i="84" s="1"/>
  <c r="O434" i="84"/>
  <c r="M434" i="84"/>
  <c r="K434" i="84"/>
  <c r="C434" i="84"/>
  <c r="R433" i="84"/>
  <c r="S433" i="84" s="1"/>
  <c r="O433" i="84"/>
  <c r="M433" i="84"/>
  <c r="K433" i="84"/>
  <c r="C433" i="84"/>
  <c r="R432" i="84"/>
  <c r="S432" i="84" s="1"/>
  <c r="O432" i="84"/>
  <c r="M432" i="84"/>
  <c r="K432" i="84"/>
  <c r="C432" i="84"/>
  <c r="R431" i="84"/>
  <c r="S431" i="84" s="1"/>
  <c r="O431" i="84"/>
  <c r="M431" i="84"/>
  <c r="K431" i="84"/>
  <c r="C431" i="84"/>
  <c r="R430" i="84"/>
  <c r="S430" i="84" s="1"/>
  <c r="O430" i="84"/>
  <c r="M430" i="84"/>
  <c r="K430" i="84"/>
  <c r="C430" i="84"/>
  <c r="R429" i="84"/>
  <c r="S429" i="84" s="1"/>
  <c r="O429" i="84"/>
  <c r="M429" i="84"/>
  <c r="K429" i="84"/>
  <c r="C429" i="84"/>
  <c r="R428" i="84"/>
  <c r="S428" i="84" s="1"/>
  <c r="O428" i="84"/>
  <c r="M428" i="84"/>
  <c r="K428" i="84"/>
  <c r="C428" i="84"/>
  <c r="R427" i="84"/>
  <c r="S427" i="84" s="1"/>
  <c r="O427" i="84"/>
  <c r="M427" i="84"/>
  <c r="K427" i="84"/>
  <c r="C427" i="84"/>
  <c r="R426" i="84"/>
  <c r="S426" i="84" s="1"/>
  <c r="O426" i="84"/>
  <c r="M426" i="84"/>
  <c r="K426" i="84"/>
  <c r="C426" i="84"/>
  <c r="R425" i="84"/>
  <c r="S425" i="84" s="1"/>
  <c r="O425" i="84"/>
  <c r="M425" i="84"/>
  <c r="K425" i="84"/>
  <c r="C425" i="84"/>
  <c r="R424" i="84"/>
  <c r="S424" i="84" s="1"/>
  <c r="O424" i="84"/>
  <c r="M424" i="84"/>
  <c r="K424" i="84"/>
  <c r="C424" i="84"/>
  <c r="R423" i="84"/>
  <c r="S423" i="84" s="1"/>
  <c r="O423" i="84"/>
  <c r="M423" i="84"/>
  <c r="K423" i="84"/>
  <c r="C423" i="84"/>
  <c r="R422" i="84"/>
  <c r="S422" i="84" s="1"/>
  <c r="O422" i="84"/>
  <c r="M422" i="84"/>
  <c r="K422" i="84"/>
  <c r="C422" i="84"/>
  <c r="R421" i="84"/>
  <c r="S421" i="84" s="1"/>
  <c r="O421" i="84"/>
  <c r="M421" i="84"/>
  <c r="K421" i="84"/>
  <c r="C421" i="84"/>
  <c r="R420" i="84"/>
  <c r="S420" i="84" s="1"/>
  <c r="O420" i="84"/>
  <c r="M420" i="84"/>
  <c r="K420" i="84"/>
  <c r="C420" i="84"/>
  <c r="R419" i="84"/>
  <c r="S419" i="84" s="1"/>
  <c r="O419" i="84"/>
  <c r="M419" i="84"/>
  <c r="K419" i="84"/>
  <c r="C419" i="84"/>
  <c r="R418" i="84"/>
  <c r="S418" i="84" s="1"/>
  <c r="O418" i="84"/>
  <c r="M418" i="84"/>
  <c r="K418" i="84"/>
  <c r="C418" i="84"/>
  <c r="R417" i="84"/>
  <c r="S417" i="84" s="1"/>
  <c r="O417" i="84"/>
  <c r="M417" i="84"/>
  <c r="K417" i="84"/>
  <c r="C417" i="84"/>
  <c r="R416" i="84"/>
  <c r="S416" i="84" s="1"/>
  <c r="O416" i="84"/>
  <c r="M416" i="84"/>
  <c r="K416" i="84"/>
  <c r="C416" i="84"/>
  <c r="R415" i="84"/>
  <c r="S415" i="84" s="1"/>
  <c r="O415" i="84"/>
  <c r="M415" i="84"/>
  <c r="K415" i="84"/>
  <c r="C415" i="84"/>
  <c r="R414" i="84"/>
  <c r="S414" i="84" s="1"/>
  <c r="O414" i="84"/>
  <c r="M414" i="84"/>
  <c r="K414" i="84"/>
  <c r="C414" i="84"/>
  <c r="R413" i="84"/>
  <c r="S413" i="84" s="1"/>
  <c r="O413" i="84"/>
  <c r="M413" i="84"/>
  <c r="K413" i="84"/>
  <c r="C413" i="84"/>
  <c r="R412" i="84"/>
  <c r="S412" i="84" s="1"/>
  <c r="O412" i="84"/>
  <c r="M412" i="84"/>
  <c r="K412" i="84"/>
  <c r="C412" i="84"/>
  <c r="R411" i="84"/>
  <c r="S411" i="84" s="1"/>
  <c r="O411" i="84"/>
  <c r="M411" i="84"/>
  <c r="K411" i="84"/>
  <c r="C411" i="84"/>
  <c r="R410" i="84"/>
  <c r="S410" i="84" s="1"/>
  <c r="O410" i="84"/>
  <c r="M410" i="84"/>
  <c r="K410" i="84"/>
  <c r="C410" i="84"/>
  <c r="R409" i="84"/>
  <c r="S409" i="84" s="1"/>
  <c r="O409" i="84"/>
  <c r="M409" i="84"/>
  <c r="K409" i="84"/>
  <c r="C409" i="84"/>
  <c r="R408" i="84"/>
  <c r="S408" i="84" s="1"/>
  <c r="O408" i="84"/>
  <c r="M408" i="84"/>
  <c r="K408" i="84"/>
  <c r="C408" i="84"/>
  <c r="R407" i="84"/>
  <c r="S407" i="84" s="1"/>
  <c r="O407" i="84"/>
  <c r="M407" i="84"/>
  <c r="K407" i="84"/>
  <c r="C407" i="84"/>
  <c r="R406" i="84"/>
  <c r="S406" i="84" s="1"/>
  <c r="O406" i="84"/>
  <c r="M406" i="84"/>
  <c r="K406" i="84"/>
  <c r="C406" i="84"/>
  <c r="R405" i="84"/>
  <c r="S405" i="84" s="1"/>
  <c r="O405" i="84"/>
  <c r="M405" i="84"/>
  <c r="K405" i="84"/>
  <c r="C405" i="84"/>
  <c r="R404" i="84"/>
  <c r="S404" i="84" s="1"/>
  <c r="O404" i="84"/>
  <c r="M404" i="84"/>
  <c r="K404" i="84"/>
  <c r="C404" i="84"/>
  <c r="R403" i="84"/>
  <c r="S403" i="84" s="1"/>
  <c r="O403" i="84"/>
  <c r="M403" i="84"/>
  <c r="K403" i="84"/>
  <c r="C403" i="84"/>
  <c r="R402" i="84"/>
  <c r="S402" i="84" s="1"/>
  <c r="O402" i="84"/>
  <c r="M402" i="84"/>
  <c r="K402" i="84"/>
  <c r="C402" i="84"/>
  <c r="R401" i="84"/>
  <c r="S401" i="84" s="1"/>
  <c r="O401" i="84"/>
  <c r="M401" i="84"/>
  <c r="K401" i="84"/>
  <c r="C401" i="84"/>
  <c r="R400" i="84"/>
  <c r="S400" i="84" s="1"/>
  <c r="O400" i="84"/>
  <c r="M400" i="84"/>
  <c r="K400" i="84"/>
  <c r="C400" i="84"/>
  <c r="R399" i="84"/>
  <c r="S399" i="84" s="1"/>
  <c r="O399" i="84"/>
  <c r="M399" i="84"/>
  <c r="K399" i="84"/>
  <c r="C399" i="84"/>
  <c r="R398" i="84"/>
  <c r="S398" i="84" s="1"/>
  <c r="O398" i="84"/>
  <c r="M398" i="84"/>
  <c r="K398" i="84"/>
  <c r="C398" i="84"/>
  <c r="R397" i="84"/>
  <c r="S397" i="84" s="1"/>
  <c r="O397" i="84"/>
  <c r="M397" i="84"/>
  <c r="K397" i="84"/>
  <c r="C397" i="84"/>
  <c r="R396" i="84"/>
  <c r="S396" i="84" s="1"/>
  <c r="O396" i="84"/>
  <c r="M396" i="84"/>
  <c r="K396" i="84"/>
  <c r="C396" i="84"/>
  <c r="R395" i="84"/>
  <c r="S395" i="84" s="1"/>
  <c r="O395" i="84"/>
  <c r="M395" i="84"/>
  <c r="K395" i="84"/>
  <c r="C395" i="84"/>
  <c r="R394" i="84"/>
  <c r="S394" i="84" s="1"/>
  <c r="O394" i="84"/>
  <c r="M394" i="84"/>
  <c r="K394" i="84"/>
  <c r="C394" i="84"/>
  <c r="R393" i="84"/>
  <c r="S393" i="84" s="1"/>
  <c r="O393" i="84"/>
  <c r="M393" i="84"/>
  <c r="K393" i="84"/>
  <c r="C393" i="84"/>
  <c r="R392" i="84"/>
  <c r="S392" i="84" s="1"/>
  <c r="O392" i="84"/>
  <c r="M392" i="84"/>
  <c r="K392" i="84"/>
  <c r="C392" i="84"/>
  <c r="R391" i="84"/>
  <c r="S391" i="84" s="1"/>
  <c r="O391" i="84"/>
  <c r="M391" i="84"/>
  <c r="K391" i="84"/>
  <c r="C391" i="84"/>
  <c r="R390" i="84"/>
  <c r="S390" i="84" s="1"/>
  <c r="O390" i="84"/>
  <c r="M390" i="84"/>
  <c r="K390" i="84"/>
  <c r="C390" i="84"/>
  <c r="R389" i="84"/>
  <c r="S389" i="84" s="1"/>
  <c r="O389" i="84"/>
  <c r="M389" i="84"/>
  <c r="K389" i="84"/>
  <c r="C389" i="84"/>
  <c r="R388" i="84"/>
  <c r="S388" i="84" s="1"/>
  <c r="O388" i="84"/>
  <c r="M388" i="84"/>
  <c r="K388" i="84"/>
  <c r="C388" i="84"/>
  <c r="R387" i="84"/>
  <c r="S387" i="84" s="1"/>
  <c r="O387" i="84"/>
  <c r="M387" i="84"/>
  <c r="K387" i="84"/>
  <c r="C387" i="84"/>
  <c r="R386" i="84"/>
  <c r="S386" i="84" s="1"/>
  <c r="O386" i="84"/>
  <c r="M386" i="84"/>
  <c r="K386" i="84"/>
  <c r="C386" i="84"/>
  <c r="R385" i="84"/>
  <c r="S385" i="84" s="1"/>
  <c r="O385" i="84"/>
  <c r="M385" i="84"/>
  <c r="K385" i="84"/>
  <c r="C385" i="84"/>
  <c r="R384" i="84"/>
  <c r="S384" i="84" s="1"/>
  <c r="O384" i="84"/>
  <c r="M384" i="84"/>
  <c r="K384" i="84"/>
  <c r="C384" i="84"/>
  <c r="R383" i="84"/>
  <c r="S383" i="84" s="1"/>
  <c r="O383" i="84"/>
  <c r="M383" i="84"/>
  <c r="K383" i="84"/>
  <c r="C383" i="84"/>
  <c r="R382" i="84"/>
  <c r="S382" i="84" s="1"/>
  <c r="O382" i="84"/>
  <c r="M382" i="84"/>
  <c r="K382" i="84"/>
  <c r="C382" i="84"/>
  <c r="R381" i="84"/>
  <c r="S381" i="84" s="1"/>
  <c r="O381" i="84"/>
  <c r="M381" i="84"/>
  <c r="K381" i="84"/>
  <c r="C381" i="84"/>
  <c r="R380" i="84"/>
  <c r="S380" i="84" s="1"/>
  <c r="O380" i="84"/>
  <c r="M380" i="84"/>
  <c r="K380" i="84"/>
  <c r="C380" i="84"/>
  <c r="R379" i="84"/>
  <c r="S379" i="84" s="1"/>
  <c r="O379" i="84"/>
  <c r="M379" i="84"/>
  <c r="K379" i="84"/>
  <c r="C379" i="84"/>
  <c r="R378" i="84"/>
  <c r="S378" i="84" s="1"/>
  <c r="O378" i="84"/>
  <c r="M378" i="84"/>
  <c r="K378" i="84"/>
  <c r="C378" i="84"/>
  <c r="R377" i="84"/>
  <c r="S377" i="84" s="1"/>
  <c r="O377" i="84"/>
  <c r="M377" i="84"/>
  <c r="K377" i="84"/>
  <c r="C377" i="84"/>
  <c r="R376" i="84"/>
  <c r="S376" i="84" s="1"/>
  <c r="O376" i="84"/>
  <c r="M376" i="84"/>
  <c r="K376" i="84"/>
  <c r="C376" i="84"/>
  <c r="R375" i="84"/>
  <c r="S375" i="84" s="1"/>
  <c r="O375" i="84"/>
  <c r="M375" i="84"/>
  <c r="K375" i="84"/>
  <c r="C375" i="84"/>
  <c r="R374" i="84"/>
  <c r="S374" i="84" s="1"/>
  <c r="O374" i="84"/>
  <c r="M374" i="84"/>
  <c r="K374" i="84"/>
  <c r="C374" i="84"/>
  <c r="R373" i="84"/>
  <c r="S373" i="84" s="1"/>
  <c r="O373" i="84"/>
  <c r="M373" i="84"/>
  <c r="K373" i="84"/>
  <c r="C373" i="84"/>
  <c r="R372" i="84"/>
  <c r="S372" i="84" s="1"/>
  <c r="O372" i="84"/>
  <c r="M372" i="84"/>
  <c r="K372" i="84"/>
  <c r="C372" i="84"/>
  <c r="R371" i="84"/>
  <c r="S371" i="84" s="1"/>
  <c r="O371" i="84"/>
  <c r="M371" i="84"/>
  <c r="K371" i="84"/>
  <c r="C371" i="84"/>
  <c r="R370" i="84"/>
  <c r="S370" i="84" s="1"/>
  <c r="O370" i="84"/>
  <c r="M370" i="84"/>
  <c r="K370" i="84"/>
  <c r="C370" i="84"/>
  <c r="R369" i="84"/>
  <c r="S369" i="84" s="1"/>
  <c r="O369" i="84"/>
  <c r="M369" i="84"/>
  <c r="K369" i="84"/>
  <c r="C369" i="84"/>
  <c r="R368" i="84"/>
  <c r="S368" i="84" s="1"/>
  <c r="O368" i="84"/>
  <c r="M368" i="84"/>
  <c r="K368" i="84"/>
  <c r="C368" i="84"/>
  <c r="R367" i="84"/>
  <c r="S367" i="84" s="1"/>
  <c r="O367" i="84"/>
  <c r="M367" i="84"/>
  <c r="K367" i="84"/>
  <c r="C367" i="84"/>
  <c r="R366" i="84"/>
  <c r="S366" i="84" s="1"/>
  <c r="O366" i="84"/>
  <c r="M366" i="84"/>
  <c r="K366" i="84"/>
  <c r="C366" i="84"/>
  <c r="R365" i="84"/>
  <c r="S365" i="84" s="1"/>
  <c r="O365" i="84"/>
  <c r="M365" i="84"/>
  <c r="K365" i="84"/>
  <c r="C365" i="84"/>
  <c r="R364" i="84"/>
  <c r="S364" i="84" s="1"/>
  <c r="O364" i="84"/>
  <c r="M364" i="84"/>
  <c r="K364" i="84"/>
  <c r="C364" i="84"/>
  <c r="R363" i="84"/>
  <c r="S363" i="84" s="1"/>
  <c r="O363" i="84"/>
  <c r="M363" i="84"/>
  <c r="K363" i="84"/>
  <c r="C363" i="84"/>
  <c r="R362" i="84"/>
  <c r="S362" i="84" s="1"/>
  <c r="O362" i="84"/>
  <c r="M362" i="84"/>
  <c r="K362" i="84"/>
  <c r="C362" i="84"/>
  <c r="R361" i="84"/>
  <c r="S361" i="84" s="1"/>
  <c r="O361" i="84"/>
  <c r="M361" i="84"/>
  <c r="K361" i="84"/>
  <c r="C361" i="84"/>
  <c r="R360" i="84"/>
  <c r="S360" i="84" s="1"/>
  <c r="O360" i="84"/>
  <c r="M360" i="84"/>
  <c r="K360" i="84"/>
  <c r="C360" i="84"/>
  <c r="R359" i="84"/>
  <c r="S359" i="84" s="1"/>
  <c r="O359" i="84"/>
  <c r="M359" i="84"/>
  <c r="K359" i="84"/>
  <c r="C359" i="84"/>
  <c r="R358" i="84"/>
  <c r="S358" i="84" s="1"/>
  <c r="O358" i="84"/>
  <c r="M358" i="84"/>
  <c r="K358" i="84"/>
  <c r="C358" i="84"/>
  <c r="R357" i="84"/>
  <c r="S357" i="84" s="1"/>
  <c r="O357" i="84"/>
  <c r="M357" i="84"/>
  <c r="K357" i="84"/>
  <c r="C357" i="84"/>
  <c r="R356" i="84"/>
  <c r="S356" i="84" s="1"/>
  <c r="O356" i="84"/>
  <c r="M356" i="84"/>
  <c r="K356" i="84"/>
  <c r="C356" i="84"/>
  <c r="R355" i="84"/>
  <c r="S355" i="84" s="1"/>
  <c r="O355" i="84"/>
  <c r="M355" i="84"/>
  <c r="K355" i="84"/>
  <c r="C355" i="84"/>
  <c r="R354" i="84"/>
  <c r="S354" i="84" s="1"/>
  <c r="O354" i="84"/>
  <c r="M354" i="84"/>
  <c r="K354" i="84"/>
  <c r="C354" i="84"/>
  <c r="R353" i="84"/>
  <c r="S353" i="84" s="1"/>
  <c r="O353" i="84"/>
  <c r="M353" i="84"/>
  <c r="K353" i="84"/>
  <c r="C353" i="84"/>
  <c r="R352" i="84"/>
  <c r="S352" i="84" s="1"/>
  <c r="O352" i="84"/>
  <c r="M352" i="84"/>
  <c r="K352" i="84"/>
  <c r="C352" i="84"/>
  <c r="R351" i="84"/>
  <c r="S351" i="84" s="1"/>
  <c r="O351" i="84"/>
  <c r="M351" i="84"/>
  <c r="K351" i="84"/>
  <c r="C351" i="84"/>
  <c r="R350" i="84"/>
  <c r="S350" i="84" s="1"/>
  <c r="O350" i="84"/>
  <c r="M350" i="84"/>
  <c r="K350" i="84"/>
  <c r="C350" i="84"/>
  <c r="R349" i="84"/>
  <c r="S349" i="84" s="1"/>
  <c r="O349" i="84"/>
  <c r="M349" i="84"/>
  <c r="K349" i="84"/>
  <c r="C349" i="84"/>
  <c r="R348" i="84"/>
  <c r="S348" i="84" s="1"/>
  <c r="O348" i="84"/>
  <c r="M348" i="84"/>
  <c r="K348" i="84"/>
  <c r="C348" i="84"/>
  <c r="R347" i="84"/>
  <c r="S347" i="84" s="1"/>
  <c r="O347" i="84"/>
  <c r="M347" i="84"/>
  <c r="K347" i="84"/>
  <c r="C347" i="84"/>
  <c r="R346" i="84"/>
  <c r="S346" i="84" s="1"/>
  <c r="O346" i="84"/>
  <c r="M346" i="84"/>
  <c r="K346" i="84"/>
  <c r="C346" i="84"/>
  <c r="R345" i="84"/>
  <c r="S345" i="84" s="1"/>
  <c r="O345" i="84"/>
  <c r="M345" i="84"/>
  <c r="K345" i="84"/>
  <c r="C345" i="84"/>
  <c r="R344" i="84"/>
  <c r="S344" i="84" s="1"/>
  <c r="O344" i="84"/>
  <c r="M344" i="84"/>
  <c r="K344" i="84"/>
  <c r="C344" i="84"/>
  <c r="R343" i="84"/>
  <c r="S343" i="84" s="1"/>
  <c r="O343" i="84"/>
  <c r="M343" i="84"/>
  <c r="K343" i="84"/>
  <c r="C343" i="84"/>
  <c r="R342" i="84"/>
  <c r="S342" i="84" s="1"/>
  <c r="O342" i="84"/>
  <c r="M342" i="84"/>
  <c r="K342" i="84"/>
  <c r="C342" i="84"/>
  <c r="R341" i="84"/>
  <c r="S341" i="84" s="1"/>
  <c r="O341" i="84"/>
  <c r="M341" i="84"/>
  <c r="K341" i="84"/>
  <c r="C341" i="84"/>
  <c r="R340" i="84"/>
  <c r="S340" i="84" s="1"/>
  <c r="O340" i="84"/>
  <c r="M340" i="84"/>
  <c r="K340" i="84"/>
  <c r="C340" i="84"/>
  <c r="R339" i="84"/>
  <c r="S339" i="84" s="1"/>
  <c r="O339" i="84"/>
  <c r="M339" i="84"/>
  <c r="K339" i="84"/>
  <c r="C339" i="84"/>
  <c r="R338" i="84"/>
  <c r="S338" i="84" s="1"/>
  <c r="O338" i="84"/>
  <c r="M338" i="84"/>
  <c r="K338" i="84"/>
  <c r="C338" i="84"/>
  <c r="R337" i="84"/>
  <c r="S337" i="84" s="1"/>
  <c r="O337" i="84"/>
  <c r="M337" i="84"/>
  <c r="K337" i="84"/>
  <c r="C337" i="84"/>
  <c r="R336" i="84"/>
  <c r="S336" i="84" s="1"/>
  <c r="O336" i="84"/>
  <c r="M336" i="84"/>
  <c r="K336" i="84"/>
  <c r="C336" i="84"/>
  <c r="R335" i="84"/>
  <c r="S335" i="84" s="1"/>
  <c r="O335" i="84"/>
  <c r="M335" i="84"/>
  <c r="K335" i="84"/>
  <c r="C335" i="84"/>
  <c r="R334" i="84"/>
  <c r="S334" i="84" s="1"/>
  <c r="O334" i="84"/>
  <c r="M334" i="84"/>
  <c r="K334" i="84"/>
  <c r="C334" i="84"/>
  <c r="R333" i="84"/>
  <c r="S333" i="84" s="1"/>
  <c r="O333" i="84"/>
  <c r="M333" i="84"/>
  <c r="K333" i="84"/>
  <c r="C333" i="84"/>
  <c r="R332" i="84"/>
  <c r="S332" i="84" s="1"/>
  <c r="O332" i="84"/>
  <c r="M332" i="84"/>
  <c r="K332" i="84"/>
  <c r="C332" i="84"/>
  <c r="R331" i="84"/>
  <c r="S331" i="84" s="1"/>
  <c r="O331" i="84"/>
  <c r="M331" i="84"/>
  <c r="K331" i="84"/>
  <c r="C331" i="84"/>
  <c r="R330" i="84"/>
  <c r="S330" i="84" s="1"/>
  <c r="O330" i="84"/>
  <c r="M330" i="84"/>
  <c r="K330" i="84"/>
  <c r="C330" i="84"/>
  <c r="R329" i="84"/>
  <c r="S329" i="84" s="1"/>
  <c r="O329" i="84"/>
  <c r="M329" i="84"/>
  <c r="K329" i="84"/>
  <c r="C329" i="84"/>
  <c r="R328" i="84"/>
  <c r="S328" i="84" s="1"/>
  <c r="O328" i="84"/>
  <c r="M328" i="84"/>
  <c r="K328" i="84"/>
  <c r="C328" i="84"/>
  <c r="R327" i="84"/>
  <c r="S327" i="84" s="1"/>
  <c r="O327" i="84"/>
  <c r="M327" i="84"/>
  <c r="K327" i="84"/>
  <c r="C327" i="84"/>
  <c r="R326" i="84"/>
  <c r="S326" i="84" s="1"/>
  <c r="O326" i="84"/>
  <c r="M326" i="84"/>
  <c r="K326" i="84"/>
  <c r="C326" i="84"/>
  <c r="R325" i="84"/>
  <c r="S325" i="84" s="1"/>
  <c r="O325" i="84"/>
  <c r="M325" i="84"/>
  <c r="K325" i="84"/>
  <c r="C325" i="84"/>
  <c r="R324" i="84"/>
  <c r="S324" i="84" s="1"/>
  <c r="O324" i="84"/>
  <c r="M324" i="84"/>
  <c r="K324" i="84"/>
  <c r="C324" i="84"/>
  <c r="R323" i="84"/>
  <c r="S323" i="84" s="1"/>
  <c r="O323" i="84"/>
  <c r="M323" i="84"/>
  <c r="K323" i="84"/>
  <c r="C323" i="84"/>
  <c r="R322" i="84"/>
  <c r="S322" i="84" s="1"/>
  <c r="O322" i="84"/>
  <c r="M322" i="84"/>
  <c r="K322" i="84"/>
  <c r="C322" i="84"/>
  <c r="R321" i="84"/>
  <c r="S321" i="84" s="1"/>
  <c r="O321" i="84"/>
  <c r="M321" i="84"/>
  <c r="K321" i="84"/>
  <c r="C321" i="84"/>
  <c r="R320" i="84"/>
  <c r="S320" i="84" s="1"/>
  <c r="O320" i="84"/>
  <c r="M320" i="84"/>
  <c r="K320" i="84"/>
  <c r="C320" i="84"/>
  <c r="R319" i="84"/>
  <c r="S319" i="84" s="1"/>
  <c r="O319" i="84"/>
  <c r="M319" i="84"/>
  <c r="K319" i="84"/>
  <c r="C319" i="84"/>
  <c r="R318" i="84"/>
  <c r="S318" i="84" s="1"/>
  <c r="O318" i="84"/>
  <c r="M318" i="84"/>
  <c r="K318" i="84"/>
  <c r="C318" i="84"/>
  <c r="R317" i="84"/>
  <c r="S317" i="84" s="1"/>
  <c r="O317" i="84"/>
  <c r="M317" i="84"/>
  <c r="K317" i="84"/>
  <c r="C317" i="84"/>
  <c r="R316" i="84"/>
  <c r="S316" i="84" s="1"/>
  <c r="O316" i="84"/>
  <c r="M316" i="84"/>
  <c r="K316" i="84"/>
  <c r="C316" i="84"/>
  <c r="R315" i="84"/>
  <c r="S315" i="84" s="1"/>
  <c r="O315" i="84"/>
  <c r="M315" i="84"/>
  <c r="K315" i="84"/>
  <c r="C315" i="84"/>
  <c r="R314" i="84"/>
  <c r="S314" i="84" s="1"/>
  <c r="O314" i="84"/>
  <c r="M314" i="84"/>
  <c r="K314" i="84"/>
  <c r="C314" i="84"/>
  <c r="R313" i="84"/>
  <c r="S313" i="84" s="1"/>
  <c r="O313" i="84"/>
  <c r="M313" i="84"/>
  <c r="K313" i="84"/>
  <c r="C313" i="84"/>
  <c r="R312" i="84"/>
  <c r="S312" i="84" s="1"/>
  <c r="O312" i="84"/>
  <c r="M312" i="84"/>
  <c r="K312" i="84"/>
  <c r="C312" i="84"/>
  <c r="R311" i="84"/>
  <c r="S311" i="84" s="1"/>
  <c r="O311" i="84"/>
  <c r="M311" i="84"/>
  <c r="K311" i="84"/>
  <c r="C311" i="84"/>
  <c r="R310" i="84"/>
  <c r="S310" i="84" s="1"/>
  <c r="O310" i="84"/>
  <c r="M310" i="84"/>
  <c r="K310" i="84"/>
  <c r="C310" i="84"/>
  <c r="R309" i="84"/>
  <c r="S309" i="84" s="1"/>
  <c r="O309" i="84"/>
  <c r="M309" i="84"/>
  <c r="K309" i="84"/>
  <c r="C309" i="84"/>
  <c r="R308" i="84"/>
  <c r="S308" i="84" s="1"/>
  <c r="O308" i="84"/>
  <c r="M308" i="84"/>
  <c r="K308" i="84"/>
  <c r="C308" i="84"/>
  <c r="R307" i="84"/>
  <c r="S307" i="84" s="1"/>
  <c r="O307" i="84"/>
  <c r="M307" i="84"/>
  <c r="K307" i="84"/>
  <c r="C307" i="84"/>
  <c r="R306" i="84"/>
  <c r="S306" i="84" s="1"/>
  <c r="O306" i="84"/>
  <c r="M306" i="84"/>
  <c r="K306" i="84"/>
  <c r="C306" i="84"/>
  <c r="R305" i="84"/>
  <c r="S305" i="84" s="1"/>
  <c r="O305" i="84"/>
  <c r="M305" i="84"/>
  <c r="K305" i="84"/>
  <c r="C305" i="84"/>
  <c r="R304" i="84"/>
  <c r="S304" i="84" s="1"/>
  <c r="O304" i="84"/>
  <c r="M304" i="84"/>
  <c r="K304" i="84"/>
  <c r="C304" i="84"/>
  <c r="R303" i="84"/>
  <c r="S303" i="84" s="1"/>
  <c r="O303" i="84"/>
  <c r="M303" i="84"/>
  <c r="K303" i="84"/>
  <c r="C303" i="84"/>
  <c r="R302" i="84"/>
  <c r="S302" i="84" s="1"/>
  <c r="O302" i="84"/>
  <c r="M302" i="84"/>
  <c r="K302" i="84"/>
  <c r="C302" i="84"/>
  <c r="R301" i="84"/>
  <c r="S301" i="84" s="1"/>
  <c r="O301" i="84"/>
  <c r="M301" i="84"/>
  <c r="K301" i="84"/>
  <c r="C301" i="84"/>
  <c r="R300" i="84"/>
  <c r="S300" i="84" s="1"/>
  <c r="O300" i="84"/>
  <c r="M300" i="84"/>
  <c r="K300" i="84"/>
  <c r="C300" i="84"/>
  <c r="R299" i="84"/>
  <c r="S299" i="84" s="1"/>
  <c r="O299" i="84"/>
  <c r="M299" i="84"/>
  <c r="K299" i="84"/>
  <c r="C299" i="84"/>
  <c r="R298" i="84"/>
  <c r="S298" i="84" s="1"/>
  <c r="O298" i="84"/>
  <c r="M298" i="84"/>
  <c r="K298" i="84"/>
  <c r="C298" i="84"/>
  <c r="R297" i="84"/>
  <c r="S297" i="84" s="1"/>
  <c r="O297" i="84"/>
  <c r="M297" i="84"/>
  <c r="K297" i="84"/>
  <c r="C297" i="84"/>
  <c r="R296" i="84"/>
  <c r="S296" i="84" s="1"/>
  <c r="O296" i="84"/>
  <c r="M296" i="84"/>
  <c r="K296" i="84"/>
  <c r="C296" i="84"/>
  <c r="R295" i="84"/>
  <c r="S295" i="84" s="1"/>
  <c r="O295" i="84"/>
  <c r="M295" i="84"/>
  <c r="K295" i="84"/>
  <c r="C295" i="84"/>
  <c r="R294" i="84"/>
  <c r="S294" i="84" s="1"/>
  <c r="O294" i="84"/>
  <c r="M294" i="84"/>
  <c r="K294" i="84"/>
  <c r="C294" i="84"/>
  <c r="R293" i="84"/>
  <c r="S293" i="84" s="1"/>
  <c r="O293" i="84"/>
  <c r="M293" i="84"/>
  <c r="K293" i="84"/>
  <c r="C293" i="84"/>
  <c r="R292" i="84"/>
  <c r="S292" i="84" s="1"/>
  <c r="O292" i="84"/>
  <c r="M292" i="84"/>
  <c r="K292" i="84"/>
  <c r="C292" i="84"/>
  <c r="R291" i="84"/>
  <c r="S291" i="84" s="1"/>
  <c r="O291" i="84"/>
  <c r="M291" i="84"/>
  <c r="K291" i="84"/>
  <c r="C291" i="84"/>
  <c r="R290" i="84"/>
  <c r="S290" i="84" s="1"/>
  <c r="O290" i="84"/>
  <c r="M290" i="84"/>
  <c r="K290" i="84"/>
  <c r="C290" i="84"/>
  <c r="R289" i="84"/>
  <c r="S289" i="84" s="1"/>
  <c r="O289" i="84"/>
  <c r="M289" i="84"/>
  <c r="K289" i="84"/>
  <c r="C289" i="84"/>
  <c r="R288" i="84"/>
  <c r="S288" i="84" s="1"/>
  <c r="O288" i="84"/>
  <c r="M288" i="84"/>
  <c r="K288" i="84"/>
  <c r="C288" i="84"/>
  <c r="R287" i="84"/>
  <c r="S287" i="84" s="1"/>
  <c r="O287" i="84"/>
  <c r="M287" i="84"/>
  <c r="K287" i="84"/>
  <c r="C287" i="84"/>
  <c r="R286" i="84"/>
  <c r="S286" i="84" s="1"/>
  <c r="O286" i="84"/>
  <c r="M286" i="84"/>
  <c r="K286" i="84"/>
  <c r="C286" i="84"/>
  <c r="R285" i="84"/>
  <c r="S285" i="84" s="1"/>
  <c r="O285" i="84"/>
  <c r="M285" i="84"/>
  <c r="K285" i="84"/>
  <c r="C285" i="84"/>
  <c r="R284" i="84"/>
  <c r="S284" i="84" s="1"/>
  <c r="O284" i="84"/>
  <c r="M284" i="84"/>
  <c r="K284" i="84"/>
  <c r="C284" i="84"/>
  <c r="R283" i="84"/>
  <c r="S283" i="84" s="1"/>
  <c r="O283" i="84"/>
  <c r="M283" i="84"/>
  <c r="K283" i="84"/>
  <c r="C283" i="84"/>
  <c r="R282" i="84"/>
  <c r="S282" i="84" s="1"/>
  <c r="O282" i="84"/>
  <c r="M282" i="84"/>
  <c r="K282" i="84"/>
  <c r="C282" i="84"/>
  <c r="R281" i="84"/>
  <c r="S281" i="84" s="1"/>
  <c r="O281" i="84"/>
  <c r="M281" i="84"/>
  <c r="K281" i="84"/>
  <c r="C281" i="84"/>
  <c r="R280" i="84"/>
  <c r="S280" i="84" s="1"/>
  <c r="O280" i="84"/>
  <c r="M280" i="84"/>
  <c r="K280" i="84"/>
  <c r="C280" i="84"/>
  <c r="R279" i="84"/>
  <c r="S279" i="84" s="1"/>
  <c r="O279" i="84"/>
  <c r="M279" i="84"/>
  <c r="K279" i="84"/>
  <c r="C279" i="84"/>
  <c r="R278" i="84"/>
  <c r="S278" i="84" s="1"/>
  <c r="O278" i="84"/>
  <c r="M278" i="84"/>
  <c r="K278" i="84"/>
  <c r="C278" i="84"/>
  <c r="R277" i="84"/>
  <c r="S277" i="84" s="1"/>
  <c r="O277" i="84"/>
  <c r="M277" i="84"/>
  <c r="K277" i="84"/>
  <c r="C277" i="84"/>
  <c r="R276" i="84"/>
  <c r="S276" i="84" s="1"/>
  <c r="O276" i="84"/>
  <c r="M276" i="84"/>
  <c r="K276" i="84"/>
  <c r="C276" i="84"/>
  <c r="R275" i="84"/>
  <c r="S275" i="84" s="1"/>
  <c r="O275" i="84"/>
  <c r="M275" i="84"/>
  <c r="K275" i="84"/>
  <c r="C275" i="84"/>
  <c r="R274" i="84"/>
  <c r="S274" i="84" s="1"/>
  <c r="O274" i="84"/>
  <c r="M274" i="84"/>
  <c r="K274" i="84"/>
  <c r="C274" i="84"/>
  <c r="R273" i="84"/>
  <c r="S273" i="84" s="1"/>
  <c r="O273" i="84"/>
  <c r="M273" i="84"/>
  <c r="K273" i="84"/>
  <c r="C273" i="84"/>
  <c r="R272" i="84"/>
  <c r="S272" i="84" s="1"/>
  <c r="O272" i="84"/>
  <c r="M272" i="84"/>
  <c r="K272" i="84"/>
  <c r="C272" i="84"/>
  <c r="R271" i="84"/>
  <c r="S271" i="84" s="1"/>
  <c r="O271" i="84"/>
  <c r="M271" i="84"/>
  <c r="K271" i="84"/>
  <c r="C271" i="84"/>
  <c r="R270" i="84"/>
  <c r="S270" i="84" s="1"/>
  <c r="O270" i="84"/>
  <c r="M270" i="84"/>
  <c r="K270" i="84"/>
  <c r="C270" i="84"/>
  <c r="R269" i="84"/>
  <c r="S269" i="84" s="1"/>
  <c r="O269" i="84"/>
  <c r="M269" i="84"/>
  <c r="K269" i="84"/>
  <c r="C269" i="84"/>
  <c r="R268" i="84"/>
  <c r="S268" i="84" s="1"/>
  <c r="Q268" i="84"/>
  <c r="O268" i="84"/>
  <c r="M268" i="84"/>
  <c r="K268" i="84"/>
  <c r="C268" i="84"/>
  <c r="R267" i="84"/>
  <c r="S267" i="84" s="1"/>
  <c r="Q267" i="84"/>
  <c r="O267" i="84"/>
  <c r="M267" i="84"/>
  <c r="K267" i="84"/>
  <c r="C267" i="84"/>
  <c r="R266" i="84"/>
  <c r="S266" i="84" s="1"/>
  <c r="Q266" i="84"/>
  <c r="O266" i="84"/>
  <c r="M266" i="84"/>
  <c r="K266" i="84"/>
  <c r="C266" i="84"/>
  <c r="R265" i="84"/>
  <c r="S265" i="84" s="1"/>
  <c r="Q265" i="84"/>
  <c r="O265" i="84"/>
  <c r="M265" i="84"/>
  <c r="K265" i="84"/>
  <c r="C265" i="84"/>
  <c r="R264" i="84"/>
  <c r="S264" i="84" s="1"/>
  <c r="Q264" i="84"/>
  <c r="O264" i="84"/>
  <c r="M264" i="84"/>
  <c r="K264" i="84"/>
  <c r="C264" i="84"/>
  <c r="R263" i="84"/>
  <c r="S263" i="84" s="1"/>
  <c r="Q263" i="84"/>
  <c r="O263" i="84"/>
  <c r="M263" i="84"/>
  <c r="K263" i="84"/>
  <c r="C263" i="84"/>
  <c r="R262" i="84"/>
  <c r="S262" i="84" s="1"/>
  <c r="Q262" i="84"/>
  <c r="O262" i="84"/>
  <c r="M262" i="84"/>
  <c r="K262" i="84"/>
  <c r="C262" i="84"/>
  <c r="R261" i="84"/>
  <c r="S261" i="84" s="1"/>
  <c r="Q261" i="84"/>
  <c r="O261" i="84"/>
  <c r="M261" i="84"/>
  <c r="K261" i="84"/>
  <c r="C261" i="84"/>
  <c r="R260" i="84"/>
  <c r="S260" i="84" s="1"/>
  <c r="Q260" i="84"/>
  <c r="O260" i="84"/>
  <c r="M260" i="84"/>
  <c r="K260" i="84"/>
  <c r="C260" i="84"/>
  <c r="R259" i="84"/>
  <c r="S259" i="84" s="1"/>
  <c r="Q259" i="84"/>
  <c r="O259" i="84"/>
  <c r="M259" i="84"/>
  <c r="K259" i="84"/>
  <c r="C259" i="84"/>
  <c r="R258" i="84"/>
  <c r="S258" i="84" s="1"/>
  <c r="Q258" i="84"/>
  <c r="O258" i="84"/>
  <c r="M258" i="84"/>
  <c r="K258" i="84"/>
  <c r="C258" i="84"/>
  <c r="R257" i="84"/>
  <c r="S257" i="84" s="1"/>
  <c r="Q257" i="84"/>
  <c r="O257" i="84"/>
  <c r="M257" i="84"/>
  <c r="K257" i="84"/>
  <c r="C257" i="84"/>
  <c r="R256" i="84"/>
  <c r="S256" i="84" s="1"/>
  <c r="Q256" i="84"/>
  <c r="O256" i="84"/>
  <c r="M256" i="84"/>
  <c r="K256" i="84"/>
  <c r="C256" i="84"/>
  <c r="R255" i="84"/>
  <c r="S255" i="84" s="1"/>
  <c r="Q255" i="84"/>
  <c r="O255" i="84"/>
  <c r="M255" i="84"/>
  <c r="K255" i="84"/>
  <c r="C255" i="84"/>
  <c r="R254" i="84"/>
  <c r="S254" i="84" s="1"/>
  <c r="Q254" i="84"/>
  <c r="O254" i="84"/>
  <c r="M254" i="84"/>
  <c r="K254" i="84"/>
  <c r="C254" i="84"/>
  <c r="R253" i="84"/>
  <c r="S253" i="84" s="1"/>
  <c r="Q253" i="84"/>
  <c r="O253" i="84"/>
  <c r="M253" i="84"/>
  <c r="K253" i="84"/>
  <c r="C253" i="84"/>
  <c r="R252" i="84"/>
  <c r="S252" i="84" s="1"/>
  <c r="Q252" i="84"/>
  <c r="O252" i="84"/>
  <c r="M252" i="84"/>
  <c r="K252" i="84"/>
  <c r="C252" i="84"/>
  <c r="R251" i="84"/>
  <c r="S251" i="84" s="1"/>
  <c r="Q251" i="84"/>
  <c r="O251" i="84"/>
  <c r="M251" i="84"/>
  <c r="K251" i="84"/>
  <c r="C251" i="84"/>
  <c r="R250" i="84"/>
  <c r="S250" i="84" s="1"/>
  <c r="Q250" i="84"/>
  <c r="O250" i="84"/>
  <c r="M250" i="84"/>
  <c r="K250" i="84"/>
  <c r="C250" i="84"/>
  <c r="R249" i="84"/>
  <c r="S249" i="84" s="1"/>
  <c r="Q249" i="84"/>
  <c r="O249" i="84"/>
  <c r="M249" i="84"/>
  <c r="K249" i="84"/>
  <c r="C249" i="84"/>
  <c r="R248" i="84"/>
  <c r="S248" i="84" s="1"/>
  <c r="Q248" i="84"/>
  <c r="O248" i="84"/>
  <c r="M248" i="84"/>
  <c r="K248" i="84"/>
  <c r="C248" i="84"/>
  <c r="R247" i="84"/>
  <c r="S247" i="84" s="1"/>
  <c r="Q247" i="84"/>
  <c r="O247" i="84"/>
  <c r="M247" i="84"/>
  <c r="K247" i="84"/>
  <c r="C247" i="84"/>
  <c r="R246" i="84"/>
  <c r="S246" i="84" s="1"/>
  <c r="Q246" i="84"/>
  <c r="O246" i="84"/>
  <c r="M246" i="84"/>
  <c r="K246" i="84"/>
  <c r="C246" i="84"/>
  <c r="R245" i="84"/>
  <c r="S245" i="84" s="1"/>
  <c r="Q245" i="84"/>
  <c r="O245" i="84"/>
  <c r="M245" i="84"/>
  <c r="K245" i="84"/>
  <c r="C245" i="84"/>
  <c r="R244" i="84"/>
  <c r="S244" i="84" s="1"/>
  <c r="Q244" i="84"/>
  <c r="O244" i="84"/>
  <c r="M244" i="84"/>
  <c r="K244" i="84"/>
  <c r="C244" i="84"/>
  <c r="R243" i="84"/>
  <c r="S243" i="84" s="1"/>
  <c r="Q243" i="84"/>
  <c r="O243" i="84"/>
  <c r="M243" i="84"/>
  <c r="K243" i="84"/>
  <c r="C243" i="84"/>
  <c r="R242" i="84"/>
  <c r="S242" i="84" s="1"/>
  <c r="Q242" i="84"/>
  <c r="O242" i="84"/>
  <c r="M242" i="84"/>
  <c r="K242" i="84"/>
  <c r="C242" i="84"/>
  <c r="R241" i="84"/>
  <c r="S241" i="84" s="1"/>
  <c r="Q241" i="84"/>
  <c r="O241" i="84"/>
  <c r="M241" i="84"/>
  <c r="K241" i="84"/>
  <c r="C241" i="84"/>
  <c r="R240" i="84"/>
  <c r="S240" i="84" s="1"/>
  <c r="Q240" i="84"/>
  <c r="O240" i="84"/>
  <c r="M240" i="84"/>
  <c r="K240" i="84"/>
  <c r="C240" i="84"/>
  <c r="R239" i="84"/>
  <c r="S239" i="84" s="1"/>
  <c r="Q239" i="84"/>
  <c r="O239" i="84"/>
  <c r="M239" i="84"/>
  <c r="K239" i="84"/>
  <c r="C239" i="84"/>
  <c r="R238" i="84"/>
  <c r="S238" i="84" s="1"/>
  <c r="Q238" i="84"/>
  <c r="O238" i="84"/>
  <c r="M238" i="84"/>
  <c r="K238" i="84"/>
  <c r="C238" i="84"/>
  <c r="R237" i="84"/>
  <c r="S237" i="84" s="1"/>
  <c r="Q237" i="84"/>
  <c r="O237" i="84"/>
  <c r="M237" i="84"/>
  <c r="K237" i="84"/>
  <c r="C237" i="84"/>
  <c r="R236" i="84"/>
  <c r="S236" i="84" s="1"/>
  <c r="Q236" i="84"/>
  <c r="O236" i="84"/>
  <c r="M236" i="84"/>
  <c r="K236" i="84"/>
  <c r="C236" i="84"/>
  <c r="R235" i="84"/>
  <c r="S235" i="84" s="1"/>
  <c r="Q235" i="84"/>
  <c r="O235" i="84"/>
  <c r="M235" i="84"/>
  <c r="K235" i="84"/>
  <c r="C235" i="84"/>
  <c r="R234" i="84"/>
  <c r="S234" i="84" s="1"/>
  <c r="Q234" i="84"/>
  <c r="O234" i="84"/>
  <c r="M234" i="84"/>
  <c r="K234" i="84"/>
  <c r="C234" i="84"/>
  <c r="R233" i="84"/>
  <c r="S233" i="84" s="1"/>
  <c r="Q233" i="84"/>
  <c r="O233" i="84"/>
  <c r="M233" i="84"/>
  <c r="K233" i="84"/>
  <c r="C233" i="84"/>
  <c r="R232" i="84"/>
  <c r="S232" i="84" s="1"/>
  <c r="Q232" i="84"/>
  <c r="O232" i="84"/>
  <c r="M232" i="84"/>
  <c r="K232" i="84"/>
  <c r="C232" i="84"/>
  <c r="R231" i="84"/>
  <c r="S231" i="84" s="1"/>
  <c r="Q231" i="84"/>
  <c r="O231" i="84"/>
  <c r="M231" i="84"/>
  <c r="K231" i="84"/>
  <c r="C231" i="84"/>
  <c r="R230" i="84"/>
  <c r="S230" i="84" s="1"/>
  <c r="Q230" i="84"/>
  <c r="O230" i="84"/>
  <c r="M230" i="84"/>
  <c r="K230" i="84"/>
  <c r="C230" i="84"/>
  <c r="R229" i="84"/>
  <c r="S229" i="84" s="1"/>
  <c r="Q229" i="84"/>
  <c r="O229" i="84"/>
  <c r="M229" i="84"/>
  <c r="K229" i="84"/>
  <c r="C229" i="84"/>
  <c r="R228" i="84"/>
  <c r="S228" i="84" s="1"/>
  <c r="Q228" i="84"/>
  <c r="O228" i="84"/>
  <c r="M228" i="84"/>
  <c r="K228" i="84"/>
  <c r="C228" i="84"/>
  <c r="R227" i="84"/>
  <c r="S227" i="84" s="1"/>
  <c r="Q227" i="84"/>
  <c r="O227" i="84"/>
  <c r="M227" i="84"/>
  <c r="K227" i="84"/>
  <c r="C227" i="84"/>
  <c r="R226" i="84"/>
  <c r="S226" i="84" s="1"/>
  <c r="Q226" i="84"/>
  <c r="O226" i="84"/>
  <c r="M226" i="84"/>
  <c r="K226" i="84"/>
  <c r="C226" i="84"/>
  <c r="R225" i="84"/>
  <c r="S225" i="84" s="1"/>
  <c r="Q225" i="84"/>
  <c r="O225" i="84"/>
  <c r="M225" i="84"/>
  <c r="K225" i="84"/>
  <c r="C225" i="84"/>
  <c r="R224" i="84"/>
  <c r="S224" i="84" s="1"/>
  <c r="Q224" i="84"/>
  <c r="O224" i="84"/>
  <c r="M224" i="84"/>
  <c r="K224" i="84"/>
  <c r="C224" i="84"/>
  <c r="R223" i="84"/>
  <c r="S223" i="84" s="1"/>
  <c r="Q223" i="84"/>
  <c r="O223" i="84"/>
  <c r="M223" i="84"/>
  <c r="K223" i="84"/>
  <c r="C223" i="84"/>
  <c r="R222" i="84"/>
  <c r="S222" i="84" s="1"/>
  <c r="Q222" i="84"/>
  <c r="O222" i="84"/>
  <c r="M222" i="84"/>
  <c r="K222" i="84"/>
  <c r="C222" i="84"/>
  <c r="R221" i="84"/>
  <c r="S221" i="84" s="1"/>
  <c r="Q221" i="84"/>
  <c r="O221" i="84"/>
  <c r="M221" i="84"/>
  <c r="K221" i="84"/>
  <c r="C221" i="84"/>
  <c r="R220" i="84"/>
  <c r="S220" i="84" s="1"/>
  <c r="Q220" i="84"/>
  <c r="O220" i="84"/>
  <c r="M220" i="84"/>
  <c r="K220" i="84"/>
  <c r="C220" i="84"/>
  <c r="R219" i="84"/>
  <c r="S219" i="84" s="1"/>
  <c r="Q219" i="84"/>
  <c r="O219" i="84"/>
  <c r="M219" i="84"/>
  <c r="K219" i="84"/>
  <c r="C219" i="84"/>
  <c r="R218" i="84"/>
  <c r="S218" i="84" s="1"/>
  <c r="Q218" i="84"/>
  <c r="O218" i="84"/>
  <c r="M218" i="84"/>
  <c r="K218" i="84"/>
  <c r="C218" i="84"/>
  <c r="R217" i="84"/>
  <c r="S217" i="84" s="1"/>
  <c r="Q217" i="84"/>
  <c r="O217" i="84"/>
  <c r="M217" i="84"/>
  <c r="K217" i="84"/>
  <c r="C217" i="84"/>
  <c r="R216" i="84"/>
  <c r="S216" i="84" s="1"/>
  <c r="Q216" i="84"/>
  <c r="O216" i="84"/>
  <c r="M216" i="84"/>
  <c r="K216" i="84"/>
  <c r="C216" i="84"/>
  <c r="R215" i="84"/>
  <c r="S215" i="84" s="1"/>
  <c r="Q215" i="84"/>
  <c r="O215" i="84"/>
  <c r="M215" i="84"/>
  <c r="K215" i="84"/>
  <c r="C215" i="84"/>
  <c r="R214" i="84"/>
  <c r="S214" i="84" s="1"/>
  <c r="Q214" i="84"/>
  <c r="O214" i="84"/>
  <c r="M214" i="84"/>
  <c r="K214" i="84"/>
  <c r="C214" i="84"/>
  <c r="R213" i="84"/>
  <c r="S213" i="84" s="1"/>
  <c r="Q213" i="84"/>
  <c r="O213" i="84"/>
  <c r="M213" i="84"/>
  <c r="K213" i="84"/>
  <c r="C213" i="84"/>
  <c r="R212" i="84"/>
  <c r="S212" i="84" s="1"/>
  <c r="Q212" i="84"/>
  <c r="O212" i="84"/>
  <c r="M212" i="84"/>
  <c r="K212" i="84"/>
  <c r="C212" i="84"/>
  <c r="R211" i="84"/>
  <c r="S211" i="84" s="1"/>
  <c r="Q211" i="84"/>
  <c r="O211" i="84"/>
  <c r="M211" i="84"/>
  <c r="K211" i="84"/>
  <c r="C211" i="84"/>
  <c r="R210" i="84"/>
  <c r="S210" i="84" s="1"/>
  <c r="Q210" i="84"/>
  <c r="O210" i="84"/>
  <c r="M210" i="84"/>
  <c r="K210" i="84"/>
  <c r="C210" i="84"/>
  <c r="R209" i="84"/>
  <c r="S209" i="84" s="1"/>
  <c r="Q209" i="84"/>
  <c r="O209" i="84"/>
  <c r="M209" i="84"/>
  <c r="K209" i="84"/>
  <c r="C209" i="84"/>
  <c r="R208" i="84"/>
  <c r="S208" i="84" s="1"/>
  <c r="Q208" i="84"/>
  <c r="O208" i="84"/>
  <c r="M208" i="84"/>
  <c r="K208" i="84"/>
  <c r="C208" i="84"/>
  <c r="R207" i="84"/>
  <c r="S207" i="84" s="1"/>
  <c r="Q207" i="84"/>
  <c r="O207" i="84"/>
  <c r="M207" i="84"/>
  <c r="K207" i="84"/>
  <c r="C207" i="84"/>
  <c r="R206" i="84"/>
  <c r="S206" i="84" s="1"/>
  <c r="Q206" i="84"/>
  <c r="O206" i="84"/>
  <c r="M206" i="84"/>
  <c r="K206" i="84"/>
  <c r="C206" i="84"/>
  <c r="R205" i="84"/>
  <c r="S205" i="84" s="1"/>
  <c r="Q205" i="84"/>
  <c r="O205" i="84"/>
  <c r="M205" i="84"/>
  <c r="K205" i="84"/>
  <c r="C205" i="84"/>
  <c r="R204" i="84"/>
  <c r="S204" i="84" s="1"/>
  <c r="Q204" i="84"/>
  <c r="O204" i="84"/>
  <c r="M204" i="84"/>
  <c r="K204" i="84"/>
  <c r="C204" i="84"/>
  <c r="R203" i="84"/>
  <c r="S203" i="84" s="1"/>
  <c r="Q203" i="84"/>
  <c r="O203" i="84"/>
  <c r="M203" i="84"/>
  <c r="K203" i="84"/>
  <c r="C203" i="84"/>
  <c r="R202" i="84"/>
  <c r="S202" i="84" s="1"/>
  <c r="Q202" i="84"/>
  <c r="O202" i="84"/>
  <c r="M202" i="84"/>
  <c r="K202" i="84"/>
  <c r="C202" i="84"/>
  <c r="R201" i="84"/>
  <c r="S201" i="84" s="1"/>
  <c r="Q201" i="84"/>
  <c r="O201" i="84"/>
  <c r="M201" i="84"/>
  <c r="K201" i="84"/>
  <c r="C201" i="84"/>
  <c r="R200" i="84"/>
  <c r="S200" i="84" s="1"/>
  <c r="Q200" i="84"/>
  <c r="O200" i="84"/>
  <c r="M200" i="84"/>
  <c r="K200" i="84"/>
  <c r="C200" i="84"/>
  <c r="R199" i="84"/>
  <c r="S199" i="84" s="1"/>
  <c r="Q199" i="84"/>
  <c r="O199" i="84"/>
  <c r="M199" i="84"/>
  <c r="K199" i="84"/>
  <c r="C199" i="84"/>
  <c r="R198" i="84"/>
  <c r="S198" i="84" s="1"/>
  <c r="Q198" i="84"/>
  <c r="O198" i="84"/>
  <c r="M198" i="84"/>
  <c r="K198" i="84"/>
  <c r="C198" i="84"/>
  <c r="R197" i="84"/>
  <c r="S197" i="84" s="1"/>
  <c r="Q197" i="84"/>
  <c r="O197" i="84"/>
  <c r="M197" i="84"/>
  <c r="K197" i="84"/>
  <c r="C197" i="84"/>
  <c r="R196" i="84"/>
  <c r="S196" i="84" s="1"/>
  <c r="Q196" i="84"/>
  <c r="O196" i="84"/>
  <c r="M196" i="84"/>
  <c r="K196" i="84"/>
  <c r="C196" i="84"/>
  <c r="R195" i="84"/>
  <c r="S195" i="84" s="1"/>
  <c r="Q195" i="84"/>
  <c r="O195" i="84"/>
  <c r="M195" i="84"/>
  <c r="K195" i="84"/>
  <c r="C195" i="84"/>
  <c r="R194" i="84"/>
  <c r="S194" i="84" s="1"/>
  <c r="Q194" i="84"/>
  <c r="O194" i="84"/>
  <c r="M194" i="84"/>
  <c r="K194" i="84"/>
  <c r="C194" i="84"/>
  <c r="R193" i="84"/>
  <c r="S193" i="84" s="1"/>
  <c r="Q193" i="84"/>
  <c r="O193" i="84"/>
  <c r="M193" i="84"/>
  <c r="K193" i="84"/>
  <c r="C193" i="84"/>
  <c r="R192" i="84"/>
  <c r="S192" i="84" s="1"/>
  <c r="Q192" i="84"/>
  <c r="O192" i="84"/>
  <c r="M192" i="84"/>
  <c r="K192" i="84"/>
  <c r="C192" i="84"/>
  <c r="R191" i="84"/>
  <c r="S191" i="84" s="1"/>
  <c r="Q191" i="84"/>
  <c r="O191" i="84"/>
  <c r="M191" i="84"/>
  <c r="K191" i="84"/>
  <c r="C191" i="84"/>
  <c r="R190" i="84"/>
  <c r="S190" i="84" s="1"/>
  <c r="Q190" i="84"/>
  <c r="O190" i="84"/>
  <c r="M190" i="84"/>
  <c r="K190" i="84"/>
  <c r="C190" i="84"/>
  <c r="R189" i="84"/>
  <c r="S189" i="84" s="1"/>
  <c r="Q189" i="84"/>
  <c r="O189" i="84"/>
  <c r="M189" i="84"/>
  <c r="K189" i="84"/>
  <c r="C189" i="84"/>
  <c r="R188" i="84"/>
  <c r="S188" i="84" s="1"/>
  <c r="Q188" i="84"/>
  <c r="O188" i="84"/>
  <c r="M188" i="84"/>
  <c r="K188" i="84"/>
  <c r="C188" i="84"/>
  <c r="R187" i="84"/>
  <c r="S187" i="84" s="1"/>
  <c r="Q187" i="84"/>
  <c r="O187" i="84"/>
  <c r="M187" i="84"/>
  <c r="K187" i="84"/>
  <c r="C187" i="84"/>
  <c r="R186" i="84"/>
  <c r="S186" i="84" s="1"/>
  <c r="Q186" i="84"/>
  <c r="O186" i="84"/>
  <c r="M186" i="84"/>
  <c r="K186" i="84"/>
  <c r="C186" i="84"/>
  <c r="R185" i="84"/>
  <c r="S185" i="84" s="1"/>
  <c r="Q185" i="84"/>
  <c r="O185" i="84"/>
  <c r="M185" i="84"/>
  <c r="K185" i="84"/>
  <c r="C185" i="84"/>
  <c r="R184" i="84"/>
  <c r="S184" i="84" s="1"/>
  <c r="Q184" i="84"/>
  <c r="O184" i="84"/>
  <c r="M184" i="84"/>
  <c r="K184" i="84"/>
  <c r="C184" i="84"/>
  <c r="R183" i="84"/>
  <c r="S183" i="84" s="1"/>
  <c r="Q183" i="84"/>
  <c r="O183" i="84"/>
  <c r="M183" i="84"/>
  <c r="K183" i="84"/>
  <c r="C183" i="84"/>
  <c r="R182" i="84"/>
  <c r="S182" i="84" s="1"/>
  <c r="Q182" i="84"/>
  <c r="O182" i="84"/>
  <c r="M182" i="84"/>
  <c r="K182" i="84"/>
  <c r="C182" i="84"/>
  <c r="R181" i="84"/>
  <c r="S181" i="84" s="1"/>
  <c r="Q181" i="84"/>
  <c r="O181" i="84"/>
  <c r="M181" i="84"/>
  <c r="K181" i="84"/>
  <c r="C181" i="84"/>
  <c r="R180" i="84"/>
  <c r="S180" i="84" s="1"/>
  <c r="Q180" i="84"/>
  <c r="O180" i="84"/>
  <c r="M180" i="84"/>
  <c r="K180" i="84"/>
  <c r="C180" i="84"/>
  <c r="R179" i="84"/>
  <c r="S179" i="84" s="1"/>
  <c r="Q179" i="84"/>
  <c r="O179" i="84"/>
  <c r="M179" i="84"/>
  <c r="K179" i="84"/>
  <c r="C179" i="84"/>
  <c r="R178" i="84"/>
  <c r="S178" i="84" s="1"/>
  <c r="Q178" i="84"/>
  <c r="O178" i="84"/>
  <c r="M178" i="84"/>
  <c r="K178" i="84"/>
  <c r="C178" i="84"/>
  <c r="R177" i="84"/>
  <c r="S177" i="84" s="1"/>
  <c r="Q177" i="84"/>
  <c r="O177" i="84"/>
  <c r="M177" i="84"/>
  <c r="K177" i="84"/>
  <c r="C177" i="84"/>
  <c r="R176" i="84"/>
  <c r="S176" i="84" s="1"/>
  <c r="Q176" i="84"/>
  <c r="O176" i="84"/>
  <c r="M176" i="84"/>
  <c r="K176" i="84"/>
  <c r="C176" i="84"/>
  <c r="R175" i="84"/>
  <c r="S175" i="84" s="1"/>
  <c r="Q175" i="84"/>
  <c r="O175" i="84"/>
  <c r="M175" i="84"/>
  <c r="K175" i="84"/>
  <c r="C175" i="84"/>
  <c r="R174" i="84"/>
  <c r="S174" i="84" s="1"/>
  <c r="Q174" i="84"/>
  <c r="O174" i="84"/>
  <c r="M174" i="84"/>
  <c r="K174" i="84"/>
  <c r="C174" i="84"/>
  <c r="R173" i="84"/>
  <c r="S173" i="84" s="1"/>
  <c r="Q173" i="84"/>
  <c r="O173" i="84"/>
  <c r="M173" i="84"/>
  <c r="K173" i="84"/>
  <c r="C173" i="84"/>
  <c r="R172" i="84"/>
  <c r="S172" i="84" s="1"/>
  <c r="Q172" i="84"/>
  <c r="O172" i="84"/>
  <c r="M172" i="84"/>
  <c r="K172" i="84"/>
  <c r="C172" i="84"/>
  <c r="R171" i="84"/>
  <c r="S171" i="84" s="1"/>
  <c r="Q171" i="84"/>
  <c r="O171" i="84"/>
  <c r="M171" i="84"/>
  <c r="K171" i="84"/>
  <c r="C171" i="84"/>
  <c r="R170" i="84"/>
  <c r="S170" i="84" s="1"/>
  <c r="Q170" i="84"/>
  <c r="O170" i="84"/>
  <c r="M170" i="84"/>
  <c r="K170" i="84"/>
  <c r="C170" i="84"/>
  <c r="R169" i="84"/>
  <c r="S169" i="84" s="1"/>
  <c r="Q169" i="84"/>
  <c r="O169" i="84"/>
  <c r="M169" i="84"/>
  <c r="K169" i="84"/>
  <c r="C169" i="84"/>
  <c r="R168" i="84"/>
  <c r="S168" i="84" s="1"/>
  <c r="Q168" i="84"/>
  <c r="O168" i="84"/>
  <c r="M168" i="84"/>
  <c r="K168" i="84"/>
  <c r="C168" i="84"/>
  <c r="R167" i="84"/>
  <c r="S167" i="84" s="1"/>
  <c r="Q167" i="84"/>
  <c r="O167" i="84"/>
  <c r="M167" i="84"/>
  <c r="K167" i="84"/>
  <c r="C167" i="84"/>
  <c r="R166" i="84"/>
  <c r="S166" i="84" s="1"/>
  <c r="Q166" i="84"/>
  <c r="O166" i="84"/>
  <c r="M166" i="84"/>
  <c r="K166" i="84"/>
  <c r="C166" i="84"/>
  <c r="R165" i="84"/>
  <c r="S165" i="84" s="1"/>
  <c r="Q165" i="84"/>
  <c r="O165" i="84"/>
  <c r="M165" i="84"/>
  <c r="K165" i="84"/>
  <c r="C165" i="84"/>
  <c r="R164" i="84"/>
  <c r="S164" i="84" s="1"/>
  <c r="Q164" i="84"/>
  <c r="O164" i="84"/>
  <c r="M164" i="84"/>
  <c r="K164" i="84"/>
  <c r="C164" i="84"/>
  <c r="R163" i="84"/>
  <c r="S163" i="84" s="1"/>
  <c r="Q163" i="84"/>
  <c r="O163" i="84"/>
  <c r="M163" i="84"/>
  <c r="K163" i="84"/>
  <c r="C163" i="84"/>
  <c r="R162" i="84"/>
  <c r="S162" i="84" s="1"/>
  <c r="Q162" i="84"/>
  <c r="O162" i="84"/>
  <c r="M162" i="84"/>
  <c r="K162" i="84"/>
  <c r="C162" i="84"/>
  <c r="R161" i="84"/>
  <c r="S161" i="84" s="1"/>
  <c r="Q161" i="84"/>
  <c r="O161" i="84"/>
  <c r="M161" i="84"/>
  <c r="K161" i="84"/>
  <c r="C161" i="84"/>
  <c r="R160" i="84"/>
  <c r="S160" i="84" s="1"/>
  <c r="Q160" i="84"/>
  <c r="O160" i="84"/>
  <c r="M160" i="84"/>
  <c r="K160" i="84"/>
  <c r="C160" i="84"/>
  <c r="R159" i="84"/>
  <c r="S159" i="84" s="1"/>
  <c r="Q159" i="84"/>
  <c r="O159" i="84"/>
  <c r="M159" i="84"/>
  <c r="K159" i="84"/>
  <c r="C159" i="84"/>
  <c r="R158" i="84"/>
  <c r="S158" i="84" s="1"/>
  <c r="Q158" i="84"/>
  <c r="O158" i="84"/>
  <c r="M158" i="84"/>
  <c r="K158" i="84"/>
  <c r="C158" i="84"/>
  <c r="R157" i="84"/>
  <c r="S157" i="84" s="1"/>
  <c r="Q157" i="84"/>
  <c r="O157" i="84"/>
  <c r="M157" i="84"/>
  <c r="K157" i="84"/>
  <c r="C157" i="84"/>
  <c r="R156" i="84"/>
  <c r="S156" i="84" s="1"/>
  <c r="Q156" i="84"/>
  <c r="O156" i="84"/>
  <c r="M156" i="84"/>
  <c r="K156" i="84"/>
  <c r="C156" i="84"/>
  <c r="R155" i="84"/>
  <c r="S155" i="84" s="1"/>
  <c r="Q155" i="84"/>
  <c r="O155" i="84"/>
  <c r="M155" i="84"/>
  <c r="K155" i="84"/>
  <c r="C155" i="84"/>
  <c r="R154" i="84"/>
  <c r="S154" i="84" s="1"/>
  <c r="Q154" i="84"/>
  <c r="O154" i="84"/>
  <c r="M154" i="84"/>
  <c r="K154" i="84"/>
  <c r="C154" i="84"/>
  <c r="R153" i="84"/>
  <c r="S153" i="84" s="1"/>
  <c r="Q153" i="84"/>
  <c r="O153" i="84"/>
  <c r="M153" i="84"/>
  <c r="K153" i="84"/>
  <c r="C153" i="84"/>
  <c r="R152" i="84"/>
  <c r="S152" i="84" s="1"/>
  <c r="Q152" i="84"/>
  <c r="O152" i="84"/>
  <c r="M152" i="84"/>
  <c r="K152" i="84"/>
  <c r="C152" i="84"/>
  <c r="R151" i="84"/>
  <c r="S151" i="84" s="1"/>
  <c r="Q151" i="84"/>
  <c r="O151" i="84"/>
  <c r="M151" i="84"/>
  <c r="K151" i="84"/>
  <c r="C151" i="84"/>
  <c r="R150" i="84"/>
  <c r="S150" i="84" s="1"/>
  <c r="Q150" i="84"/>
  <c r="O150" i="84"/>
  <c r="M150" i="84"/>
  <c r="K150" i="84"/>
  <c r="C150" i="84"/>
  <c r="R149" i="84"/>
  <c r="S149" i="84" s="1"/>
  <c r="Q149" i="84"/>
  <c r="O149" i="84"/>
  <c r="M149" i="84"/>
  <c r="K149" i="84"/>
  <c r="C149" i="84"/>
  <c r="R148" i="84"/>
  <c r="S148" i="84" s="1"/>
  <c r="Q148" i="84"/>
  <c r="O148" i="84"/>
  <c r="M148" i="84"/>
  <c r="K148" i="84"/>
  <c r="C148" i="84"/>
  <c r="R147" i="84"/>
  <c r="S147" i="84" s="1"/>
  <c r="Q147" i="84"/>
  <c r="O147" i="84"/>
  <c r="M147" i="84"/>
  <c r="K147" i="84"/>
  <c r="C147" i="84"/>
  <c r="R146" i="84"/>
  <c r="S146" i="84" s="1"/>
  <c r="Q146" i="84"/>
  <c r="O146" i="84"/>
  <c r="M146" i="84"/>
  <c r="K146" i="84"/>
  <c r="C146" i="84"/>
  <c r="R145" i="84"/>
  <c r="S145" i="84" s="1"/>
  <c r="Q145" i="84"/>
  <c r="O145" i="84"/>
  <c r="M145" i="84"/>
  <c r="K145" i="84"/>
  <c r="C145" i="84"/>
  <c r="R144" i="84"/>
  <c r="S144" i="84" s="1"/>
  <c r="Q144" i="84"/>
  <c r="O144" i="84"/>
  <c r="M144" i="84"/>
  <c r="K144" i="84"/>
  <c r="C144" i="84"/>
  <c r="R143" i="84"/>
  <c r="S143" i="84" s="1"/>
  <c r="Q143" i="84"/>
  <c r="O143" i="84"/>
  <c r="M143" i="84"/>
  <c r="K143" i="84"/>
  <c r="C143" i="84"/>
  <c r="R142" i="84"/>
  <c r="S142" i="84" s="1"/>
  <c r="Q142" i="84"/>
  <c r="O142" i="84"/>
  <c r="M142" i="84"/>
  <c r="K142" i="84"/>
  <c r="C142" i="84"/>
  <c r="R141" i="84"/>
  <c r="S141" i="84" s="1"/>
  <c r="Q141" i="84"/>
  <c r="O141" i="84"/>
  <c r="M141" i="84"/>
  <c r="K141" i="84"/>
  <c r="C141" i="84"/>
  <c r="R140" i="84"/>
  <c r="S140" i="84" s="1"/>
  <c r="Q140" i="84"/>
  <c r="O140" i="84"/>
  <c r="M140" i="84"/>
  <c r="K140" i="84"/>
  <c r="C140" i="84"/>
  <c r="R139" i="84"/>
  <c r="S139" i="84" s="1"/>
  <c r="Q139" i="84"/>
  <c r="O139" i="84"/>
  <c r="M139" i="84"/>
  <c r="K139" i="84"/>
  <c r="C139" i="84"/>
  <c r="R138" i="84"/>
  <c r="S138" i="84" s="1"/>
  <c r="Q138" i="84"/>
  <c r="O138" i="84"/>
  <c r="M138" i="84"/>
  <c r="K138" i="84"/>
  <c r="C138" i="84"/>
  <c r="R137" i="84"/>
  <c r="S137" i="84" s="1"/>
  <c r="Q137" i="84"/>
  <c r="O137" i="84"/>
  <c r="M137" i="84"/>
  <c r="K137" i="84"/>
  <c r="C137" i="84"/>
  <c r="R136" i="84"/>
  <c r="S136" i="84" s="1"/>
  <c r="Q136" i="84"/>
  <c r="O136" i="84"/>
  <c r="M136" i="84"/>
  <c r="K136" i="84"/>
  <c r="C136" i="84"/>
  <c r="R135" i="84"/>
  <c r="S135" i="84" s="1"/>
  <c r="Q135" i="84"/>
  <c r="O135" i="84"/>
  <c r="M135" i="84"/>
  <c r="K135" i="84"/>
  <c r="C135" i="84"/>
  <c r="R134" i="84"/>
  <c r="S134" i="84" s="1"/>
  <c r="Q134" i="84"/>
  <c r="O134" i="84"/>
  <c r="M134" i="84"/>
  <c r="K134" i="84"/>
  <c r="C134" i="84"/>
  <c r="R133" i="84"/>
  <c r="S133" i="84" s="1"/>
  <c r="Q133" i="84"/>
  <c r="O133" i="84"/>
  <c r="M133" i="84"/>
  <c r="K133" i="84"/>
  <c r="C133" i="84"/>
  <c r="R132" i="84"/>
  <c r="S132" i="84" s="1"/>
  <c r="Q132" i="84"/>
  <c r="O132" i="84"/>
  <c r="M132" i="84"/>
  <c r="K132" i="84"/>
  <c r="C132" i="84"/>
  <c r="R131" i="84"/>
  <c r="S131" i="84" s="1"/>
  <c r="Q131" i="84"/>
  <c r="O131" i="84"/>
  <c r="M131" i="84"/>
  <c r="K131" i="84"/>
  <c r="C131" i="84"/>
  <c r="R130" i="84"/>
  <c r="S130" i="84" s="1"/>
  <c r="Q130" i="84"/>
  <c r="O130" i="84"/>
  <c r="M130" i="84"/>
  <c r="K130" i="84"/>
  <c r="C130" i="84"/>
  <c r="R129" i="84"/>
  <c r="S129" i="84" s="1"/>
  <c r="Q129" i="84"/>
  <c r="O129" i="84"/>
  <c r="M129" i="84"/>
  <c r="K129" i="84"/>
  <c r="C129" i="84"/>
  <c r="R128" i="84"/>
  <c r="S128" i="84" s="1"/>
  <c r="Q128" i="84"/>
  <c r="O128" i="84"/>
  <c r="M128" i="84"/>
  <c r="K128" i="84"/>
  <c r="C128" i="84"/>
  <c r="R127" i="84"/>
  <c r="S127" i="84" s="1"/>
  <c r="Q127" i="84"/>
  <c r="O127" i="84"/>
  <c r="M127" i="84"/>
  <c r="K127" i="84"/>
  <c r="C127" i="84"/>
  <c r="R126" i="84"/>
  <c r="S126" i="84" s="1"/>
  <c r="Q126" i="84"/>
  <c r="O126" i="84"/>
  <c r="M126" i="84"/>
  <c r="K126" i="84"/>
  <c r="C126" i="84"/>
  <c r="R125" i="84"/>
  <c r="S125" i="84" s="1"/>
  <c r="Q125" i="84"/>
  <c r="O125" i="84"/>
  <c r="M125" i="84"/>
  <c r="K125" i="84"/>
  <c r="C125" i="84"/>
  <c r="R124" i="84"/>
  <c r="S124" i="84" s="1"/>
  <c r="Q124" i="84"/>
  <c r="O124" i="84"/>
  <c r="M124" i="84"/>
  <c r="K124" i="84"/>
  <c r="C124" i="84"/>
  <c r="R123" i="84"/>
  <c r="S123" i="84" s="1"/>
  <c r="Q123" i="84"/>
  <c r="O123" i="84"/>
  <c r="M123" i="84"/>
  <c r="K123" i="84"/>
  <c r="C123" i="84"/>
  <c r="R122" i="84"/>
  <c r="S122" i="84" s="1"/>
  <c r="Q122" i="84"/>
  <c r="O122" i="84"/>
  <c r="M122" i="84"/>
  <c r="K122" i="84"/>
  <c r="C122" i="84"/>
  <c r="R121" i="84"/>
  <c r="S121" i="84" s="1"/>
  <c r="Q121" i="84"/>
  <c r="O121" i="84"/>
  <c r="M121" i="84"/>
  <c r="K121" i="84"/>
  <c r="C121" i="84"/>
  <c r="R120" i="84"/>
  <c r="S120" i="84" s="1"/>
  <c r="Q120" i="84"/>
  <c r="O120" i="84"/>
  <c r="M120" i="84"/>
  <c r="K120" i="84"/>
  <c r="C120" i="84"/>
  <c r="R119" i="84"/>
  <c r="S119" i="84" s="1"/>
  <c r="Q119" i="84"/>
  <c r="O119" i="84"/>
  <c r="M119" i="84"/>
  <c r="K119" i="84"/>
  <c r="C119" i="84"/>
  <c r="R118" i="84"/>
  <c r="S118" i="84" s="1"/>
  <c r="Q118" i="84"/>
  <c r="O118" i="84"/>
  <c r="M118" i="84"/>
  <c r="K118" i="84"/>
  <c r="C118" i="84"/>
  <c r="R117" i="84"/>
  <c r="S117" i="84" s="1"/>
  <c r="Q117" i="84"/>
  <c r="O117" i="84"/>
  <c r="M117" i="84"/>
  <c r="K117" i="84"/>
  <c r="C117" i="84"/>
  <c r="R116" i="84"/>
  <c r="S116" i="84" s="1"/>
  <c r="Q116" i="84"/>
  <c r="O116" i="84"/>
  <c r="M116" i="84"/>
  <c r="K116" i="84"/>
  <c r="C116" i="84"/>
  <c r="R115" i="84"/>
  <c r="S115" i="84" s="1"/>
  <c r="Q115" i="84"/>
  <c r="O115" i="84"/>
  <c r="M115" i="84"/>
  <c r="K115" i="84"/>
  <c r="C115" i="84"/>
  <c r="R114" i="84"/>
  <c r="S114" i="84" s="1"/>
  <c r="Q114" i="84"/>
  <c r="O114" i="84"/>
  <c r="M114" i="84"/>
  <c r="K114" i="84"/>
  <c r="C114" i="84"/>
  <c r="R113" i="84"/>
  <c r="S113" i="84" s="1"/>
  <c r="Q113" i="84"/>
  <c r="O113" i="84"/>
  <c r="M113" i="84"/>
  <c r="K113" i="84"/>
  <c r="C113" i="84"/>
  <c r="R112" i="84"/>
  <c r="S112" i="84" s="1"/>
  <c r="Q112" i="84"/>
  <c r="O112" i="84"/>
  <c r="M112" i="84"/>
  <c r="K112" i="84"/>
  <c r="C112" i="84"/>
  <c r="R111" i="84"/>
  <c r="S111" i="84" s="1"/>
  <c r="Q111" i="84"/>
  <c r="O111" i="84"/>
  <c r="M111" i="84"/>
  <c r="K111" i="84"/>
  <c r="C111" i="84"/>
  <c r="R110" i="84"/>
  <c r="S110" i="84" s="1"/>
  <c r="Q110" i="84"/>
  <c r="O110" i="84"/>
  <c r="M110" i="84"/>
  <c r="K110" i="84"/>
  <c r="C110" i="84"/>
  <c r="R109" i="84"/>
  <c r="S109" i="84" s="1"/>
  <c r="Q109" i="84"/>
  <c r="O109" i="84"/>
  <c r="M109" i="84"/>
  <c r="K109" i="84"/>
  <c r="C109" i="84"/>
  <c r="R108" i="84"/>
  <c r="S108" i="84" s="1"/>
  <c r="Q108" i="84"/>
  <c r="O108" i="84"/>
  <c r="M108" i="84"/>
  <c r="K108" i="84"/>
  <c r="C108" i="84"/>
  <c r="R107" i="84"/>
  <c r="S107" i="84" s="1"/>
  <c r="Q107" i="84"/>
  <c r="O107" i="84"/>
  <c r="M107" i="84"/>
  <c r="K107" i="84"/>
  <c r="C107" i="84"/>
  <c r="R106" i="84"/>
  <c r="S106" i="84" s="1"/>
  <c r="Q106" i="84"/>
  <c r="O106" i="84"/>
  <c r="M106" i="84"/>
  <c r="K106" i="84"/>
  <c r="C106" i="84"/>
  <c r="R105" i="84"/>
  <c r="S105" i="84" s="1"/>
  <c r="Q105" i="84"/>
  <c r="O105" i="84"/>
  <c r="M105" i="84"/>
  <c r="K105" i="84"/>
  <c r="C105" i="84"/>
  <c r="R104" i="84"/>
  <c r="S104" i="84" s="1"/>
  <c r="Q104" i="84"/>
  <c r="O104" i="84"/>
  <c r="M104" i="84"/>
  <c r="K104" i="84"/>
  <c r="C104" i="84"/>
  <c r="R103" i="84"/>
  <c r="S103" i="84" s="1"/>
  <c r="Q103" i="84"/>
  <c r="O103" i="84"/>
  <c r="M103" i="84"/>
  <c r="K103" i="84"/>
  <c r="C103" i="84"/>
  <c r="R102" i="84"/>
  <c r="S102" i="84" s="1"/>
  <c r="Q102" i="84"/>
  <c r="O102" i="84"/>
  <c r="M102" i="84"/>
  <c r="K102" i="84"/>
  <c r="C102" i="84"/>
  <c r="R101" i="84"/>
  <c r="S101" i="84" s="1"/>
  <c r="Q101" i="84"/>
  <c r="O101" i="84"/>
  <c r="M101" i="84"/>
  <c r="K101" i="84"/>
  <c r="C101" i="84"/>
  <c r="R100" i="84"/>
  <c r="S100" i="84" s="1"/>
  <c r="Q100" i="84"/>
  <c r="O100" i="84"/>
  <c r="M100" i="84"/>
  <c r="K100" i="84"/>
  <c r="C100" i="84"/>
  <c r="R99" i="84"/>
  <c r="S99" i="84" s="1"/>
  <c r="Q99" i="84"/>
  <c r="O99" i="84"/>
  <c r="M99" i="84"/>
  <c r="K99" i="84"/>
  <c r="C99" i="84"/>
  <c r="R98" i="84"/>
  <c r="S98" i="84" s="1"/>
  <c r="Q98" i="84"/>
  <c r="O98" i="84"/>
  <c r="M98" i="84"/>
  <c r="K98" i="84"/>
  <c r="C98" i="84"/>
  <c r="R97" i="84"/>
  <c r="S97" i="84" s="1"/>
  <c r="Q97" i="84"/>
  <c r="O97" i="84"/>
  <c r="M97" i="84"/>
  <c r="K97" i="84"/>
  <c r="C97" i="84"/>
  <c r="R96" i="84"/>
  <c r="S96" i="84" s="1"/>
  <c r="Q96" i="84"/>
  <c r="O96" i="84"/>
  <c r="M96" i="84"/>
  <c r="K96" i="84"/>
  <c r="C96" i="84"/>
  <c r="R95" i="84"/>
  <c r="S95" i="84" s="1"/>
  <c r="Q95" i="84"/>
  <c r="O95" i="84"/>
  <c r="M95" i="84"/>
  <c r="K95" i="84"/>
  <c r="C95" i="84"/>
  <c r="R94" i="84"/>
  <c r="S94" i="84" s="1"/>
  <c r="Q94" i="84"/>
  <c r="O94" i="84"/>
  <c r="M94" i="84"/>
  <c r="K94" i="84"/>
  <c r="C94" i="84"/>
  <c r="R93" i="84"/>
  <c r="S93" i="84" s="1"/>
  <c r="Q93" i="84"/>
  <c r="O93" i="84"/>
  <c r="M93" i="84"/>
  <c r="K93" i="84"/>
  <c r="C93" i="84"/>
  <c r="R92" i="84"/>
  <c r="S92" i="84" s="1"/>
  <c r="Q92" i="84"/>
  <c r="O92" i="84"/>
  <c r="M92" i="84"/>
  <c r="K92" i="84"/>
  <c r="C92" i="84"/>
  <c r="R91" i="84"/>
  <c r="S91" i="84" s="1"/>
  <c r="Q91" i="84"/>
  <c r="O91" i="84"/>
  <c r="M91" i="84"/>
  <c r="K91" i="84"/>
  <c r="C91" i="84"/>
  <c r="R90" i="84"/>
  <c r="S90" i="84" s="1"/>
  <c r="Q90" i="84"/>
  <c r="O90" i="84"/>
  <c r="M90" i="84"/>
  <c r="K90" i="84"/>
  <c r="C90" i="84"/>
  <c r="R89" i="84"/>
  <c r="S89" i="84" s="1"/>
  <c r="Q89" i="84"/>
  <c r="O89" i="84"/>
  <c r="M89" i="84"/>
  <c r="K89" i="84"/>
  <c r="C89" i="84"/>
  <c r="R88" i="84"/>
  <c r="S88" i="84" s="1"/>
  <c r="Q88" i="84"/>
  <c r="O88" i="84"/>
  <c r="M88" i="84"/>
  <c r="K88" i="84"/>
  <c r="C88" i="84"/>
  <c r="R87" i="84"/>
  <c r="S87" i="84" s="1"/>
  <c r="Q87" i="84"/>
  <c r="O87" i="84"/>
  <c r="M87" i="84"/>
  <c r="K87" i="84"/>
  <c r="C87" i="84"/>
  <c r="R86" i="84"/>
  <c r="S86" i="84" s="1"/>
  <c r="Q86" i="84"/>
  <c r="O86" i="84"/>
  <c r="M86" i="84"/>
  <c r="K86" i="84"/>
  <c r="C86" i="84"/>
  <c r="R85" i="84"/>
  <c r="S85" i="84" s="1"/>
  <c r="Q85" i="84"/>
  <c r="O85" i="84"/>
  <c r="M85" i="84"/>
  <c r="K85" i="84"/>
  <c r="C85" i="84"/>
  <c r="R84" i="84"/>
  <c r="S84" i="84" s="1"/>
  <c r="Q84" i="84"/>
  <c r="O84" i="84"/>
  <c r="M84" i="84"/>
  <c r="K84" i="84"/>
  <c r="C84" i="84"/>
  <c r="R83" i="84"/>
  <c r="S83" i="84" s="1"/>
  <c r="Q83" i="84"/>
  <c r="O83" i="84"/>
  <c r="M83" i="84"/>
  <c r="K83" i="84"/>
  <c r="C83" i="84"/>
  <c r="R82" i="84"/>
  <c r="S82" i="84" s="1"/>
  <c r="Q82" i="84"/>
  <c r="O82" i="84"/>
  <c r="M82" i="84"/>
  <c r="K82" i="84"/>
  <c r="C82" i="84"/>
  <c r="R81" i="84"/>
  <c r="S81" i="84" s="1"/>
  <c r="Q81" i="84"/>
  <c r="O81" i="84"/>
  <c r="M81" i="84"/>
  <c r="K81" i="84"/>
  <c r="C81" i="84"/>
  <c r="R80" i="84"/>
  <c r="S80" i="84" s="1"/>
  <c r="Q80" i="84"/>
  <c r="O80" i="84"/>
  <c r="M80" i="84"/>
  <c r="K80" i="84"/>
  <c r="C80" i="84"/>
  <c r="R79" i="84"/>
  <c r="S79" i="84" s="1"/>
  <c r="Q79" i="84"/>
  <c r="O79" i="84"/>
  <c r="M79" i="84"/>
  <c r="K79" i="84"/>
  <c r="C79" i="84"/>
  <c r="R78" i="84"/>
  <c r="S78" i="84" s="1"/>
  <c r="Q78" i="84"/>
  <c r="O78" i="84"/>
  <c r="M78" i="84"/>
  <c r="K78" i="84"/>
  <c r="C78" i="84"/>
  <c r="R77" i="84"/>
  <c r="S77" i="84" s="1"/>
  <c r="Q77" i="84"/>
  <c r="O77" i="84"/>
  <c r="M77" i="84"/>
  <c r="K77" i="84"/>
  <c r="C77" i="84"/>
  <c r="R76" i="84"/>
  <c r="S76" i="84" s="1"/>
  <c r="Q76" i="84"/>
  <c r="O76" i="84"/>
  <c r="M76" i="84"/>
  <c r="K76" i="84"/>
  <c r="C76" i="84"/>
  <c r="R75" i="84"/>
  <c r="S75" i="84" s="1"/>
  <c r="Q75" i="84"/>
  <c r="O75" i="84"/>
  <c r="M75" i="84"/>
  <c r="K75" i="84"/>
  <c r="C75" i="84"/>
  <c r="R74" i="84"/>
  <c r="S74" i="84" s="1"/>
  <c r="Q74" i="84"/>
  <c r="O74" i="84"/>
  <c r="M74" i="84"/>
  <c r="K74" i="84"/>
  <c r="C74" i="84"/>
  <c r="R73" i="84"/>
  <c r="S73" i="84" s="1"/>
  <c r="Q73" i="84"/>
  <c r="O73" i="84"/>
  <c r="M73" i="84"/>
  <c r="K73" i="84"/>
  <c r="E73" i="84"/>
  <c r="C73" i="84"/>
  <c r="R72" i="84"/>
  <c r="S72" i="84" s="1"/>
  <c r="Q72" i="84"/>
  <c r="O72" i="84"/>
  <c r="M72" i="84"/>
  <c r="K72" i="84"/>
  <c r="C72" i="84"/>
  <c r="R71" i="84"/>
  <c r="S71" i="84" s="1"/>
  <c r="Q71" i="84"/>
  <c r="O71" i="84"/>
  <c r="M71" i="84"/>
  <c r="K71" i="84"/>
  <c r="C71" i="84"/>
  <c r="R70" i="84"/>
  <c r="S70" i="84" s="1"/>
  <c r="Q70" i="84"/>
  <c r="O70" i="84"/>
  <c r="M70" i="84"/>
  <c r="K70" i="84"/>
  <c r="C70" i="84"/>
  <c r="R69" i="84"/>
  <c r="S69" i="84" s="1"/>
  <c r="Q69" i="84"/>
  <c r="O69" i="84"/>
  <c r="M69" i="84"/>
  <c r="K69" i="84"/>
  <c r="C69" i="84"/>
  <c r="R68" i="84"/>
  <c r="S68" i="84" s="1"/>
  <c r="Q68" i="84"/>
  <c r="O68" i="84"/>
  <c r="M68" i="84"/>
  <c r="K68" i="84"/>
  <c r="C68" i="84"/>
  <c r="R67" i="84"/>
  <c r="S67" i="84" s="1"/>
  <c r="Q67" i="84"/>
  <c r="O67" i="84"/>
  <c r="M67" i="84"/>
  <c r="K67" i="84"/>
  <c r="C67" i="84"/>
  <c r="R66" i="84"/>
  <c r="S66" i="84" s="1"/>
  <c r="Q66" i="84"/>
  <c r="O66" i="84"/>
  <c r="M66" i="84"/>
  <c r="K66" i="84"/>
  <c r="C66" i="84"/>
  <c r="R65" i="84"/>
  <c r="S65" i="84" s="1"/>
  <c r="Q65" i="84"/>
  <c r="O65" i="84"/>
  <c r="M65" i="84"/>
  <c r="K65" i="84"/>
  <c r="E65" i="84"/>
  <c r="C65" i="84"/>
  <c r="R64" i="84"/>
  <c r="S64" i="84" s="1"/>
  <c r="Q64" i="84"/>
  <c r="O64" i="84"/>
  <c r="M64" i="84"/>
  <c r="K64" i="84"/>
  <c r="C64" i="84"/>
  <c r="R63" i="84"/>
  <c r="S63" i="84" s="1"/>
  <c r="Q63" i="84"/>
  <c r="O63" i="84"/>
  <c r="M63" i="84"/>
  <c r="K63" i="84"/>
  <c r="C63" i="84"/>
  <c r="R62" i="84"/>
  <c r="S62" i="84" s="1"/>
  <c r="Q62" i="84"/>
  <c r="O62" i="84"/>
  <c r="M62" i="84"/>
  <c r="K62" i="84"/>
  <c r="C62" i="84"/>
  <c r="R61" i="84"/>
  <c r="S61" i="84" s="1"/>
  <c r="Q61" i="84"/>
  <c r="O61" i="84"/>
  <c r="M61" i="84"/>
  <c r="K61" i="84"/>
  <c r="C61" i="84"/>
  <c r="R60" i="84"/>
  <c r="S60" i="84" s="1"/>
  <c r="Q60" i="84"/>
  <c r="O60" i="84"/>
  <c r="M60" i="84"/>
  <c r="K60" i="84"/>
  <c r="C60" i="84"/>
  <c r="R59" i="84"/>
  <c r="S59" i="84" s="1"/>
  <c r="Q59" i="84"/>
  <c r="O59" i="84"/>
  <c r="M59" i="84"/>
  <c r="K59" i="84"/>
  <c r="C59" i="84"/>
  <c r="R58" i="84"/>
  <c r="S58" i="84" s="1"/>
  <c r="Q58" i="84"/>
  <c r="O58" i="84"/>
  <c r="M58" i="84"/>
  <c r="K58" i="84"/>
  <c r="C58" i="84"/>
  <c r="R57" i="84"/>
  <c r="S57" i="84" s="1"/>
  <c r="Q57" i="84"/>
  <c r="O57" i="84"/>
  <c r="M57" i="84"/>
  <c r="K57" i="84"/>
  <c r="E57" i="84"/>
  <c r="C57" i="84"/>
  <c r="R56" i="84"/>
  <c r="S56" i="84" s="1"/>
  <c r="Q56" i="84"/>
  <c r="O56" i="84"/>
  <c r="M56" i="84"/>
  <c r="K56" i="84"/>
  <c r="C56" i="84"/>
  <c r="R55" i="84"/>
  <c r="S55" i="84" s="1"/>
  <c r="Q55" i="84"/>
  <c r="O55" i="84"/>
  <c r="M55" i="84"/>
  <c r="K55" i="84"/>
  <c r="I55" i="84"/>
  <c r="C55" i="84"/>
  <c r="R54" i="84"/>
  <c r="S54" i="84" s="1"/>
  <c r="Q54" i="84"/>
  <c r="O54" i="84"/>
  <c r="M54" i="84"/>
  <c r="K54" i="84"/>
  <c r="C54" i="84"/>
  <c r="R53" i="84"/>
  <c r="S53" i="84" s="1"/>
  <c r="Q53" i="84"/>
  <c r="O53" i="84"/>
  <c r="M53" i="84"/>
  <c r="K53" i="84"/>
  <c r="C53" i="84"/>
  <c r="R52" i="84"/>
  <c r="S52" i="84" s="1"/>
  <c r="Q52" i="84"/>
  <c r="O52" i="84"/>
  <c r="M52" i="84"/>
  <c r="K52" i="84"/>
  <c r="C52" i="84"/>
  <c r="R51" i="84"/>
  <c r="S51" i="84" s="1"/>
  <c r="Q51" i="84"/>
  <c r="O51" i="84"/>
  <c r="M51" i="84"/>
  <c r="K51" i="84"/>
  <c r="C51" i="84"/>
  <c r="R50" i="84"/>
  <c r="S50" i="84" s="1"/>
  <c r="Q50" i="84"/>
  <c r="O50" i="84"/>
  <c r="M50" i="84"/>
  <c r="K50" i="84"/>
  <c r="C50" i="84"/>
  <c r="R49" i="84"/>
  <c r="S49" i="84" s="1"/>
  <c r="Q49" i="84"/>
  <c r="O49" i="84"/>
  <c r="M49" i="84"/>
  <c r="K49" i="84"/>
  <c r="C49" i="84"/>
  <c r="R48" i="84"/>
  <c r="S48" i="84" s="1"/>
  <c r="Q48" i="84"/>
  <c r="O48" i="84"/>
  <c r="M48" i="84"/>
  <c r="K48" i="84"/>
  <c r="E48" i="84"/>
  <c r="C48" i="84"/>
  <c r="R47" i="84"/>
  <c r="S47" i="84" s="1"/>
  <c r="Q47" i="84"/>
  <c r="O47" i="84"/>
  <c r="M47" i="84"/>
  <c r="K47" i="84"/>
  <c r="C47" i="84"/>
  <c r="R46" i="84"/>
  <c r="S46" i="84" s="1"/>
  <c r="Q46" i="84"/>
  <c r="O46" i="84"/>
  <c r="M46" i="84"/>
  <c r="K46" i="84"/>
  <c r="C46" i="84"/>
  <c r="R45" i="84"/>
  <c r="S45" i="84" s="1"/>
  <c r="Q45" i="84"/>
  <c r="O45" i="84"/>
  <c r="M45" i="84"/>
  <c r="K45" i="84"/>
  <c r="E45" i="84"/>
  <c r="C45" i="84"/>
  <c r="R44" i="84"/>
  <c r="S44" i="84" s="1"/>
  <c r="Q44" i="84"/>
  <c r="O44" i="84"/>
  <c r="M44" i="84"/>
  <c r="K44" i="84"/>
  <c r="C44" i="84"/>
  <c r="R43" i="84"/>
  <c r="S43" i="84" s="1"/>
  <c r="Q43" i="84"/>
  <c r="O43" i="84"/>
  <c r="M43" i="84"/>
  <c r="K43" i="84"/>
  <c r="C43" i="84"/>
  <c r="Q42" i="84"/>
  <c r="O42" i="84"/>
  <c r="M42" i="84"/>
  <c r="K42" i="84"/>
  <c r="C42" i="84"/>
  <c r="Q41" i="84"/>
  <c r="O41" i="84"/>
  <c r="M41" i="84"/>
  <c r="K41" i="84"/>
  <c r="C41" i="84"/>
  <c r="Q40" i="84"/>
  <c r="O40" i="84"/>
  <c r="M40" i="84"/>
  <c r="K40" i="84"/>
  <c r="C40" i="84"/>
  <c r="Q39" i="84"/>
  <c r="O39" i="84"/>
  <c r="M39" i="84"/>
  <c r="K39" i="84"/>
  <c r="C39" i="84"/>
  <c r="Q38" i="84"/>
  <c r="O38" i="84"/>
  <c r="M38" i="84"/>
  <c r="K38" i="84"/>
  <c r="C38" i="84"/>
  <c r="Q37" i="84"/>
  <c r="O37" i="84"/>
  <c r="M37" i="84"/>
  <c r="K37" i="84"/>
  <c r="C37" i="84"/>
  <c r="Q36" i="84"/>
  <c r="O36" i="84"/>
  <c r="M36" i="84"/>
  <c r="K36" i="84"/>
  <c r="C36" i="84"/>
  <c r="Q35" i="84"/>
  <c r="O35" i="84"/>
  <c r="M35" i="84"/>
  <c r="K35" i="84"/>
  <c r="C35" i="84"/>
  <c r="Q34" i="84"/>
  <c r="O34" i="84"/>
  <c r="M34" i="84"/>
  <c r="K34" i="84"/>
  <c r="C34" i="84"/>
  <c r="Q33" i="84"/>
  <c r="O33" i="84"/>
  <c r="M33" i="84"/>
  <c r="K33" i="84"/>
  <c r="C33" i="84"/>
  <c r="Q32" i="84"/>
  <c r="O32" i="84"/>
  <c r="M32" i="84"/>
  <c r="K32" i="84"/>
  <c r="C32" i="84"/>
  <c r="O31" i="84"/>
  <c r="M31" i="84"/>
  <c r="K31" i="84"/>
  <c r="O30" i="84"/>
  <c r="M30" i="84"/>
  <c r="K30" i="84"/>
  <c r="O29" i="84"/>
  <c r="M29" i="84"/>
  <c r="K29" i="84"/>
  <c r="O28" i="84"/>
  <c r="M28" i="84"/>
  <c r="K28" i="84"/>
  <c r="O27" i="84"/>
  <c r="M27" i="84"/>
  <c r="K27" i="84"/>
  <c r="O26" i="84"/>
  <c r="M26" i="84"/>
  <c r="K26" i="84"/>
  <c r="Q25" i="84"/>
  <c r="O25" i="84"/>
  <c r="M25" i="84"/>
  <c r="K25" i="84"/>
  <c r="P23" i="84"/>
  <c r="N23" i="84"/>
  <c r="L23" i="84"/>
  <c r="J23" i="84"/>
  <c r="H23" i="84"/>
  <c r="F23" i="84"/>
  <c r="D23" i="84"/>
  <c r="Q272" i="84"/>
  <c r="D12" i="84"/>
  <c r="E12" i="84" s="1"/>
  <c r="F12" i="84" s="1"/>
  <c r="G12" i="84" s="1"/>
  <c r="H12" i="84" s="1"/>
  <c r="I12" i="84" s="1"/>
  <c r="J12" i="84" s="1"/>
  <c r="K12" i="84" s="1"/>
  <c r="L12" i="84" s="1"/>
  <c r="M12" i="84" s="1"/>
  <c r="N12" i="84" s="1"/>
  <c r="O12" i="84" s="1"/>
  <c r="P12" i="84" s="1"/>
  <c r="Q12" i="84" s="1"/>
  <c r="R12" i="84" s="1"/>
  <c r="S12" i="84" s="1"/>
  <c r="D10" i="84"/>
  <c r="I233" i="84" s="1"/>
  <c r="D8" i="84"/>
  <c r="G143" i="84" s="1"/>
  <c r="D6" i="84"/>
  <c r="E336" i="84" s="1"/>
  <c r="S2" i="84"/>
  <c r="R2" i="84"/>
  <c r="Q2" i="84"/>
  <c r="P2" i="84"/>
  <c r="O2" i="84"/>
  <c r="N2" i="84"/>
  <c r="M2" i="84"/>
  <c r="L2" i="84"/>
  <c r="K2" i="84"/>
  <c r="J2" i="84"/>
  <c r="I2" i="84"/>
  <c r="H2" i="84"/>
  <c r="G2" i="84"/>
  <c r="F2" i="84"/>
  <c r="E2" i="84"/>
  <c r="D2" i="84"/>
  <c r="C2" i="84"/>
  <c r="P74" i="83"/>
  <c r="Q72" i="83"/>
  <c r="Q59" i="83"/>
  <c r="K59" i="83"/>
  <c r="P61" i="83" s="1"/>
  <c r="Q58" i="83"/>
  <c r="Q51" i="83"/>
  <c r="J50" i="83"/>
  <c r="J49" i="83"/>
  <c r="M47" i="83"/>
  <c r="D46" i="83"/>
  <c r="F33" i="83"/>
  <c r="F61" i="83" s="1"/>
  <c r="F24" i="83"/>
  <c r="F23" i="83"/>
  <c r="D24" i="83" s="1"/>
  <c r="D23" i="83"/>
  <c r="D22" i="83"/>
  <c r="F21" i="83"/>
  <c r="F20" i="83"/>
  <c r="M19" i="83"/>
  <c r="F18" i="83"/>
  <c r="F17" i="83"/>
  <c r="F15" i="83"/>
  <c r="C33" i="33"/>
  <c r="D104" i="33"/>
  <c r="E104" i="33" s="1"/>
  <c r="F104" i="33" s="1"/>
  <c r="G104" i="33" s="1"/>
  <c r="H104" i="33" s="1"/>
  <c r="D18" i="31"/>
  <c r="E18" i="31" s="1"/>
  <c r="A26" i="31"/>
  <c r="B26" i="31"/>
  <c r="A27" i="31"/>
  <c r="B27" i="31"/>
  <c r="A28" i="31"/>
  <c r="B28" i="31"/>
  <c r="A29" i="31"/>
  <c r="B29" i="31"/>
  <c r="A30" i="31"/>
  <c r="B30" i="31"/>
  <c r="A31" i="31"/>
  <c r="B31" i="31"/>
  <c r="B25" i="31"/>
  <c r="A25" i="31"/>
  <c r="B24" i="31"/>
  <c r="A24" i="31"/>
  <c r="J49" i="67"/>
  <c r="I37" i="34"/>
  <c r="C34" i="34"/>
  <c r="E67" i="34"/>
  <c r="F67" i="34" s="1"/>
  <c r="G67" i="34" s="1"/>
  <c r="H67" i="34" s="1"/>
  <c r="D67" i="34"/>
  <c r="AL7" i="1"/>
  <c r="B38" i="1"/>
  <c r="B21" i="1"/>
  <c r="N6" i="1"/>
  <c r="N7" i="1" s="1"/>
  <c r="C28" i="82"/>
  <c r="D28" i="82" s="1"/>
  <c r="C26" i="82"/>
  <c r="D26" i="82" s="1"/>
  <c r="D25" i="82"/>
  <c r="C25" i="82"/>
  <c r="H18" i="82"/>
  <c r="H16" i="82"/>
  <c r="C36" i="33" s="1"/>
  <c r="E9" i="82"/>
  <c r="D9" i="82"/>
  <c r="C6" i="82"/>
  <c r="E6" i="82" s="1"/>
  <c r="F20" i="84"/>
  <c r="E81" i="84" l="1"/>
  <c r="C37" i="34"/>
  <c r="G37" i="34" s="1"/>
  <c r="Y7" i="1"/>
  <c r="Y6" i="1"/>
  <c r="E97" i="84"/>
  <c r="E113" i="84"/>
  <c r="E129" i="84"/>
  <c r="E145" i="84"/>
  <c r="E153" i="84"/>
  <c r="E161" i="84"/>
  <c r="E169" i="84"/>
  <c r="E177" i="84"/>
  <c r="E185" i="84"/>
  <c r="E193" i="84"/>
  <c r="E201" i="84"/>
  <c r="E209" i="84"/>
  <c r="E217" i="84"/>
  <c r="E225" i="84"/>
  <c r="E233" i="84"/>
  <c r="E241" i="84"/>
  <c r="E249" i="84"/>
  <c r="E257" i="84"/>
  <c r="E264" i="84"/>
  <c r="E269" i="84"/>
  <c r="E271" i="84"/>
  <c r="E273" i="84"/>
  <c r="E275" i="84"/>
  <c r="E277" i="84"/>
  <c r="E279" i="84"/>
  <c r="E281" i="84"/>
  <c r="E283" i="84"/>
  <c r="E285" i="84"/>
  <c r="E287" i="84"/>
  <c r="E289" i="84"/>
  <c r="E291" i="84"/>
  <c r="E293" i="84"/>
  <c r="E295" i="84"/>
  <c r="E297" i="84"/>
  <c r="E299" i="84"/>
  <c r="E301" i="84"/>
  <c r="E303" i="84"/>
  <c r="E305" i="84"/>
  <c r="E307" i="84"/>
  <c r="E309" i="84"/>
  <c r="E311" i="84"/>
  <c r="E313" i="84"/>
  <c r="E315" i="84"/>
  <c r="E317" i="84"/>
  <c r="E319" i="84"/>
  <c r="E321" i="84"/>
  <c r="E323" i="84"/>
  <c r="E325" i="84"/>
  <c r="E330" i="84"/>
  <c r="E89" i="84"/>
  <c r="E105" i="84"/>
  <c r="E121" i="84"/>
  <c r="E137" i="84"/>
  <c r="C5" i="82"/>
  <c r="E5" i="82" s="1"/>
  <c r="D27" i="82"/>
  <c r="E44" i="84"/>
  <c r="I47" i="84"/>
  <c r="E53" i="84"/>
  <c r="E56" i="84"/>
  <c r="E64" i="84"/>
  <c r="E72" i="84"/>
  <c r="E80" i="84"/>
  <c r="E88" i="84"/>
  <c r="E96" i="84"/>
  <c r="E104" i="84"/>
  <c r="E112" i="84"/>
  <c r="E120" i="84"/>
  <c r="E128" i="84"/>
  <c r="E136" i="84"/>
  <c r="E144" i="84"/>
  <c r="E152" i="84"/>
  <c r="E160" i="84"/>
  <c r="E168" i="84"/>
  <c r="E176" i="84"/>
  <c r="E184" i="84"/>
  <c r="E192" i="84"/>
  <c r="E200" i="84"/>
  <c r="E208" i="84"/>
  <c r="E216" i="84"/>
  <c r="E224" i="84"/>
  <c r="E232" i="84"/>
  <c r="E240" i="84"/>
  <c r="E248" i="84"/>
  <c r="E256" i="84"/>
  <c r="E261" i="84"/>
  <c r="E328" i="84"/>
  <c r="E6" i="84"/>
  <c r="E268" i="84"/>
  <c r="E260" i="84"/>
  <c r="E489" i="84"/>
  <c r="E487" i="84"/>
  <c r="E485" i="84"/>
  <c r="E483" i="84"/>
  <c r="E481" i="84"/>
  <c r="E479" i="84"/>
  <c r="E477" i="84"/>
  <c r="E475" i="84"/>
  <c r="E473" i="84"/>
  <c r="E471" i="84"/>
  <c r="E469" i="84"/>
  <c r="E467" i="84"/>
  <c r="E465" i="84"/>
  <c r="E463" i="84"/>
  <c r="E461" i="84"/>
  <c r="E459" i="84"/>
  <c r="E457" i="84"/>
  <c r="E455" i="84"/>
  <c r="E453" i="84"/>
  <c r="E451" i="84"/>
  <c r="E449" i="84"/>
  <c r="E447" i="84"/>
  <c r="E445" i="84"/>
  <c r="E443" i="84"/>
  <c r="E441" i="84"/>
  <c r="E439" i="84"/>
  <c r="E437" i="84"/>
  <c r="E435" i="84"/>
  <c r="E433" i="84"/>
  <c r="E431" i="84"/>
  <c r="E429" i="84"/>
  <c r="E427" i="84"/>
  <c r="E425" i="84"/>
  <c r="E423" i="84"/>
  <c r="E421" i="84"/>
  <c r="E419" i="84"/>
  <c r="E417" i="84"/>
  <c r="E415" i="84"/>
  <c r="E413" i="84"/>
  <c r="E411" i="84"/>
  <c r="E409" i="84"/>
  <c r="E407" i="84"/>
  <c r="E405" i="84"/>
  <c r="E403" i="84"/>
  <c r="E401" i="84"/>
  <c r="E399" i="84"/>
  <c r="E397" i="84"/>
  <c r="E395" i="84"/>
  <c r="E393" i="84"/>
  <c r="E391" i="84"/>
  <c r="E389" i="84"/>
  <c r="E387" i="84"/>
  <c r="E385" i="84"/>
  <c r="E383" i="84"/>
  <c r="E381" i="84"/>
  <c r="E379" i="84"/>
  <c r="E377" i="84"/>
  <c r="E375" i="84"/>
  <c r="E373" i="84"/>
  <c r="E371" i="84"/>
  <c r="E369" i="84"/>
  <c r="E367" i="84"/>
  <c r="E365" i="84"/>
  <c r="E363" i="84"/>
  <c r="E361" i="84"/>
  <c r="E359" i="84"/>
  <c r="E357" i="84"/>
  <c r="E355" i="84"/>
  <c r="E353" i="84"/>
  <c r="E351" i="84"/>
  <c r="E349" i="84"/>
  <c r="E347" i="84"/>
  <c r="E345" i="84"/>
  <c r="E343" i="84"/>
  <c r="E341" i="84"/>
  <c r="E339" i="84"/>
  <c r="E337" i="84"/>
  <c r="E335" i="84"/>
  <c r="E333" i="84"/>
  <c r="E331" i="84"/>
  <c r="E329" i="84"/>
  <c r="E327" i="84"/>
  <c r="E488" i="84"/>
  <c r="E486" i="84"/>
  <c r="E484" i="84"/>
  <c r="E482" i="84"/>
  <c r="E480" i="84"/>
  <c r="E478" i="84"/>
  <c r="E476" i="84"/>
  <c r="E474" i="84"/>
  <c r="E472" i="84"/>
  <c r="E470" i="84"/>
  <c r="E468" i="84"/>
  <c r="E466" i="84"/>
  <c r="E464" i="84"/>
  <c r="E462" i="84"/>
  <c r="E460" i="84"/>
  <c r="E458" i="84"/>
  <c r="E456" i="84"/>
  <c r="E454" i="84"/>
  <c r="E452" i="84"/>
  <c r="E450" i="84"/>
  <c r="E448" i="84"/>
  <c r="E446" i="84"/>
  <c r="E444" i="84"/>
  <c r="E442" i="84"/>
  <c r="E440" i="84"/>
  <c r="E438" i="84"/>
  <c r="E436" i="84"/>
  <c r="E434" i="84"/>
  <c r="E432" i="84"/>
  <c r="E430" i="84"/>
  <c r="E428" i="84"/>
  <c r="E426" i="84"/>
  <c r="E424" i="84"/>
  <c r="E422" i="84"/>
  <c r="E420" i="84"/>
  <c r="E418" i="84"/>
  <c r="E416" i="84"/>
  <c r="E414" i="84"/>
  <c r="E412" i="84"/>
  <c r="E410" i="84"/>
  <c r="E408" i="84"/>
  <c r="E406" i="84"/>
  <c r="E404" i="84"/>
  <c r="E402" i="84"/>
  <c r="E400" i="84"/>
  <c r="E398" i="84"/>
  <c r="E396" i="84"/>
  <c r="E394" i="84"/>
  <c r="E392" i="84"/>
  <c r="E390" i="84"/>
  <c r="E388" i="84"/>
  <c r="E386" i="84"/>
  <c r="E384" i="84"/>
  <c r="E382" i="84"/>
  <c r="E380" i="84"/>
  <c r="E378" i="84"/>
  <c r="E376" i="84"/>
  <c r="E374" i="84"/>
  <c r="E372" i="84"/>
  <c r="E370" i="84"/>
  <c r="E368" i="84"/>
  <c r="E366" i="84"/>
  <c r="E364" i="84"/>
  <c r="E362" i="84"/>
  <c r="E360" i="84"/>
  <c r="E358" i="84"/>
  <c r="E356" i="84"/>
  <c r="E354" i="84"/>
  <c r="E352" i="84"/>
  <c r="E350" i="84"/>
  <c r="E348" i="84"/>
  <c r="E346" i="84"/>
  <c r="E344" i="84"/>
  <c r="E342" i="84"/>
  <c r="E340" i="84"/>
  <c r="E338" i="84"/>
  <c r="E27" i="84"/>
  <c r="E61" i="84"/>
  <c r="E77" i="84"/>
  <c r="E85" i="84"/>
  <c r="E101" i="84"/>
  <c r="E109" i="84"/>
  <c r="E117" i="84"/>
  <c r="E125" i="84"/>
  <c r="E133" i="84"/>
  <c r="E141" i="84"/>
  <c r="E149" i="84"/>
  <c r="E157" i="84"/>
  <c r="E165" i="84"/>
  <c r="E173" i="84"/>
  <c r="E181" i="84"/>
  <c r="E189" i="84"/>
  <c r="E197" i="84"/>
  <c r="E205" i="84"/>
  <c r="E213" i="84"/>
  <c r="E221" i="84"/>
  <c r="E229" i="84"/>
  <c r="E237" i="84"/>
  <c r="E245" i="84"/>
  <c r="E253" i="84"/>
  <c r="E270" i="84"/>
  <c r="E272" i="84"/>
  <c r="E274" i="84"/>
  <c r="E276" i="84"/>
  <c r="E278" i="84"/>
  <c r="E280" i="84"/>
  <c r="E282" i="84"/>
  <c r="E284" i="84"/>
  <c r="E286" i="84"/>
  <c r="E288" i="84"/>
  <c r="E290" i="84"/>
  <c r="E292" i="84"/>
  <c r="E294" i="84"/>
  <c r="E296" i="84"/>
  <c r="E298" i="84"/>
  <c r="E300" i="84"/>
  <c r="E302" i="84"/>
  <c r="E304" i="84"/>
  <c r="E306" i="84"/>
  <c r="E308" i="84"/>
  <c r="E310" i="84"/>
  <c r="E312" i="84"/>
  <c r="E314" i="84"/>
  <c r="E316" i="84"/>
  <c r="E318" i="84"/>
  <c r="E320" i="84"/>
  <c r="E322" i="84"/>
  <c r="E324" i="84"/>
  <c r="E326" i="84"/>
  <c r="E334" i="84"/>
  <c r="E52" i="84"/>
  <c r="E69" i="84"/>
  <c r="E93" i="84"/>
  <c r="I36" i="84"/>
  <c r="E49" i="84"/>
  <c r="E60" i="84"/>
  <c r="E68" i="84"/>
  <c r="E76" i="84"/>
  <c r="E84" i="84"/>
  <c r="E92" i="84"/>
  <c r="E100" i="84"/>
  <c r="E108" i="84"/>
  <c r="E116" i="84"/>
  <c r="E124" i="84"/>
  <c r="E132" i="84"/>
  <c r="E140" i="84"/>
  <c r="E148" i="84"/>
  <c r="E156" i="84"/>
  <c r="E164" i="84"/>
  <c r="E172" i="84"/>
  <c r="E180" i="84"/>
  <c r="E188" i="84"/>
  <c r="E196" i="84"/>
  <c r="E204" i="84"/>
  <c r="E212" i="84"/>
  <c r="E220" i="84"/>
  <c r="E228" i="84"/>
  <c r="E236" i="84"/>
  <c r="E244" i="84"/>
  <c r="E252" i="84"/>
  <c r="E265" i="84"/>
  <c r="E332" i="84"/>
  <c r="E4" i="82"/>
  <c r="I56" i="84"/>
  <c r="I57" i="84"/>
  <c r="I87" i="84"/>
  <c r="I88" i="84"/>
  <c r="I89" i="84"/>
  <c r="I49" i="84"/>
  <c r="I79" i="84"/>
  <c r="I80" i="84"/>
  <c r="I81" i="84"/>
  <c r="I34" i="84"/>
  <c r="I48" i="84"/>
  <c r="I32" i="84"/>
  <c r="I40" i="84"/>
  <c r="I71" i="84"/>
  <c r="I72" i="84"/>
  <c r="I73" i="84"/>
  <c r="I42" i="84"/>
  <c r="I38" i="84"/>
  <c r="I63" i="84"/>
  <c r="I64" i="84"/>
  <c r="I65" i="84"/>
  <c r="I95" i="84"/>
  <c r="I46" i="84"/>
  <c r="I62" i="84"/>
  <c r="I78" i="84"/>
  <c r="I94" i="84"/>
  <c r="I108" i="84"/>
  <c r="I114" i="84"/>
  <c r="I120" i="84"/>
  <c r="I139" i="84"/>
  <c r="I141" i="84"/>
  <c r="I151" i="84"/>
  <c r="I153" i="84"/>
  <c r="I172" i="84"/>
  <c r="I178" i="84"/>
  <c r="I184" i="84"/>
  <c r="I203" i="84"/>
  <c r="I205" i="84"/>
  <c r="I215" i="84"/>
  <c r="I217" i="84"/>
  <c r="I229" i="84"/>
  <c r="I35" i="84"/>
  <c r="I60" i="84"/>
  <c r="I67" i="84"/>
  <c r="I68" i="84"/>
  <c r="I69" i="84"/>
  <c r="I75" i="84"/>
  <c r="I76" i="84"/>
  <c r="I77" i="84"/>
  <c r="I83" i="84"/>
  <c r="I84" i="84"/>
  <c r="I85" i="84"/>
  <c r="I91" i="84"/>
  <c r="I92" i="84"/>
  <c r="I93" i="84"/>
  <c r="I99" i="84"/>
  <c r="I100" i="84"/>
  <c r="I101" i="84"/>
  <c r="I106" i="84"/>
  <c r="I111" i="84"/>
  <c r="I112" i="84"/>
  <c r="I113" i="84"/>
  <c r="I131" i="84"/>
  <c r="I132" i="84"/>
  <c r="I133" i="84"/>
  <c r="I138" i="84"/>
  <c r="I143" i="84"/>
  <c r="I144" i="84"/>
  <c r="I145" i="84"/>
  <c r="I163" i="84"/>
  <c r="I164" i="84"/>
  <c r="I165" i="84"/>
  <c r="I170" i="84"/>
  <c r="I175" i="84"/>
  <c r="I176" i="84"/>
  <c r="I177" i="84"/>
  <c r="I195" i="84"/>
  <c r="I196" i="84"/>
  <c r="I197" i="84"/>
  <c r="I202" i="84"/>
  <c r="I207" i="84"/>
  <c r="I208" i="84"/>
  <c r="I209" i="84"/>
  <c r="I231" i="84"/>
  <c r="I232" i="84"/>
  <c r="E10" i="84"/>
  <c r="F10" i="84" s="1"/>
  <c r="G10" i="84" s="1"/>
  <c r="H10" i="84" s="1"/>
  <c r="I10" i="84" s="1"/>
  <c r="J10" i="84" s="1"/>
  <c r="K10" i="84" s="1"/>
  <c r="L10" i="84" s="1"/>
  <c r="M10" i="84" s="1"/>
  <c r="N10" i="84" s="1"/>
  <c r="O10" i="84" s="1"/>
  <c r="P10" i="84" s="1"/>
  <c r="Q10" i="84" s="1"/>
  <c r="R10" i="84" s="1"/>
  <c r="S10" i="84" s="1"/>
  <c r="I523" i="84"/>
  <c r="I521" i="84"/>
  <c r="I519" i="84"/>
  <c r="I517" i="84"/>
  <c r="I515" i="84"/>
  <c r="I513" i="84"/>
  <c r="I511" i="84"/>
  <c r="I509" i="84"/>
  <c r="I507" i="84"/>
  <c r="I505" i="84"/>
  <c r="I503" i="84"/>
  <c r="I501" i="84"/>
  <c r="I499" i="84"/>
  <c r="I497" i="84"/>
  <c r="I495" i="84"/>
  <c r="I493" i="84"/>
  <c r="I491" i="84"/>
  <c r="I489" i="84"/>
  <c r="I485" i="84"/>
  <c r="I481" i="84"/>
  <c r="I477" i="84"/>
  <c r="I473" i="84"/>
  <c r="I469" i="84"/>
  <c r="I465" i="84"/>
  <c r="I461" i="84"/>
  <c r="I457" i="84"/>
  <c r="I453" i="84"/>
  <c r="I449" i="84"/>
  <c r="I445" i="84"/>
  <c r="I441" i="84"/>
  <c r="I437" i="84"/>
  <c r="I433" i="84"/>
  <c r="I429" i="84"/>
  <c r="I425" i="84"/>
  <c r="I421" i="84"/>
  <c r="I417" i="84"/>
  <c r="I413" i="84"/>
  <c r="I409" i="84"/>
  <c r="I405" i="84"/>
  <c r="I401" i="84"/>
  <c r="I397" i="84"/>
  <c r="I393" i="84"/>
  <c r="I389" i="84"/>
  <c r="I385" i="84"/>
  <c r="I381" i="84"/>
  <c r="I377" i="84"/>
  <c r="I373" i="84"/>
  <c r="I369" i="84"/>
  <c r="I365" i="84"/>
  <c r="I361" i="84"/>
  <c r="I357" i="84"/>
  <c r="I353" i="84"/>
  <c r="I349" i="84"/>
  <c r="I345" i="84"/>
  <c r="I341" i="84"/>
  <c r="I337" i="84"/>
  <c r="I333" i="84"/>
  <c r="I329" i="84"/>
  <c r="I325" i="84"/>
  <c r="I321" i="84"/>
  <c r="I317" i="84"/>
  <c r="I313" i="84"/>
  <c r="I309" i="84"/>
  <c r="I305" i="84"/>
  <c r="I301" i="84"/>
  <c r="I297" i="84"/>
  <c r="I293" i="84"/>
  <c r="I289" i="84"/>
  <c r="I285" i="84"/>
  <c r="I281" i="84"/>
  <c r="I277" i="84"/>
  <c r="I273" i="84"/>
  <c r="I269" i="84"/>
  <c r="I268" i="84"/>
  <c r="I267" i="84"/>
  <c r="I261" i="84"/>
  <c r="I260" i="84"/>
  <c r="I259" i="84"/>
  <c r="I253" i="84"/>
  <c r="I252" i="84"/>
  <c r="I251" i="84"/>
  <c r="I245" i="84"/>
  <c r="I244" i="84"/>
  <c r="I243" i="84"/>
  <c r="I486" i="84"/>
  <c r="I482" i="84"/>
  <c r="I478" i="84"/>
  <c r="I474" i="84"/>
  <c r="I470" i="84"/>
  <c r="I466" i="84"/>
  <c r="I462" i="84"/>
  <c r="I458" i="84"/>
  <c r="I454" i="84"/>
  <c r="I450" i="84"/>
  <c r="I446" i="84"/>
  <c r="I442" i="84"/>
  <c r="I438" i="84"/>
  <c r="I434" i="84"/>
  <c r="I430" i="84"/>
  <c r="I426" i="84"/>
  <c r="I422" i="84"/>
  <c r="I418" i="84"/>
  <c r="I414" i="84"/>
  <c r="I410" i="84"/>
  <c r="I406" i="84"/>
  <c r="I402" i="84"/>
  <c r="I398" i="84"/>
  <c r="I394" i="84"/>
  <c r="I390" i="84"/>
  <c r="I386" i="84"/>
  <c r="I382" i="84"/>
  <c r="I378" i="84"/>
  <c r="I374" i="84"/>
  <c r="I370" i="84"/>
  <c r="I366" i="84"/>
  <c r="I362" i="84"/>
  <c r="I358" i="84"/>
  <c r="I354" i="84"/>
  <c r="I350" i="84"/>
  <c r="I346" i="84"/>
  <c r="I342" i="84"/>
  <c r="I338" i="84"/>
  <c r="I334" i="84"/>
  <c r="I330" i="84"/>
  <c r="I326" i="84"/>
  <c r="I322" i="84"/>
  <c r="I318" i="84"/>
  <c r="I314" i="84"/>
  <c r="I310" i="84"/>
  <c r="I306" i="84"/>
  <c r="I302" i="84"/>
  <c r="I298" i="84"/>
  <c r="I294" i="84"/>
  <c r="I290" i="84"/>
  <c r="I286" i="84"/>
  <c r="I282" i="84"/>
  <c r="I278" i="84"/>
  <c r="I274" i="84"/>
  <c r="I270" i="84"/>
  <c r="I262" i="84"/>
  <c r="I254" i="84"/>
  <c r="I246" i="84"/>
  <c r="I238" i="84"/>
  <c r="I230" i="84"/>
  <c r="I222" i="84"/>
  <c r="I214" i="84"/>
  <c r="I206" i="84"/>
  <c r="I198" i="84"/>
  <c r="I190" i="84"/>
  <c r="I182" i="84"/>
  <c r="I174" i="84"/>
  <c r="I166" i="84"/>
  <c r="I158" i="84"/>
  <c r="I150" i="84"/>
  <c r="I142" i="84"/>
  <c r="I134" i="84"/>
  <c r="I126" i="84"/>
  <c r="I118" i="84"/>
  <c r="I110" i="84"/>
  <c r="I102" i="84"/>
  <c r="I524" i="84"/>
  <c r="I522" i="84"/>
  <c r="I520" i="84"/>
  <c r="I518" i="84"/>
  <c r="I516" i="84"/>
  <c r="I514" i="84"/>
  <c r="I512" i="84"/>
  <c r="I510" i="84"/>
  <c r="I508" i="84"/>
  <c r="I506" i="84"/>
  <c r="I504" i="84"/>
  <c r="I502" i="84"/>
  <c r="I500" i="84"/>
  <c r="I498" i="84"/>
  <c r="I496" i="84"/>
  <c r="I494" i="84"/>
  <c r="I492" i="84"/>
  <c r="I490" i="84"/>
  <c r="I487" i="84"/>
  <c r="I483" i="84"/>
  <c r="I479" i="84"/>
  <c r="I475" i="84"/>
  <c r="I471" i="84"/>
  <c r="I467" i="84"/>
  <c r="I463" i="84"/>
  <c r="I459" i="84"/>
  <c r="I455" i="84"/>
  <c r="I451" i="84"/>
  <c r="I447" i="84"/>
  <c r="I443" i="84"/>
  <c r="I439" i="84"/>
  <c r="I435" i="84"/>
  <c r="I431" i="84"/>
  <c r="I427" i="84"/>
  <c r="I423" i="84"/>
  <c r="I419" i="84"/>
  <c r="I415" i="84"/>
  <c r="I411" i="84"/>
  <c r="I407" i="84"/>
  <c r="I403" i="84"/>
  <c r="I399" i="84"/>
  <c r="I395" i="84"/>
  <c r="I391" i="84"/>
  <c r="I387" i="84"/>
  <c r="I383" i="84"/>
  <c r="I379" i="84"/>
  <c r="I375" i="84"/>
  <c r="I371" i="84"/>
  <c r="I367" i="84"/>
  <c r="I363" i="84"/>
  <c r="I359" i="84"/>
  <c r="I355" i="84"/>
  <c r="I351" i="84"/>
  <c r="I347" i="84"/>
  <c r="I343" i="84"/>
  <c r="I339" i="84"/>
  <c r="I335" i="84"/>
  <c r="I331" i="84"/>
  <c r="I327" i="84"/>
  <c r="I323" i="84"/>
  <c r="I319" i="84"/>
  <c r="I315" i="84"/>
  <c r="I311" i="84"/>
  <c r="I307" i="84"/>
  <c r="I303" i="84"/>
  <c r="I299" i="84"/>
  <c r="I295" i="84"/>
  <c r="I291" i="84"/>
  <c r="I287" i="84"/>
  <c r="I283" i="84"/>
  <c r="I279" i="84"/>
  <c r="I275" i="84"/>
  <c r="I271" i="84"/>
  <c r="I265" i="84"/>
  <c r="I264" i="84"/>
  <c r="I263" i="84"/>
  <c r="I257" i="84"/>
  <c r="I256" i="84"/>
  <c r="I255" i="84"/>
  <c r="I249" i="84"/>
  <c r="I248" i="84"/>
  <c r="I247" i="84"/>
  <c r="I241" i="84"/>
  <c r="I240" i="84"/>
  <c r="I239" i="84"/>
  <c r="I488" i="84"/>
  <c r="I484" i="84"/>
  <c r="I480" i="84"/>
  <c r="I476" i="84"/>
  <c r="I472" i="84"/>
  <c r="I468" i="84"/>
  <c r="I464" i="84"/>
  <c r="I460" i="84"/>
  <c r="I456" i="84"/>
  <c r="I452" i="84"/>
  <c r="I448" i="84"/>
  <c r="I444" i="84"/>
  <c r="I440" i="84"/>
  <c r="I436" i="84"/>
  <c r="I432" i="84"/>
  <c r="I428" i="84"/>
  <c r="I424" i="84"/>
  <c r="I420" i="84"/>
  <c r="I416" i="84"/>
  <c r="I412" i="84"/>
  <c r="I408" i="84"/>
  <c r="I404" i="84"/>
  <c r="I400" i="84"/>
  <c r="I396" i="84"/>
  <c r="I392" i="84"/>
  <c r="I388" i="84"/>
  <c r="I384" i="84"/>
  <c r="I380" i="84"/>
  <c r="I376" i="84"/>
  <c r="I372" i="84"/>
  <c r="I368" i="84"/>
  <c r="I364" i="84"/>
  <c r="I360" i="84"/>
  <c r="I356" i="84"/>
  <c r="I352" i="84"/>
  <c r="I348" i="84"/>
  <c r="I344" i="84"/>
  <c r="I340" i="84"/>
  <c r="I336" i="84"/>
  <c r="I332" i="84"/>
  <c r="I328" i="84"/>
  <c r="I324" i="84"/>
  <c r="I320" i="84"/>
  <c r="I316" i="84"/>
  <c r="I312" i="84"/>
  <c r="I308" i="84"/>
  <c r="I304" i="84"/>
  <c r="I300" i="84"/>
  <c r="I296" i="84"/>
  <c r="I292" i="84"/>
  <c r="I288" i="84"/>
  <c r="I284" i="84"/>
  <c r="I280" i="84"/>
  <c r="I276" i="84"/>
  <c r="I272" i="84"/>
  <c r="I266" i="84"/>
  <c r="I258" i="84"/>
  <c r="I250" i="84"/>
  <c r="I242" i="84"/>
  <c r="I234" i="84"/>
  <c r="I226" i="84"/>
  <c r="I25" i="84"/>
  <c r="I54" i="84"/>
  <c r="I70" i="84"/>
  <c r="I86" i="84"/>
  <c r="I107" i="84"/>
  <c r="I109" i="84"/>
  <c r="I119" i="84"/>
  <c r="I121" i="84"/>
  <c r="I140" i="84"/>
  <c r="I146" i="84"/>
  <c r="I152" i="84"/>
  <c r="I171" i="84"/>
  <c r="I173" i="84"/>
  <c r="I183" i="84"/>
  <c r="I185" i="84"/>
  <c r="I204" i="84"/>
  <c r="I210" i="84"/>
  <c r="I216" i="84"/>
  <c r="I227" i="84"/>
  <c r="I228" i="84"/>
  <c r="I26" i="84"/>
  <c r="I33" i="84"/>
  <c r="I37" i="84"/>
  <c r="I39" i="84"/>
  <c r="I41" i="84"/>
  <c r="I43" i="84"/>
  <c r="I44" i="84"/>
  <c r="I45" i="84"/>
  <c r="I51" i="84"/>
  <c r="I52" i="84"/>
  <c r="I53" i="84"/>
  <c r="I59" i="84"/>
  <c r="I61" i="84"/>
  <c r="I27" i="84"/>
  <c r="I28" i="84"/>
  <c r="I29" i="84"/>
  <c r="I30" i="84"/>
  <c r="I31" i="84"/>
  <c r="I50" i="84"/>
  <c r="I58" i="84"/>
  <c r="I66" i="84"/>
  <c r="I74" i="84"/>
  <c r="I82" i="84"/>
  <c r="I90" i="84"/>
  <c r="I98" i="84"/>
  <c r="I103" i="84"/>
  <c r="I104" i="84"/>
  <c r="I105" i="84"/>
  <c r="I123" i="84"/>
  <c r="I124" i="84"/>
  <c r="I125" i="84"/>
  <c r="I130" i="84"/>
  <c r="I135" i="84"/>
  <c r="I136" i="84"/>
  <c r="I137" i="84"/>
  <c r="I155" i="84"/>
  <c r="I156" i="84"/>
  <c r="I157" i="84"/>
  <c r="I162" i="84"/>
  <c r="I167" i="84"/>
  <c r="I168" i="84"/>
  <c r="I169" i="84"/>
  <c r="I187" i="84"/>
  <c r="I188" i="84"/>
  <c r="I189" i="84"/>
  <c r="I194" i="84"/>
  <c r="I199" i="84"/>
  <c r="I200" i="84"/>
  <c r="I201" i="84"/>
  <c r="I219" i="84"/>
  <c r="I220" i="84"/>
  <c r="I221" i="84"/>
  <c r="I235" i="84"/>
  <c r="I236" i="84"/>
  <c r="I237" i="84"/>
  <c r="I96" i="84"/>
  <c r="I97" i="84"/>
  <c r="I115" i="84"/>
  <c r="I116" i="84"/>
  <c r="I117" i="84"/>
  <c r="I122" i="84"/>
  <c r="I127" i="84"/>
  <c r="I128" i="84"/>
  <c r="I129" i="84"/>
  <c r="I147" i="84"/>
  <c r="I148" i="84"/>
  <c r="I149" i="84"/>
  <c r="I154" i="84"/>
  <c r="I159" i="84"/>
  <c r="I160" i="84"/>
  <c r="I161" i="84"/>
  <c r="I179" i="84"/>
  <c r="I180" i="84"/>
  <c r="I181" i="84"/>
  <c r="I186" i="84"/>
  <c r="I191" i="84"/>
  <c r="I192" i="84"/>
  <c r="I193" i="84"/>
  <c r="I211" i="84"/>
  <c r="I212" i="84"/>
  <c r="I213" i="84"/>
  <c r="I218" i="84"/>
  <c r="I223" i="84"/>
  <c r="I224" i="84"/>
  <c r="I225" i="84"/>
  <c r="G46" i="84"/>
  <c r="G110" i="84"/>
  <c r="G95" i="84"/>
  <c r="G157" i="84"/>
  <c r="G158" i="84"/>
  <c r="G159" i="84"/>
  <c r="G47" i="84"/>
  <c r="G111" i="84"/>
  <c r="G94" i="84"/>
  <c r="G77" i="84"/>
  <c r="G78" i="84"/>
  <c r="G79" i="84"/>
  <c r="G141" i="84"/>
  <c r="G142" i="84"/>
  <c r="E8" i="84"/>
  <c r="G485" i="84"/>
  <c r="G484" i="84"/>
  <c r="G483" i="84"/>
  <c r="G482" i="84"/>
  <c r="G481" i="84"/>
  <c r="G480" i="84"/>
  <c r="G479" i="84"/>
  <c r="G478" i="84"/>
  <c r="G477" i="84"/>
  <c r="G476" i="84"/>
  <c r="G475" i="84"/>
  <c r="G474" i="84"/>
  <c r="G473" i="84"/>
  <c r="G472" i="84"/>
  <c r="G471" i="84"/>
  <c r="G470" i="84"/>
  <c r="G469" i="84"/>
  <c r="G468" i="84"/>
  <c r="G467" i="84"/>
  <c r="G466" i="84"/>
  <c r="G465" i="84"/>
  <c r="G464" i="84"/>
  <c r="G463" i="84"/>
  <c r="G462" i="84"/>
  <c r="G461" i="84"/>
  <c r="G460" i="84"/>
  <c r="G459" i="84"/>
  <c r="G458" i="84"/>
  <c r="G457" i="84"/>
  <c r="G456" i="84"/>
  <c r="G455" i="84"/>
  <c r="G454" i="84"/>
  <c r="G453" i="84"/>
  <c r="G452" i="84"/>
  <c r="G451" i="84"/>
  <c r="G450" i="84"/>
  <c r="G449" i="84"/>
  <c r="G448" i="84"/>
  <c r="G444" i="84"/>
  <c r="G440" i="84"/>
  <c r="G436" i="84"/>
  <c r="G432" i="84"/>
  <c r="G428" i="84"/>
  <c r="G424" i="84"/>
  <c r="G420" i="84"/>
  <c r="G416" i="84"/>
  <c r="G412" i="84"/>
  <c r="G408" i="84"/>
  <c r="G404" i="84"/>
  <c r="G401" i="84"/>
  <c r="G397" i="84"/>
  <c r="G393" i="84"/>
  <c r="G389" i="84"/>
  <c r="G385" i="84"/>
  <c r="G381" i="84"/>
  <c r="G377" i="84"/>
  <c r="G373" i="84"/>
  <c r="G369" i="84"/>
  <c r="G365" i="84"/>
  <c r="G361" i="84"/>
  <c r="G357" i="84"/>
  <c r="G353" i="84"/>
  <c r="G349" i="84"/>
  <c r="G346" i="84"/>
  <c r="G342" i="84"/>
  <c r="G339" i="84"/>
  <c r="G335" i="84"/>
  <c r="G331" i="84"/>
  <c r="G327" i="84"/>
  <c r="G323" i="84"/>
  <c r="G319" i="84"/>
  <c r="G315" i="84"/>
  <c r="G311" i="84"/>
  <c r="G307" i="84"/>
  <c r="G303" i="84"/>
  <c r="G299" i="84"/>
  <c r="G295" i="84"/>
  <c r="G291" i="84"/>
  <c r="G287" i="84"/>
  <c r="G283" i="84"/>
  <c r="G279" i="84"/>
  <c r="G275" i="84"/>
  <c r="G271" i="84"/>
  <c r="G238" i="84"/>
  <c r="G205" i="84"/>
  <c r="G247" i="84"/>
  <c r="G246" i="84"/>
  <c r="G245" i="84"/>
  <c r="G215" i="84"/>
  <c r="G214" i="84"/>
  <c r="G213" i="84"/>
  <c r="G185" i="84"/>
  <c r="G171" i="84"/>
  <c r="G170" i="84"/>
  <c r="G169" i="84"/>
  <c r="G155" i="84"/>
  <c r="G154" i="84"/>
  <c r="G153" i="84"/>
  <c r="G139" i="84"/>
  <c r="G138" i="84"/>
  <c r="G137" i="84"/>
  <c r="G123" i="84"/>
  <c r="G122" i="84"/>
  <c r="G121" i="84"/>
  <c r="G107" i="84"/>
  <c r="G106" i="84"/>
  <c r="G105" i="84"/>
  <c r="G91" i="84"/>
  <c r="G90" i="84"/>
  <c r="G89" i="84"/>
  <c r="G75" i="84"/>
  <c r="G74" i="84"/>
  <c r="G73" i="84"/>
  <c r="G59" i="84"/>
  <c r="G58" i="84"/>
  <c r="G57" i="84"/>
  <c r="G43" i="84"/>
  <c r="G55" i="84"/>
  <c r="G53" i="84"/>
  <c r="G49" i="84"/>
  <c r="G445" i="84"/>
  <c r="G441" i="84"/>
  <c r="G437" i="84"/>
  <c r="G433" i="84"/>
  <c r="G429" i="84"/>
  <c r="G425" i="84"/>
  <c r="G421" i="84"/>
  <c r="G417" i="84"/>
  <c r="G413" i="84"/>
  <c r="G409" i="84"/>
  <c r="G405" i="84"/>
  <c r="G400" i="84"/>
  <c r="G396" i="84"/>
  <c r="G392" i="84"/>
  <c r="G388" i="84"/>
  <c r="G384" i="84"/>
  <c r="G380" i="84"/>
  <c r="G376" i="84"/>
  <c r="G372" i="84"/>
  <c r="G368" i="84"/>
  <c r="G364" i="84"/>
  <c r="G360" i="84"/>
  <c r="G356" i="84"/>
  <c r="G352" i="84"/>
  <c r="G348" i="84"/>
  <c r="G344" i="84"/>
  <c r="G340" i="84"/>
  <c r="G336" i="84"/>
  <c r="G332" i="84"/>
  <c r="G328" i="84"/>
  <c r="G324" i="84"/>
  <c r="G320" i="84"/>
  <c r="G316" i="84"/>
  <c r="G312" i="84"/>
  <c r="G308" i="84"/>
  <c r="G304" i="84"/>
  <c r="G300" i="84"/>
  <c r="G296" i="84"/>
  <c r="G292" i="84"/>
  <c r="G288" i="84"/>
  <c r="G284" i="84"/>
  <c r="G280" i="84"/>
  <c r="G276" i="84"/>
  <c r="G272" i="84"/>
  <c r="G239" i="84"/>
  <c r="G206" i="84"/>
  <c r="G173" i="84"/>
  <c r="G255" i="84"/>
  <c r="G254" i="84"/>
  <c r="G253" i="84"/>
  <c r="G223" i="84"/>
  <c r="G222" i="84"/>
  <c r="G221" i="84"/>
  <c r="G191" i="84"/>
  <c r="G190" i="84"/>
  <c r="G189" i="84"/>
  <c r="G183" i="84"/>
  <c r="G182" i="84"/>
  <c r="G181" i="84"/>
  <c r="G167" i="84"/>
  <c r="G166" i="84"/>
  <c r="G165" i="84"/>
  <c r="G151" i="84"/>
  <c r="G150" i="84"/>
  <c r="G149" i="84"/>
  <c r="G135" i="84"/>
  <c r="G134" i="84"/>
  <c r="G133" i="84"/>
  <c r="G119" i="84"/>
  <c r="G118" i="84"/>
  <c r="G117" i="84"/>
  <c r="G103" i="84"/>
  <c r="G102" i="84"/>
  <c r="G101" i="84"/>
  <c r="G87" i="84"/>
  <c r="G86" i="84"/>
  <c r="G85" i="84"/>
  <c r="G71" i="84"/>
  <c r="G70" i="84"/>
  <c r="G69" i="84"/>
  <c r="G54" i="84"/>
  <c r="G51" i="84"/>
  <c r="G447" i="84"/>
  <c r="G442" i="84"/>
  <c r="G438" i="84"/>
  <c r="G434" i="84"/>
  <c r="G430" i="84"/>
  <c r="G426" i="84"/>
  <c r="G422" i="84"/>
  <c r="G418" i="84"/>
  <c r="G414" i="84"/>
  <c r="G410" i="84"/>
  <c r="G406" i="84"/>
  <c r="G402" i="84"/>
  <c r="G398" i="84"/>
  <c r="G394" i="84"/>
  <c r="G390" i="84"/>
  <c r="G386" i="84"/>
  <c r="G382" i="84"/>
  <c r="G378" i="84"/>
  <c r="G374" i="84"/>
  <c r="G370" i="84"/>
  <c r="G366" i="84"/>
  <c r="G362" i="84"/>
  <c r="G358" i="84"/>
  <c r="G354" i="84"/>
  <c r="G350" i="84"/>
  <c r="G345" i="84"/>
  <c r="G341" i="84"/>
  <c r="G337" i="84"/>
  <c r="G333" i="84"/>
  <c r="G329" i="84"/>
  <c r="G325" i="84"/>
  <c r="G321" i="84"/>
  <c r="G318" i="84"/>
  <c r="G314" i="84"/>
  <c r="G310" i="84"/>
  <c r="G306" i="84"/>
  <c r="G302" i="84"/>
  <c r="G298" i="84"/>
  <c r="G294" i="84"/>
  <c r="G290" i="84"/>
  <c r="G286" i="84"/>
  <c r="G282" i="84"/>
  <c r="G278" i="84"/>
  <c r="G274" i="84"/>
  <c r="G270" i="84"/>
  <c r="G237" i="84"/>
  <c r="G175" i="84"/>
  <c r="G263" i="84"/>
  <c r="G262" i="84"/>
  <c r="G261" i="84"/>
  <c r="G231" i="84"/>
  <c r="G230" i="84"/>
  <c r="G229" i="84"/>
  <c r="G199" i="84"/>
  <c r="G198" i="84"/>
  <c r="G197" i="84"/>
  <c r="G179" i="84"/>
  <c r="G178" i="84"/>
  <c r="G177" i="84"/>
  <c r="G163" i="84"/>
  <c r="G162" i="84"/>
  <c r="G161" i="84"/>
  <c r="G147" i="84"/>
  <c r="G146" i="84"/>
  <c r="G145" i="84"/>
  <c r="G131" i="84"/>
  <c r="G130" i="84"/>
  <c r="G129" i="84"/>
  <c r="G115" i="84"/>
  <c r="G114" i="84"/>
  <c r="G113" i="84"/>
  <c r="G99" i="84"/>
  <c r="G98" i="84"/>
  <c r="G97" i="84"/>
  <c r="G83" i="84"/>
  <c r="G82" i="84"/>
  <c r="G81" i="84"/>
  <c r="G67" i="84"/>
  <c r="G66" i="84"/>
  <c r="G65" i="84"/>
  <c r="G50" i="84"/>
  <c r="G446" i="84"/>
  <c r="G443" i="84"/>
  <c r="G439" i="84"/>
  <c r="G435" i="84"/>
  <c r="G431" i="84"/>
  <c r="G427" i="84"/>
  <c r="G423" i="84"/>
  <c r="G419" i="84"/>
  <c r="G415" i="84"/>
  <c r="G411" i="84"/>
  <c r="G407" i="84"/>
  <c r="G403" i="84"/>
  <c r="G399" i="84"/>
  <c r="G395" i="84"/>
  <c r="G391" i="84"/>
  <c r="G387" i="84"/>
  <c r="G383" i="84"/>
  <c r="G379" i="84"/>
  <c r="G375" i="84"/>
  <c r="G371" i="84"/>
  <c r="G367" i="84"/>
  <c r="G363" i="84"/>
  <c r="G359" i="84"/>
  <c r="G355" i="84"/>
  <c r="G351" i="84"/>
  <c r="G347" i="84"/>
  <c r="G343" i="84"/>
  <c r="G338" i="84"/>
  <c r="G334" i="84"/>
  <c r="G330" i="84"/>
  <c r="G326" i="84"/>
  <c r="G322" i="84"/>
  <c r="G317" i="84"/>
  <c r="G313" i="84"/>
  <c r="G309" i="84"/>
  <c r="G305" i="84"/>
  <c r="G301" i="84"/>
  <c r="G297" i="84"/>
  <c r="G293" i="84"/>
  <c r="G289" i="84"/>
  <c r="G285" i="84"/>
  <c r="G281" i="84"/>
  <c r="G277" i="84"/>
  <c r="G273" i="84"/>
  <c r="G269" i="84"/>
  <c r="G207" i="84"/>
  <c r="G174" i="84"/>
  <c r="G45" i="84"/>
  <c r="G109" i="84"/>
  <c r="G93" i="84"/>
  <c r="G61" i="84"/>
  <c r="G62" i="84"/>
  <c r="G63" i="84"/>
  <c r="G125" i="84"/>
  <c r="G126" i="84"/>
  <c r="G127" i="84"/>
  <c r="G486" i="84"/>
  <c r="G487" i="84"/>
  <c r="G488" i="84"/>
  <c r="G489" i="84"/>
  <c r="G493" i="84"/>
  <c r="G497" i="84"/>
  <c r="G501" i="84"/>
  <c r="G505" i="84"/>
  <c r="G509" i="84"/>
  <c r="G513" i="84"/>
  <c r="G517" i="84"/>
  <c r="G521" i="84"/>
  <c r="G26" i="84"/>
  <c r="G40" i="84"/>
  <c r="G48" i="84"/>
  <c r="G56" i="84"/>
  <c r="G64" i="84"/>
  <c r="G72" i="84"/>
  <c r="G80" i="84"/>
  <c r="G88" i="84"/>
  <c r="G96" i="84"/>
  <c r="G104" i="84"/>
  <c r="G112" i="84"/>
  <c r="G120" i="84"/>
  <c r="G128" i="84"/>
  <c r="G136" i="84"/>
  <c r="G144" i="84"/>
  <c r="G152" i="84"/>
  <c r="G160" i="84"/>
  <c r="G168" i="84"/>
  <c r="G176" i="84"/>
  <c r="G184" i="84"/>
  <c r="G192" i="84"/>
  <c r="G200" i="84"/>
  <c r="G208" i="84"/>
  <c r="G216" i="84"/>
  <c r="G224" i="84"/>
  <c r="G232" i="84"/>
  <c r="G240" i="84"/>
  <c r="G248" i="84"/>
  <c r="G256" i="84"/>
  <c r="G264" i="84"/>
  <c r="G492" i="84"/>
  <c r="G496" i="84"/>
  <c r="G500" i="84"/>
  <c r="G504" i="84"/>
  <c r="G508" i="84"/>
  <c r="G512" i="84"/>
  <c r="G516" i="84"/>
  <c r="G520" i="84"/>
  <c r="G524" i="84"/>
  <c r="G187" i="84"/>
  <c r="G193" i="84"/>
  <c r="G194" i="84"/>
  <c r="G195" i="84"/>
  <c r="G201" i="84"/>
  <c r="G202" i="84"/>
  <c r="G203" i="84"/>
  <c r="G209" i="84"/>
  <c r="G210" i="84"/>
  <c r="G211" i="84"/>
  <c r="G217" i="84"/>
  <c r="G218" i="84"/>
  <c r="G219" i="84"/>
  <c r="G225" i="84"/>
  <c r="G226" i="84"/>
  <c r="G227" i="84"/>
  <c r="G233" i="84"/>
  <c r="G234" i="84"/>
  <c r="G235" i="84"/>
  <c r="G241" i="84"/>
  <c r="G242" i="84"/>
  <c r="G243" i="84"/>
  <c r="G249" i="84"/>
  <c r="G250" i="84"/>
  <c r="G251" i="84"/>
  <c r="G257" i="84"/>
  <c r="G258" i="84"/>
  <c r="G259" i="84"/>
  <c r="G265" i="84"/>
  <c r="G266" i="84"/>
  <c r="G267" i="84"/>
  <c r="G491" i="84"/>
  <c r="G495" i="84"/>
  <c r="G499" i="84"/>
  <c r="G503" i="84"/>
  <c r="G507" i="84"/>
  <c r="G511" i="84"/>
  <c r="G515" i="84"/>
  <c r="G519" i="84"/>
  <c r="G523" i="84"/>
  <c r="G186" i="84"/>
  <c r="G27" i="84"/>
  <c r="G42" i="84"/>
  <c r="G44" i="84"/>
  <c r="G52" i="84"/>
  <c r="G60" i="84"/>
  <c r="G68" i="84"/>
  <c r="G76" i="84"/>
  <c r="G84" i="84"/>
  <c r="G92" i="84"/>
  <c r="G100" i="84"/>
  <c r="G108" i="84"/>
  <c r="G116" i="84"/>
  <c r="G124" i="84"/>
  <c r="G132" i="84"/>
  <c r="G140" i="84"/>
  <c r="G148" i="84"/>
  <c r="G156" i="84"/>
  <c r="G164" i="84"/>
  <c r="G172" i="84"/>
  <c r="G180" i="84"/>
  <c r="G188" i="84"/>
  <c r="G196" i="84"/>
  <c r="G204" i="84"/>
  <c r="G212" i="84"/>
  <c r="G220" i="84"/>
  <c r="G228" i="84"/>
  <c r="G236" i="84"/>
  <c r="G244" i="84"/>
  <c r="G252" i="84"/>
  <c r="G260" i="84"/>
  <c r="G268" i="84"/>
  <c r="G490" i="84"/>
  <c r="G494" i="84"/>
  <c r="G498" i="84"/>
  <c r="G502" i="84"/>
  <c r="G506" i="84"/>
  <c r="G510" i="84"/>
  <c r="G514" i="84"/>
  <c r="G518" i="84"/>
  <c r="G522" i="84"/>
  <c r="E490" i="84"/>
  <c r="E492" i="84"/>
  <c r="E495" i="84"/>
  <c r="E503" i="84"/>
  <c r="E504" i="84"/>
  <c r="E505" i="84"/>
  <c r="E506" i="84"/>
  <c r="E507" i="84"/>
  <c r="E508" i="84"/>
  <c r="E509" i="84"/>
  <c r="E510" i="84"/>
  <c r="E511" i="84"/>
  <c r="E512" i="84"/>
  <c r="E513" i="84"/>
  <c r="E514" i="84"/>
  <c r="E515" i="84"/>
  <c r="E516" i="84"/>
  <c r="E517" i="84"/>
  <c r="E518" i="84"/>
  <c r="E519" i="84"/>
  <c r="E520" i="84"/>
  <c r="E521" i="84"/>
  <c r="E522" i="84"/>
  <c r="E523" i="84"/>
  <c r="E524" i="84"/>
  <c r="E491" i="84"/>
  <c r="E493" i="84"/>
  <c r="E494" i="84"/>
  <c r="E496" i="84"/>
  <c r="E497" i="84"/>
  <c r="E498" i="84"/>
  <c r="E499" i="84"/>
  <c r="E500" i="84"/>
  <c r="E501" i="84"/>
  <c r="E502" i="84"/>
  <c r="E26" i="84"/>
  <c r="E46" i="84"/>
  <c r="E50" i="84"/>
  <c r="E54" i="84"/>
  <c r="E58" i="84"/>
  <c r="E62" i="84"/>
  <c r="E66" i="84"/>
  <c r="E70" i="84"/>
  <c r="E74" i="84"/>
  <c r="E78" i="84"/>
  <c r="E82" i="84"/>
  <c r="E86" i="84"/>
  <c r="E90" i="84"/>
  <c r="E94" i="84"/>
  <c r="E98" i="84"/>
  <c r="E102" i="84"/>
  <c r="E106" i="84"/>
  <c r="E110" i="84"/>
  <c r="E114" i="84"/>
  <c r="E118" i="84"/>
  <c r="E122" i="84"/>
  <c r="E126" i="84"/>
  <c r="E130" i="84"/>
  <c r="E134" i="84"/>
  <c r="E138" i="84"/>
  <c r="E142" i="84"/>
  <c r="E146" i="84"/>
  <c r="E150" i="84"/>
  <c r="E154" i="84"/>
  <c r="E158" i="84"/>
  <c r="E162" i="84"/>
  <c r="E166" i="84"/>
  <c r="E170" i="84"/>
  <c r="E174" i="84"/>
  <c r="E178" i="84"/>
  <c r="E182" i="84"/>
  <c r="E186" i="84"/>
  <c r="E190" i="84"/>
  <c r="E194" i="84"/>
  <c r="E198" i="84"/>
  <c r="E202" i="84"/>
  <c r="E206" i="84"/>
  <c r="E210" i="84"/>
  <c r="E214" i="84"/>
  <c r="E218" i="84"/>
  <c r="E222" i="84"/>
  <c r="E226" i="84"/>
  <c r="E230" i="84"/>
  <c r="E234" i="84"/>
  <c r="E238" i="84"/>
  <c r="E242" i="84"/>
  <c r="E246" i="84"/>
  <c r="E250" i="84"/>
  <c r="E254" i="84"/>
  <c r="E258" i="84"/>
  <c r="E262" i="84"/>
  <c r="E266" i="84"/>
  <c r="E25" i="84"/>
  <c r="E42" i="84"/>
  <c r="E43" i="84"/>
  <c r="E47" i="84"/>
  <c r="E51" i="84"/>
  <c r="E55" i="84"/>
  <c r="E59" i="84"/>
  <c r="E63" i="84"/>
  <c r="E67" i="84"/>
  <c r="E71" i="84"/>
  <c r="E75" i="84"/>
  <c r="E79" i="84"/>
  <c r="E83" i="84"/>
  <c r="E87" i="84"/>
  <c r="E91" i="84"/>
  <c r="E95" i="84"/>
  <c r="E99" i="84"/>
  <c r="E103" i="84"/>
  <c r="E107" i="84"/>
  <c r="E111" i="84"/>
  <c r="E115" i="84"/>
  <c r="E119" i="84"/>
  <c r="E123" i="84"/>
  <c r="E127" i="84"/>
  <c r="E131" i="84"/>
  <c r="E135" i="84"/>
  <c r="E139" i="84"/>
  <c r="E143" i="84"/>
  <c r="E147" i="84"/>
  <c r="E151" i="84"/>
  <c r="E155" i="84"/>
  <c r="E159" i="84"/>
  <c r="E163" i="84"/>
  <c r="E167" i="84"/>
  <c r="E171" i="84"/>
  <c r="E175" i="84"/>
  <c r="E179" i="84"/>
  <c r="E183" i="84"/>
  <c r="E187" i="84"/>
  <c r="E191" i="84"/>
  <c r="E195" i="84"/>
  <c r="E199" i="84"/>
  <c r="E203" i="84"/>
  <c r="E207" i="84"/>
  <c r="E211" i="84"/>
  <c r="E215" i="84"/>
  <c r="E219" i="84"/>
  <c r="E223" i="84"/>
  <c r="E227" i="84"/>
  <c r="E231" i="84"/>
  <c r="E235" i="84"/>
  <c r="E239" i="84"/>
  <c r="E243" i="84"/>
  <c r="E247" i="84"/>
  <c r="E251" i="84"/>
  <c r="E255" i="84"/>
  <c r="E259" i="84"/>
  <c r="E263" i="84"/>
  <c r="E267" i="84"/>
  <c r="C92" i="85"/>
  <c r="C94" i="85"/>
  <c r="D121" i="85"/>
  <c r="K120" i="85"/>
  <c r="H111" i="85"/>
  <c r="D126" i="85" s="1"/>
  <c r="D127" i="85" s="1"/>
  <c r="A126" i="85"/>
  <c r="H109" i="85"/>
  <c r="Q270" i="84"/>
  <c r="Q523" i="84"/>
  <c r="Q521" i="84"/>
  <c r="Q519" i="84"/>
  <c r="Q517" i="84"/>
  <c r="Q515" i="84"/>
  <c r="Q513" i="84"/>
  <c r="Q511" i="84"/>
  <c r="Q509" i="84"/>
  <c r="Q507" i="84"/>
  <c r="Q505" i="84"/>
  <c r="Q503" i="84"/>
  <c r="Q501" i="84"/>
  <c r="Q499" i="84"/>
  <c r="Q497" i="84"/>
  <c r="Q495" i="84"/>
  <c r="Q493" i="84"/>
  <c r="Q491" i="84"/>
  <c r="Q489" i="84"/>
  <c r="Q487" i="84"/>
  <c r="Q485" i="84"/>
  <c r="Q483" i="84"/>
  <c r="Q481" i="84"/>
  <c r="Q479" i="84"/>
  <c r="Q477" i="84"/>
  <c r="Q475" i="84"/>
  <c r="Q473" i="84"/>
  <c r="Q471" i="84"/>
  <c r="Q469" i="84"/>
  <c r="Q467" i="84"/>
  <c r="Q465" i="84"/>
  <c r="Q463" i="84"/>
  <c r="Q461" i="84"/>
  <c r="Q459" i="84"/>
  <c r="Q457" i="84"/>
  <c r="Q455" i="84"/>
  <c r="Q453" i="84"/>
  <c r="Q451" i="84"/>
  <c r="Q449" i="84"/>
  <c r="Q447" i="84"/>
  <c r="Q445" i="84"/>
  <c r="Q443" i="84"/>
  <c r="Q441" i="84"/>
  <c r="Q439" i="84"/>
  <c r="Q437" i="84"/>
  <c r="Q435" i="84"/>
  <c r="Q433" i="84"/>
  <c r="Q431" i="84"/>
  <c r="Q429" i="84"/>
  <c r="Q427" i="84"/>
  <c r="Q425" i="84"/>
  <c r="Q423" i="84"/>
  <c r="Q421" i="84"/>
  <c r="Q419" i="84"/>
  <c r="Q417" i="84"/>
  <c r="Q415" i="84"/>
  <c r="Q413" i="84"/>
  <c r="Q411" i="84"/>
  <c r="Q409" i="84"/>
  <c r="Q407" i="84"/>
  <c r="Q405" i="84"/>
  <c r="Q403" i="84"/>
  <c r="Q401" i="84"/>
  <c r="Q399" i="84"/>
  <c r="Q397" i="84"/>
  <c r="Q395" i="84"/>
  <c r="Q393" i="84"/>
  <c r="Q391" i="84"/>
  <c r="Q389" i="84"/>
  <c r="Q387" i="84"/>
  <c r="Q385" i="84"/>
  <c r="Q383" i="84"/>
  <c r="Q381" i="84"/>
  <c r="Q379" i="84"/>
  <c r="Q377" i="84"/>
  <c r="Q375" i="84"/>
  <c r="Q373" i="84"/>
  <c r="Q371" i="84"/>
  <c r="Q369" i="84"/>
  <c r="Q367" i="84"/>
  <c r="Q365" i="84"/>
  <c r="Q363" i="84"/>
  <c r="Q361" i="84"/>
  <c r="Q359" i="84"/>
  <c r="Q357" i="84"/>
  <c r="Q355" i="84"/>
  <c r="Q353" i="84"/>
  <c r="Q351" i="84"/>
  <c r="Q524" i="84"/>
  <c r="Q522" i="84"/>
  <c r="Q520" i="84"/>
  <c r="Q518" i="84"/>
  <c r="Q516" i="84"/>
  <c r="Q514" i="84"/>
  <c r="Q512" i="84"/>
  <c r="Q510" i="84"/>
  <c r="Q508" i="84"/>
  <c r="Q506" i="84"/>
  <c r="Q504" i="84"/>
  <c r="Q502" i="84"/>
  <c r="Q500" i="84"/>
  <c r="Q498" i="84"/>
  <c r="Q496" i="84"/>
  <c r="Q494" i="84"/>
  <c r="Q492" i="84"/>
  <c r="Q490" i="84"/>
  <c r="Q488" i="84"/>
  <c r="Q486" i="84"/>
  <c r="Q484" i="84"/>
  <c r="Q482" i="84"/>
  <c r="Q480" i="84"/>
  <c r="Q478" i="84"/>
  <c r="Q476" i="84"/>
  <c r="Q474" i="84"/>
  <c r="Q472" i="84"/>
  <c r="Q470" i="84"/>
  <c r="Q468" i="84"/>
  <c r="Q466" i="84"/>
  <c r="Q464" i="84"/>
  <c r="Q462" i="84"/>
  <c r="Q460" i="84"/>
  <c r="Q458" i="84"/>
  <c r="Q456" i="84"/>
  <c r="Q454" i="84"/>
  <c r="Q452" i="84"/>
  <c r="Q450" i="84"/>
  <c r="Q448" i="84"/>
  <c r="Q446" i="84"/>
  <c r="Q444" i="84"/>
  <c r="Q442" i="84"/>
  <c r="Q440" i="84"/>
  <c r="Q438" i="84"/>
  <c r="Q436" i="84"/>
  <c r="Q434" i="84"/>
  <c r="Q432" i="84"/>
  <c r="Q430" i="84"/>
  <c r="Q428" i="84"/>
  <c r="Q426" i="84"/>
  <c r="Q424" i="84"/>
  <c r="Q422" i="84"/>
  <c r="Q420" i="84"/>
  <c r="Q418" i="84"/>
  <c r="Q416" i="84"/>
  <c r="Q414" i="84"/>
  <c r="Q412" i="84"/>
  <c r="Q410" i="84"/>
  <c r="Q408" i="84"/>
  <c r="Q406" i="84"/>
  <c r="Q404" i="84"/>
  <c r="Q402" i="84"/>
  <c r="Q400" i="84"/>
  <c r="Q398" i="84"/>
  <c r="Q396" i="84"/>
  <c r="Q394" i="84"/>
  <c r="Q392" i="84"/>
  <c r="Q390" i="84"/>
  <c r="Q388" i="84"/>
  <c r="Q386" i="84"/>
  <c r="Q384" i="84"/>
  <c r="Q382" i="84"/>
  <c r="Q380" i="84"/>
  <c r="Q378" i="84"/>
  <c r="Q376" i="84"/>
  <c r="Q374" i="84"/>
  <c r="Q372" i="84"/>
  <c r="Q370" i="84"/>
  <c r="Q368" i="84"/>
  <c r="Q366" i="84"/>
  <c r="Q364" i="84"/>
  <c r="Q362" i="84"/>
  <c r="Q360" i="84"/>
  <c r="Q358" i="84"/>
  <c r="Q356" i="84"/>
  <c r="Q354" i="84"/>
  <c r="Q349" i="84"/>
  <c r="Q347" i="84"/>
  <c r="Q345" i="84"/>
  <c r="Q343" i="84"/>
  <c r="Q341" i="84"/>
  <c r="Q339" i="84"/>
  <c r="Q337" i="84"/>
  <c r="Q335" i="84"/>
  <c r="Q333" i="84"/>
  <c r="Q331" i="84"/>
  <c r="Q329" i="84"/>
  <c r="Q327" i="84"/>
  <c r="Q325" i="84"/>
  <c r="Q323" i="84"/>
  <c r="Q321" i="84"/>
  <c r="Q319" i="84"/>
  <c r="Q317" i="84"/>
  <c r="Q315" i="84"/>
  <c r="Q313" i="84"/>
  <c r="Q311" i="84"/>
  <c r="Q309" i="84"/>
  <c r="Q307" i="84"/>
  <c r="Q305" i="84"/>
  <c r="Q303" i="84"/>
  <c r="Q301" i="84"/>
  <c r="Q299" i="84"/>
  <c r="Q295" i="84"/>
  <c r="Q291" i="84"/>
  <c r="Q287" i="84"/>
  <c r="Q283" i="84"/>
  <c r="Q279" i="84"/>
  <c r="Q275" i="84"/>
  <c r="Q294" i="84"/>
  <c r="Q290" i="84"/>
  <c r="Q286" i="84"/>
  <c r="Q282" i="84"/>
  <c r="Q278" i="84"/>
  <c r="Q350" i="84"/>
  <c r="Q348" i="84"/>
  <c r="Q346" i="84"/>
  <c r="Q344" i="84"/>
  <c r="Q342" i="84"/>
  <c r="Q340" i="84"/>
  <c r="Q338" i="84"/>
  <c r="Q336" i="84"/>
  <c r="Q334" i="84"/>
  <c r="Q332" i="84"/>
  <c r="Q330" i="84"/>
  <c r="Q328" i="84"/>
  <c r="Q326" i="84"/>
  <c r="Q324" i="84"/>
  <c r="Q322" i="84"/>
  <c r="Q320" i="84"/>
  <c r="Q318" i="84"/>
  <c r="Q316" i="84"/>
  <c r="Q314" i="84"/>
  <c r="Q312" i="84"/>
  <c r="Q310" i="84"/>
  <c r="Q308" i="84"/>
  <c r="Q306" i="84"/>
  <c r="Q304" i="84"/>
  <c r="Q302" i="84"/>
  <c r="Q300" i="84"/>
  <c r="Q298" i="84"/>
  <c r="Q296" i="84"/>
  <c r="Q292" i="84"/>
  <c r="Q288" i="84"/>
  <c r="Q284" i="84"/>
  <c r="Q280" i="84"/>
  <c r="Q276" i="84"/>
  <c r="Q352" i="84"/>
  <c r="Q297" i="84"/>
  <c r="Q293" i="84"/>
  <c r="Q289" i="84"/>
  <c r="Q285" i="84"/>
  <c r="Q281" i="84"/>
  <c r="Q277" i="84"/>
  <c r="Q273" i="84"/>
  <c r="B22" i="84"/>
  <c r="B15" i="74" s="1"/>
  <c r="Q26" i="84"/>
  <c r="Q28" i="84"/>
  <c r="Q30" i="84"/>
  <c r="C25" i="84"/>
  <c r="C29" i="84"/>
  <c r="Q269" i="84"/>
  <c r="Q271" i="84"/>
  <c r="C27" i="84"/>
  <c r="C31" i="84"/>
  <c r="C26" i="84"/>
  <c r="C28" i="84"/>
  <c r="C30" i="84"/>
  <c r="Q27" i="84"/>
  <c r="Q29" i="84"/>
  <c r="Q31" i="84"/>
  <c r="Q274" i="84"/>
  <c r="D29" i="82"/>
  <c r="E27" i="82"/>
  <c r="E29" i="82" s="1"/>
  <c r="C4" i="82"/>
  <c r="E40" i="84" l="1"/>
  <c r="F6" i="84"/>
  <c r="G6" i="84" s="1"/>
  <c r="G25" i="84"/>
  <c r="F8" i="84"/>
  <c r="G8" i="84" s="1"/>
  <c r="D124" i="85"/>
  <c r="D125" i="85" s="1"/>
  <c r="H110" i="85"/>
  <c r="C10" i="82"/>
  <c r="C7" i="82"/>
  <c r="E7" i="82" s="1"/>
  <c r="C8" i="82"/>
  <c r="E8" i="82" s="1"/>
  <c r="D4" i="82"/>
  <c r="H6" i="84" l="1"/>
  <c r="I6" i="84" s="1"/>
  <c r="J6" i="84" s="1"/>
  <c r="K6" i="84" s="1"/>
  <c r="L6" i="84" s="1"/>
  <c r="M6" i="84" s="1"/>
  <c r="N6" i="84" s="1"/>
  <c r="O6" i="84" s="1"/>
  <c r="P6" i="84" s="1"/>
  <c r="Q6" i="84" s="1"/>
  <c r="R6" i="84" s="1"/>
  <c r="S6" i="84" s="1"/>
  <c r="E31" i="84"/>
  <c r="E32" i="84"/>
  <c r="E36" i="84"/>
  <c r="E41" i="84"/>
  <c r="E28" i="84"/>
  <c r="E33" i="84"/>
  <c r="E37" i="84"/>
  <c r="E30" i="84"/>
  <c r="E34" i="84"/>
  <c r="E38" i="84"/>
  <c r="E29" i="84"/>
  <c r="E35" i="84"/>
  <c r="E39" i="84"/>
  <c r="H8" i="84"/>
  <c r="I8" i="84" s="1"/>
  <c r="J8" i="84" s="1"/>
  <c r="K8" i="84" s="1"/>
  <c r="L8" i="84" s="1"/>
  <c r="M8" i="84" s="1"/>
  <c r="N8" i="84" s="1"/>
  <c r="O8" i="84" s="1"/>
  <c r="P8" i="84" s="1"/>
  <c r="Q8" i="84" s="1"/>
  <c r="R8" i="84" s="1"/>
  <c r="S8" i="84" s="1"/>
  <c r="G41" i="84"/>
  <c r="G37" i="84"/>
  <c r="G33" i="84"/>
  <c r="G28" i="84"/>
  <c r="G32" i="84"/>
  <c r="G30" i="84"/>
  <c r="G29" i="84"/>
  <c r="G38" i="84"/>
  <c r="G36" i="84"/>
  <c r="G35" i="84"/>
  <c r="G31" i="84"/>
  <c r="G39" i="84"/>
  <c r="G34" i="84"/>
  <c r="E10" i="82"/>
  <c r="D10" i="82" s="1"/>
  <c r="G10" i="82" l="1"/>
  <c r="L7" i="1" l="1"/>
  <c r="F20" i="6"/>
  <c r="F19" i="6"/>
  <c r="C39" i="3"/>
  <c r="C38" i="3"/>
  <c r="C37" i="3"/>
  <c r="C36" i="3"/>
  <c r="C35" i="3"/>
  <c r="C34" i="3"/>
  <c r="C33" i="3"/>
  <c r="C32" i="3"/>
  <c r="C31" i="3"/>
  <c r="C30" i="3"/>
  <c r="C29" i="3"/>
  <c r="C28" i="3"/>
  <c r="C27" i="3"/>
  <c r="C26" i="3"/>
  <c r="C25" i="3"/>
  <c r="C24" i="3"/>
  <c r="C23" i="3"/>
  <c r="C22" i="3"/>
  <c r="C21" i="3"/>
  <c r="C20" i="3"/>
  <c r="C19" i="3"/>
  <c r="C18" i="3"/>
  <c r="C17" i="3"/>
  <c r="C16" i="3"/>
  <c r="C15" i="3"/>
  <c r="C14" i="3"/>
  <c r="C13" i="3"/>
  <c r="E32" i="81" l="1"/>
  <c r="D32" i="81"/>
  <c r="A3" i="3" s="1"/>
  <c r="C32" i="81"/>
  <c r="M31" i="81"/>
  <c r="M30" i="81"/>
  <c r="M29" i="81"/>
  <c r="M28" i="81"/>
  <c r="M27" i="81"/>
  <c r="M26" i="81"/>
  <c r="M25" i="81"/>
  <c r="M24" i="81"/>
  <c r="M23" i="81"/>
  <c r="M22" i="81"/>
  <c r="M21" i="81"/>
  <c r="M20" i="81"/>
  <c r="M19" i="81"/>
  <c r="M18" i="81"/>
  <c r="M17" i="81"/>
  <c r="M16" i="81"/>
  <c r="M15" i="81"/>
  <c r="M14" i="81"/>
  <c r="M13" i="81"/>
  <c r="M12" i="81"/>
  <c r="M11" i="81"/>
  <c r="M10" i="81"/>
  <c r="M9" i="81"/>
  <c r="M8" i="81"/>
  <c r="M7" i="81"/>
  <c r="M6" i="81"/>
  <c r="M5" i="81"/>
  <c r="D3" i="4" l="1"/>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S40" i="79" s="1"/>
  <c r="I40" i="79"/>
  <c r="AB39" i="79"/>
  <c r="AA39" i="79"/>
  <c r="Z39" i="79"/>
  <c r="N39" i="79"/>
  <c r="M39" i="79"/>
  <c r="L39" i="79"/>
  <c r="S39" i="79" s="1"/>
  <c r="I39" i="79"/>
  <c r="AB38" i="79"/>
  <c r="AA38" i="79"/>
  <c r="Z38" i="79"/>
  <c r="N38" i="79"/>
  <c r="M38" i="79"/>
  <c r="L38" i="79"/>
  <c r="I38" i="79"/>
  <c r="AD38" i="79" s="1"/>
  <c r="AB37" i="79"/>
  <c r="AA37" i="79"/>
  <c r="Z37" i="79"/>
  <c r="N37" i="79"/>
  <c r="U37" i="79" s="1"/>
  <c r="M37" i="79"/>
  <c r="M26" i="79" s="1"/>
  <c r="P26" i="79" s="1"/>
  <c r="L37" i="79"/>
  <c r="I37" i="79"/>
  <c r="AB36" i="79"/>
  <c r="AA36" i="79"/>
  <c r="Z36" i="79"/>
  <c r="N36" i="79"/>
  <c r="M36" i="79"/>
  <c r="L36" i="79"/>
  <c r="I36" i="79"/>
  <c r="AB35" i="79"/>
  <c r="AA35" i="79"/>
  <c r="Z35" i="79"/>
  <c r="N35" i="79"/>
  <c r="M35" i="79"/>
  <c r="L35" i="79"/>
  <c r="I35" i="79"/>
  <c r="AB29" i="79"/>
  <c r="AA29" i="79"/>
  <c r="Z29" i="79"/>
  <c r="N29" i="79"/>
  <c r="U28" i="79" s="1"/>
  <c r="M29" i="79"/>
  <c r="L29" i="79"/>
  <c r="I29" i="79"/>
  <c r="AD29" i="79" s="1"/>
  <c r="U26" i="79"/>
  <c r="L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M16" i="79"/>
  <c r="L16" i="79"/>
  <c r="S16" i="79" s="1"/>
  <c r="K16" i="79"/>
  <c r="I16" i="79"/>
  <c r="AD15" i="79"/>
  <c r="AC15" i="79"/>
  <c r="AB15" i="79"/>
  <c r="AA15" i="79"/>
  <c r="Z15" i="79"/>
  <c r="Y15" i="79"/>
  <c r="O15" i="79"/>
  <c r="N15" i="79"/>
  <c r="M15" i="79"/>
  <c r="L15" i="79"/>
  <c r="S15" i="79" s="1"/>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C3" i="79" s="1"/>
  <c r="AB6" i="79"/>
  <c r="AA6" i="79"/>
  <c r="AD6" i="79" s="1"/>
  <c r="Z6" i="79"/>
  <c r="Y6" i="79"/>
  <c r="Y3" i="79" s="1"/>
  <c r="O6" i="79"/>
  <c r="N6" i="79"/>
  <c r="M6" i="79"/>
  <c r="L6" i="79"/>
  <c r="L3" i="79" s="1"/>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R13" i="79" l="1"/>
  <c r="S14" i="79"/>
  <c r="T15" i="79"/>
  <c r="W15" i="79" s="1"/>
  <c r="T36" i="79"/>
  <c r="U5" i="79"/>
  <c r="V3" i="79"/>
  <c r="S13" i="79"/>
  <c r="U15" i="79"/>
  <c r="U16" i="79"/>
  <c r="N26" i="79"/>
  <c r="S28" i="79"/>
  <c r="AA26" i="79"/>
  <c r="AD26" i="79" s="1"/>
  <c r="T30" i="79"/>
  <c r="W30" i="79" s="1"/>
  <c r="U36" i="79"/>
  <c r="AD37" i="79"/>
  <c r="S38" i="79"/>
  <c r="U40" i="79"/>
  <c r="AD41" i="79"/>
  <c r="Z3" i="79"/>
  <c r="V13" i="79"/>
  <c r="S30" i="79"/>
  <c r="AB3" i="79"/>
  <c r="T26" i="79"/>
  <c r="W26" i="79" s="1"/>
  <c r="T29" i="79"/>
  <c r="T28" i="79"/>
  <c r="W28" i="79" s="1"/>
  <c r="U30" i="79"/>
  <c r="AD36" i="79"/>
  <c r="S37" i="79"/>
  <c r="U39" i="79"/>
  <c r="AD40" i="79"/>
  <c r="U38" i="79"/>
  <c r="AD39" i="79"/>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B22" i="31"/>
  <c r="B14" i="74" s="1"/>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c r="AG28" i="71"/>
  <c r="AH28" i="71"/>
  <c r="AD29" i="71"/>
  <c r="AE29" i="71"/>
  <c r="AF29" i="71"/>
  <c r="AG29" i="71"/>
  <c r="AH29" i="71"/>
  <c r="AD30" i="71"/>
  <c r="AE30" i="71"/>
  <c r="AF30" i="71" s="1"/>
  <c r="AG30" i="71"/>
  <c r="AH30" i="71"/>
  <c r="AD31" i="71"/>
  <c r="AE31" i="71"/>
  <c r="AF31" i="71" s="1"/>
  <c r="AG31" i="71"/>
  <c r="AH31" i="71"/>
  <c r="AD32" i="71"/>
  <c r="AE32" i="71"/>
  <c r="AF32" i="71"/>
  <c r="AG32" i="71"/>
  <c r="AH32" i="71"/>
  <c r="AD33" i="71"/>
  <c r="AE33" i="71"/>
  <c r="AF33" i="71"/>
  <c r="AG33" i="71"/>
  <c r="AH33" i="71"/>
  <c r="AD34" i="71"/>
  <c r="AE34" i="71"/>
  <c r="AF34" i="71" s="1"/>
  <c r="AG34" i="71"/>
  <c r="AH34" i="71"/>
  <c r="AD35" i="71"/>
  <c r="AE35" i="71"/>
  <c r="AF35" i="71" s="1"/>
  <c r="AG35" i="71"/>
  <c r="AH35" i="71"/>
  <c r="AD36" i="71"/>
  <c r="AE36" i="71"/>
  <c r="AF36" i="71"/>
  <c r="AG36" i="71"/>
  <c r="AH36" i="71"/>
  <c r="AD37" i="71"/>
  <c r="AE37" i="71"/>
  <c r="AF37" i="71"/>
  <c r="AG37" i="71"/>
  <c r="AH37" i="71"/>
  <c r="AD38" i="71"/>
  <c r="AE38" i="71"/>
  <c r="AF38" i="71" s="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D58" i="71" s="1"/>
  <c r="N57" i="71"/>
  <c r="B58" i="71"/>
  <c r="B59" i="71"/>
  <c r="B60" i="71" s="1"/>
  <c r="S60" i="71" s="1"/>
  <c r="D57" i="71"/>
  <c r="Q56" i="71"/>
  <c r="P56" i="71"/>
  <c r="O56" i="71"/>
  <c r="N56" i="71"/>
  <c r="Q55" i="71"/>
  <c r="P55" i="71"/>
  <c r="O55" i="71"/>
  <c r="N55" i="71"/>
  <c r="Q54" i="71"/>
  <c r="P54" i="71"/>
  <c r="O54" i="71"/>
  <c r="N54" i="71"/>
  <c r="Q53" i="71"/>
  <c r="F54" i="71" s="1"/>
  <c r="F55" i="71" s="1"/>
  <c r="F56" i="71" s="1"/>
  <c r="V56" i="71" s="1"/>
  <c r="P53" i="71"/>
  <c r="E54" i="71"/>
  <c r="O53" i="71"/>
  <c r="C54" i="71" s="1"/>
  <c r="C55" i="71" s="1"/>
  <c r="C56"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Q37" i="71"/>
  <c r="AB37" i="71" s="1"/>
  <c r="P37" i="71"/>
  <c r="O37" i="71"/>
  <c r="N37" i="71"/>
  <c r="B38" i="71" s="1"/>
  <c r="B39" i="71" s="1"/>
  <c r="D37" i="71"/>
  <c r="Q36" i="71"/>
  <c r="AB36" i="71" s="1"/>
  <c r="P36" i="71"/>
  <c r="AA34" i="71" s="1"/>
  <c r="O36" i="71"/>
  <c r="Y36" i="71" s="1"/>
  <c r="Z36" i="71" s="1"/>
  <c r="N36" i="71"/>
  <c r="X33" i="71" s="1"/>
  <c r="Q35" i="71"/>
  <c r="AB35" i="71" s="1"/>
  <c r="P35" i="71"/>
  <c r="O35" i="71"/>
  <c r="Y35" i="71"/>
  <c r="Z35" i="71" s="1"/>
  <c r="N35" i="71"/>
  <c r="Q34" i="71"/>
  <c r="AB34" i="71"/>
  <c r="P34" i="71"/>
  <c r="O34" i="71"/>
  <c r="N34" i="71"/>
  <c r="Q33" i="71"/>
  <c r="F34" i="71" s="1"/>
  <c r="F35" i="71" s="1"/>
  <c r="F36" i="71" s="1"/>
  <c r="V36" i="71" s="1"/>
  <c r="P33" i="71"/>
  <c r="E34" i="71" s="1"/>
  <c r="E35" i="71" s="1"/>
  <c r="E36" i="71" s="1"/>
  <c r="U36" i="71" s="1"/>
  <c r="O33" i="71"/>
  <c r="Y33" i="71" s="1"/>
  <c r="Z33" i="71" s="1"/>
  <c r="N33" i="71"/>
  <c r="D33" i="71"/>
  <c r="Q32" i="71"/>
  <c r="AB32" i="71"/>
  <c r="P32" i="71"/>
  <c r="O32" i="71"/>
  <c r="N32" i="71"/>
  <c r="Q31" i="71"/>
  <c r="P31" i="71"/>
  <c r="O31" i="71"/>
  <c r="Y31" i="71" s="1"/>
  <c r="Z31" i="71" s="1"/>
  <c r="N31" i="71"/>
  <c r="Q30" i="71"/>
  <c r="AB30" i="71" s="1"/>
  <c r="P30" i="71"/>
  <c r="O30" i="71"/>
  <c r="N30" i="71"/>
  <c r="X30" i="71" s="1"/>
  <c r="Q29" i="71"/>
  <c r="P29" i="71"/>
  <c r="O29" i="71"/>
  <c r="N29" i="71"/>
  <c r="D29" i="71"/>
  <c r="O28" i="71"/>
  <c r="N28" i="71"/>
  <c r="B30" i="71"/>
  <c r="B31" i="71"/>
  <c r="B32" i="71" s="1"/>
  <c r="S32" i="71" s="1"/>
  <c r="E30" i="71"/>
  <c r="E31" i="71" s="1"/>
  <c r="E32" i="71" s="1"/>
  <c r="U32" i="71" s="1"/>
  <c r="AA29" i="71"/>
  <c r="B34" i="71"/>
  <c r="B35" i="71" s="1"/>
  <c r="B36" i="71" s="1"/>
  <c r="S36" i="71"/>
  <c r="B40" i="71"/>
  <c r="S40" i="71" s="1"/>
  <c r="E38" i="71"/>
  <c r="E39" i="71"/>
  <c r="E40" i="71" s="1"/>
  <c r="U40" i="71" s="1"/>
  <c r="AA37" i="71"/>
  <c r="N68" i="71"/>
  <c r="C30" i="71"/>
  <c r="X31" i="71"/>
  <c r="AA32" i="71"/>
  <c r="C34" i="71"/>
  <c r="AB33" i="71"/>
  <c r="X34" i="71"/>
  <c r="X35" i="71"/>
  <c r="AA35" i="71"/>
  <c r="X36" i="71"/>
  <c r="C38" i="71"/>
  <c r="Y37" i="71"/>
  <c r="Z37" i="71" s="1"/>
  <c r="X38" i="71"/>
  <c r="AA38" i="71"/>
  <c r="C28" i="71"/>
  <c r="T28" i="71" s="1"/>
  <c r="B28" i="71"/>
  <c r="B27" i="71" s="1"/>
  <c r="B26" i="71" s="1"/>
  <c r="X25" i="71"/>
  <c r="X28" i="71"/>
  <c r="C31" i="71"/>
  <c r="C32" i="71" s="1"/>
  <c r="D32" i="71" s="1"/>
  <c r="D30" i="71"/>
  <c r="C39" i="71"/>
  <c r="C40" i="71" s="1"/>
  <c r="D40" i="71" s="1"/>
  <c r="D38" i="71"/>
  <c r="C47" i="71"/>
  <c r="D47" i="71" s="1"/>
  <c r="D46" i="71"/>
  <c r="C51" i="71"/>
  <c r="D50" i="71"/>
  <c r="P28" i="71"/>
  <c r="E55" i="71"/>
  <c r="E56" i="71" s="1"/>
  <c r="U56" i="71"/>
  <c r="E59" i="71"/>
  <c r="E60" i="71" s="1"/>
  <c r="U60" i="71" s="1"/>
  <c r="E63" i="71"/>
  <c r="E64" i="71" s="1"/>
  <c r="U64" i="71" s="1"/>
  <c r="U68" i="71"/>
  <c r="E67" i="71"/>
  <c r="Q28" i="71"/>
  <c r="AB27" i="71" s="1"/>
  <c r="D54" i="71"/>
  <c r="C59" i="71"/>
  <c r="D62" i="71"/>
  <c r="N67" i="71"/>
  <c r="B66" i="71"/>
  <c r="N66" i="71" s="1"/>
  <c r="Q67" i="71"/>
  <c r="T68" i="71"/>
  <c r="O68" i="71"/>
  <c r="D68" i="71"/>
  <c r="C67" i="71"/>
  <c r="Q68" i="71"/>
  <c r="C71" i="71"/>
  <c r="C70" i="71" s="1"/>
  <c r="E71" i="71"/>
  <c r="E70" i="71" s="1"/>
  <c r="D72" i="71"/>
  <c r="C75" i="71"/>
  <c r="D75" i="71" s="1"/>
  <c r="E75" i="71"/>
  <c r="E74" i="71" s="1"/>
  <c r="D76" i="71"/>
  <c r="C79" i="71"/>
  <c r="D79" i="71" s="1"/>
  <c r="E79" i="71"/>
  <c r="E78" i="71" s="1"/>
  <c r="D80" i="71"/>
  <c r="C83" i="71"/>
  <c r="C87" i="71"/>
  <c r="C27" i="71"/>
  <c r="D27" i="71" s="1"/>
  <c r="S28" i="71"/>
  <c r="F28" i="71"/>
  <c r="F27" i="71" s="1"/>
  <c r="F26" i="71"/>
  <c r="AB25" i="71"/>
  <c r="AB28" i="71"/>
  <c r="E28" i="71"/>
  <c r="E27" i="71" s="1"/>
  <c r="E26" i="71" s="1"/>
  <c r="AA3" i="71"/>
  <c r="AA25" i="71"/>
  <c r="AA28" i="71"/>
  <c r="C66" i="71"/>
  <c r="O67" i="71"/>
  <c r="D67" i="71"/>
  <c r="D83" i="71"/>
  <c r="C82" i="71"/>
  <c r="D82" i="71" s="1"/>
  <c r="C74" i="71"/>
  <c r="D74" i="71" s="1"/>
  <c r="N65" i="71"/>
  <c r="D87" i="71"/>
  <c r="C86" i="71"/>
  <c r="D86" i="71" s="1"/>
  <c r="C78" i="71"/>
  <c r="D78" i="71" s="1"/>
  <c r="D71" i="71"/>
  <c r="D70" i="71"/>
  <c r="C60" i="71"/>
  <c r="D60" i="71" s="1"/>
  <c r="D59" i="71"/>
  <c r="D55" i="71"/>
  <c r="P67" i="71"/>
  <c r="E66" i="71"/>
  <c r="P66" i="71" s="1"/>
  <c r="C52" i="71"/>
  <c r="D51" i="71"/>
  <c r="D39" i="71"/>
  <c r="D31" i="71"/>
  <c r="V28" i="71"/>
  <c r="P65" i="71"/>
  <c r="O66" i="71"/>
  <c r="D66" i="71"/>
  <c r="O65" i="71"/>
  <c r="T40" i="71"/>
  <c r="T52" i="71"/>
  <c r="D52" i="71"/>
  <c r="T56" i="71"/>
  <c r="D56"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S18" i="36" s="1"/>
  <c r="C18" i="36"/>
  <c r="Q18" i="35"/>
  <c r="Z18" i="35" s="1"/>
  <c r="D68" i="35"/>
  <c r="E68" i="35"/>
  <c r="F18" i="35"/>
  <c r="AA18" i="35"/>
  <c r="C18" i="35"/>
  <c r="Z21" i="37"/>
  <c r="Q21" i="37"/>
  <c r="D77" i="37"/>
  <c r="E77" i="37" s="1"/>
  <c r="F77" i="37" s="1"/>
  <c r="G77" i="37" s="1"/>
  <c r="C21" i="37"/>
  <c r="Q21" i="34"/>
  <c r="Z21" i="34" s="1"/>
  <c r="D84" i="34"/>
  <c r="E84" i="34" s="1"/>
  <c r="F84" i="34" s="1"/>
  <c r="G84" i="34" s="1"/>
  <c r="F21" i="34"/>
  <c r="AA21" i="34" s="1"/>
  <c r="C21" i="34"/>
  <c r="Z21" i="33"/>
  <c r="Q21" i="33"/>
  <c r="D83" i="33"/>
  <c r="E83" i="33" s="1"/>
  <c r="F83" i="33" s="1"/>
  <c r="G83" i="33" s="1"/>
  <c r="C21" i="33"/>
  <c r="C21" i="21"/>
  <c r="Q21" i="21"/>
  <c r="Z21" i="21"/>
  <c r="H19" i="21"/>
  <c r="D83" i="21"/>
  <c r="F21" i="21"/>
  <c r="AA21" i="21"/>
  <c r="D81" i="21"/>
  <c r="G20" i="20"/>
  <c r="B88" i="43" s="1"/>
  <c r="C22" i="20"/>
  <c r="B100" i="43" s="1"/>
  <c r="B77" i="43"/>
  <c r="C25" i="40"/>
  <c r="S25" i="40"/>
  <c r="U18" i="36"/>
  <c r="H25" i="40"/>
  <c r="J25" i="40"/>
  <c r="AC25" i="40" s="1"/>
  <c r="H29" i="39"/>
  <c r="AB29" i="39" s="1"/>
  <c r="J29" i="39"/>
  <c r="AC29" i="39" s="1"/>
  <c r="J18" i="36"/>
  <c r="AC18" i="36" s="1"/>
  <c r="F68" i="35"/>
  <c r="H18" i="35"/>
  <c r="AB18" i="35" s="1"/>
  <c r="S18" i="35"/>
  <c r="G68" i="35"/>
  <c r="J18" i="35"/>
  <c r="H21" i="37"/>
  <c r="F21" i="37"/>
  <c r="AA21" i="37" s="1"/>
  <c r="H21" i="34"/>
  <c r="AB21" i="34" s="1"/>
  <c r="H21" i="33"/>
  <c r="AB21" i="33" s="1"/>
  <c r="F21" i="33"/>
  <c r="AA21" i="33" s="1"/>
  <c r="E83" i="21"/>
  <c r="F83" i="21" s="1"/>
  <c r="G83" i="21" s="1"/>
  <c r="S21" i="21"/>
  <c r="H1" i="69"/>
  <c r="W25" i="40"/>
  <c r="AB25" i="40"/>
  <c r="U25" i="40"/>
  <c r="U29" i="39"/>
  <c r="W29" i="39"/>
  <c r="AB21" i="37"/>
  <c r="U21" i="37"/>
  <c r="U18" i="35"/>
  <c r="AC18" i="35"/>
  <c r="W18" i="35"/>
  <c r="J21" i="37"/>
  <c r="W21" i="37" s="1"/>
  <c r="J21" i="34"/>
  <c r="W21" i="34" s="1"/>
  <c r="J21" i="33"/>
  <c r="AC21" i="33" s="1"/>
  <c r="H21" i="21"/>
  <c r="AB21" i="21" s="1"/>
  <c r="F38" i="69"/>
  <c r="E37" i="69"/>
  <c r="F36" i="69"/>
  <c r="F35" i="69"/>
  <c r="F21" i="69"/>
  <c r="F40" i="69" s="1"/>
  <c r="F20" i="69"/>
  <c r="F39" i="69" s="1"/>
  <c r="E10" i="69"/>
  <c r="E9" i="69"/>
  <c r="C7" i="69"/>
  <c r="AC21" i="34"/>
  <c r="J21" i="21"/>
  <c r="AC21" i="21" s="1"/>
  <c r="C40" i="69"/>
  <c r="F38" i="68"/>
  <c r="E37" i="68"/>
  <c r="F36" i="68"/>
  <c r="F35" i="68"/>
  <c r="F21" i="68"/>
  <c r="F40" i="68" s="1"/>
  <c r="F20" i="68"/>
  <c r="F39" i="68" s="1"/>
  <c r="E10" i="68"/>
  <c r="E9" i="68"/>
  <c r="C7" i="68"/>
  <c r="C5" i="68" s="1"/>
  <c r="W21" i="21"/>
  <c r="C40" i="68"/>
  <c r="Q72" i="67"/>
  <c r="Q59" i="67"/>
  <c r="Q58" i="67"/>
  <c r="Q51" i="67"/>
  <c r="J50" i="67"/>
  <c r="M47" i="67"/>
  <c r="D46" i="67"/>
  <c r="F33" i="67"/>
  <c r="F61" i="67" s="1"/>
  <c r="F23" i="67"/>
  <c r="D24" i="67" s="1"/>
  <c r="F21" i="67"/>
  <c r="F20" i="67"/>
  <c r="M19" i="67"/>
  <c r="F18" i="67"/>
  <c r="F17" i="67"/>
  <c r="F15" i="67"/>
  <c r="S2" i="4"/>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G1" i="83"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G111" i="3" s="1"/>
  <c r="H111" i="3"/>
  <c r="BT110" i="3"/>
  <c r="BS110" i="3"/>
  <c r="BR110" i="3"/>
  <c r="BQ110" i="3"/>
  <c r="BP110" i="3"/>
  <c r="BO110" i="3"/>
  <c r="BL110" i="3" s="1"/>
  <c r="BN110" i="3"/>
  <c r="BM110" i="3"/>
  <c r="BK110" i="3"/>
  <c r="BJ110" i="3"/>
  <c r="BI110" i="3"/>
  <c r="BH110" i="3"/>
  <c r="BG110" i="3"/>
  <c r="BF110" i="3"/>
  <c r="BE110" i="3"/>
  <c r="BD110" i="3"/>
  <c r="BC110" i="3"/>
  <c r="BA110" i="3" s="1"/>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L108" i="3" s="1"/>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L106" i="3"/>
  <c r="BK106" i="3"/>
  <c r="BJ106" i="3"/>
  <c r="BI106" i="3"/>
  <c r="BH106" i="3"/>
  <c r="BG106" i="3"/>
  <c r="BF106" i="3"/>
  <c r="BE106" i="3"/>
  <c r="BD106" i="3"/>
  <c r="BA106" i="3" s="1"/>
  <c r="BC106" i="3"/>
  <c r="BB106" i="3"/>
  <c r="AZ106" i="3"/>
  <c r="AX106" i="3"/>
  <c r="AW106" i="3"/>
  <c r="AV106" i="3"/>
  <c r="AC106" i="3"/>
  <c r="H106" i="3"/>
  <c r="BT105" i="3"/>
  <c r="BS105" i="3"/>
  <c r="BR105" i="3"/>
  <c r="BQ105" i="3"/>
  <c r="BP105" i="3"/>
  <c r="BO105" i="3"/>
  <c r="BN105" i="3"/>
  <c r="BL105" i="3" s="1"/>
  <c r="BM105" i="3"/>
  <c r="BK105" i="3"/>
  <c r="BJ105" i="3"/>
  <c r="BI105" i="3"/>
  <c r="BH105" i="3"/>
  <c r="BG105" i="3"/>
  <c r="BF105" i="3"/>
  <c r="BE105" i="3"/>
  <c r="BD105" i="3"/>
  <c r="BC105" i="3"/>
  <c r="BB105" i="3"/>
  <c r="BA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L96" i="3" s="1"/>
  <c r="BM96" i="3"/>
  <c r="BK96" i="3"/>
  <c r="BJ96" i="3"/>
  <c r="BI96" i="3"/>
  <c r="BH96" i="3"/>
  <c r="BG96" i="3"/>
  <c r="BF96" i="3"/>
  <c r="BE96" i="3"/>
  <c r="BD96" i="3"/>
  <c r="BC96" i="3"/>
  <c r="BB96" i="3"/>
  <c r="BA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L93" i="3" s="1"/>
  <c r="BM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AX92" i="3"/>
  <c r="AW92" i="3"/>
  <c r="AV92" i="3"/>
  <c r="AC92" i="3"/>
  <c r="G92" i="3" s="1"/>
  <c r="H92" i="3"/>
  <c r="BT91" i="3"/>
  <c r="BS91" i="3"/>
  <c r="BR91" i="3"/>
  <c r="BQ91" i="3"/>
  <c r="BP91" i="3"/>
  <c r="BO91" i="3"/>
  <c r="BN91" i="3"/>
  <c r="BM91" i="3"/>
  <c r="BL91" i="3" s="1"/>
  <c r="BK91" i="3"/>
  <c r="BJ91" i="3"/>
  <c r="BI91" i="3"/>
  <c r="BH91" i="3"/>
  <c r="BG91" i="3"/>
  <c r="BF91" i="3"/>
  <c r="BE91" i="3"/>
  <c r="BD91" i="3"/>
  <c r="BC91" i="3"/>
  <c r="BA91" i="3" s="1"/>
  <c r="BB91" i="3"/>
  <c r="AX91" i="3"/>
  <c r="AW91" i="3"/>
  <c r="AV91" i="3"/>
  <c r="AC91" i="3"/>
  <c r="H91" i="3"/>
  <c r="G91" i="3" s="1"/>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G89" i="3" s="1"/>
  <c r="H89" i="3"/>
  <c r="BT88" i="3"/>
  <c r="BS88" i="3"/>
  <c r="BR88" i="3"/>
  <c r="BQ88" i="3"/>
  <c r="BP88" i="3"/>
  <c r="BO88" i="3"/>
  <c r="BL88" i="3" s="1"/>
  <c r="BN88" i="3"/>
  <c r="BM88" i="3"/>
  <c r="BK88" i="3"/>
  <c r="BJ88" i="3"/>
  <c r="BI88" i="3"/>
  <c r="BH88" i="3"/>
  <c r="BG88" i="3"/>
  <c r="BF88" i="3"/>
  <c r="BE88" i="3"/>
  <c r="BD88" i="3"/>
  <c r="BC88" i="3"/>
  <c r="BA88" i="3" s="1"/>
  <c r="BB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AX84" i="3"/>
  <c r="AW84" i="3"/>
  <c r="AV84" i="3"/>
  <c r="AC84" i="3"/>
  <c r="H84" i="3"/>
  <c r="G84" i="3" s="1"/>
  <c r="BT83" i="3"/>
  <c r="BS83" i="3"/>
  <c r="BR83" i="3"/>
  <c r="BQ83" i="3"/>
  <c r="BP83" i="3"/>
  <c r="BO83" i="3"/>
  <c r="BN83" i="3"/>
  <c r="BL83" i="3" s="1"/>
  <c r="BM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G80" i="3" s="1"/>
  <c r="H80" i="3"/>
  <c r="BT79" i="3"/>
  <c r="BS79" i="3"/>
  <c r="BR79" i="3"/>
  <c r="BQ79" i="3"/>
  <c r="BP79" i="3"/>
  <c r="BO79" i="3"/>
  <c r="BL79" i="3" s="1"/>
  <c r="BN79" i="3"/>
  <c r="BM79" i="3"/>
  <c r="BK79" i="3"/>
  <c r="BJ79" i="3"/>
  <c r="BI79" i="3"/>
  <c r="BH79" i="3"/>
  <c r="BG79" i="3"/>
  <c r="BF79" i="3"/>
  <c r="BE79" i="3"/>
  <c r="BD79" i="3"/>
  <c r="BC79" i="3"/>
  <c r="BA79" i="3" s="1"/>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L76" i="3" s="1"/>
  <c r="BM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G75" i="3" s="1"/>
  <c r="H75" i="3"/>
  <c r="BT74" i="3"/>
  <c r="BS74" i="3"/>
  <c r="BR74" i="3"/>
  <c r="BQ74" i="3"/>
  <c r="BP74" i="3"/>
  <c r="BO74" i="3"/>
  <c r="BL74" i="3" s="1"/>
  <c r="BN74" i="3"/>
  <c r="BM74" i="3"/>
  <c r="BK74" i="3"/>
  <c r="BJ74" i="3"/>
  <c r="BI74" i="3"/>
  <c r="BH74" i="3"/>
  <c r="BG74" i="3"/>
  <c r="BF74" i="3"/>
  <c r="BE74" i="3"/>
  <c r="BD74" i="3"/>
  <c r="BC74" i="3"/>
  <c r="BA74" i="3" s="1"/>
  <c r="BB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L71" i="3" s="1"/>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G70" i="3" s="1"/>
  <c r="H70" i="3"/>
  <c r="BT69" i="3"/>
  <c r="BS69" i="3"/>
  <c r="BR69" i="3"/>
  <c r="BQ69" i="3"/>
  <c r="BP69" i="3"/>
  <c r="BO69" i="3"/>
  <c r="BN69" i="3"/>
  <c r="BM69" i="3"/>
  <c r="BK69" i="3"/>
  <c r="BJ69" i="3"/>
  <c r="BI69" i="3"/>
  <c r="BH69" i="3"/>
  <c r="BG69" i="3"/>
  <c r="BF69" i="3"/>
  <c r="BE69" i="3"/>
  <c r="BD69" i="3"/>
  <c r="BC69" i="3"/>
  <c r="BA69" i="3" s="1"/>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L66" i="3" s="1"/>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G65" i="3" s="1"/>
  <c r="H65" i="3"/>
  <c r="BT64" i="3"/>
  <c r="BS64" i="3"/>
  <c r="BR64" i="3"/>
  <c r="BQ64" i="3"/>
  <c r="BP64" i="3"/>
  <c r="BO64" i="3"/>
  <c r="BN64" i="3"/>
  <c r="BM64" i="3"/>
  <c r="BK64" i="3"/>
  <c r="BJ64" i="3"/>
  <c r="BI64" i="3"/>
  <c r="BH64" i="3"/>
  <c r="BG64" i="3"/>
  <c r="BF64" i="3"/>
  <c r="BE64" i="3"/>
  <c r="BD64" i="3"/>
  <c r="BC64" i="3"/>
  <c r="BA64" i="3" s="1"/>
  <c r="BB64" i="3"/>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AX62" i="3"/>
  <c r="AW62" i="3"/>
  <c r="AV62" i="3"/>
  <c r="AC62" i="3"/>
  <c r="G62" i="3" s="1"/>
  <c r="H62" i="3"/>
  <c r="BT61" i="3"/>
  <c r="BS61" i="3"/>
  <c r="BR61" i="3"/>
  <c r="BQ61" i="3"/>
  <c r="BP61" i="3"/>
  <c r="BO61" i="3"/>
  <c r="BN61" i="3"/>
  <c r="BM61" i="3"/>
  <c r="BK61" i="3"/>
  <c r="BJ61" i="3"/>
  <c r="BI61" i="3"/>
  <c r="BH61" i="3"/>
  <c r="BG61" i="3"/>
  <c r="BF61" i="3"/>
  <c r="BE61" i="3"/>
  <c r="BD61" i="3"/>
  <c r="BC61" i="3"/>
  <c r="BB61" i="3"/>
  <c r="BA61" i="3"/>
  <c r="AX61" i="3"/>
  <c r="AW61" i="3"/>
  <c r="AV61" i="3"/>
  <c r="AC61" i="3"/>
  <c r="G61" i="3" s="1"/>
  <c r="H61" i="3"/>
  <c r="BT60" i="3"/>
  <c r="BS60" i="3"/>
  <c r="BR60" i="3"/>
  <c r="BQ60" i="3"/>
  <c r="BP60" i="3"/>
  <c r="BO60" i="3"/>
  <c r="BN60" i="3"/>
  <c r="BM60" i="3"/>
  <c r="BK60" i="3"/>
  <c r="BJ60" i="3"/>
  <c r="BI60" i="3"/>
  <c r="BH60" i="3"/>
  <c r="BG60" i="3"/>
  <c r="BF60" i="3"/>
  <c r="BE60" i="3"/>
  <c r="BD60" i="3"/>
  <c r="BC60" i="3"/>
  <c r="BB60" i="3"/>
  <c r="BA60" i="3" s="1"/>
  <c r="AX60" i="3"/>
  <c r="AW60" i="3"/>
  <c r="AV60" i="3"/>
  <c r="AC60" i="3"/>
  <c r="H60" i="3"/>
  <c r="G60" i="3"/>
  <c r="BT59" i="3"/>
  <c r="BS59" i="3"/>
  <c r="BR59" i="3"/>
  <c r="BQ59" i="3"/>
  <c r="BP59" i="3"/>
  <c r="BO59" i="3"/>
  <c r="BN59" i="3"/>
  <c r="BM59" i="3"/>
  <c r="BL59" i="3"/>
  <c r="BK59" i="3"/>
  <c r="BJ59" i="3"/>
  <c r="BI59" i="3"/>
  <c r="BH59" i="3"/>
  <c r="BG59" i="3"/>
  <c r="BF59" i="3"/>
  <c r="BE59" i="3"/>
  <c r="BD59" i="3"/>
  <c r="BA59" i="3" s="1"/>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c r="BT57" i="3"/>
  <c r="BS57" i="3"/>
  <c r="BR57" i="3"/>
  <c r="BQ57" i="3"/>
  <c r="BP57" i="3"/>
  <c r="BO57" i="3"/>
  <c r="BN57" i="3"/>
  <c r="BM57" i="3"/>
  <c r="BL57" i="3"/>
  <c r="BK57" i="3"/>
  <c r="BJ57" i="3"/>
  <c r="BI57" i="3"/>
  <c r="BH57" i="3"/>
  <c r="BG57" i="3"/>
  <c r="BF57" i="3"/>
  <c r="BE57" i="3"/>
  <c r="BD57" i="3"/>
  <c r="BA57" i="3" s="1"/>
  <c r="AZ57" i="3" s="1"/>
  <c r="BC57" i="3"/>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L54" i="3"/>
  <c r="BK54" i="3"/>
  <c r="BJ54" i="3"/>
  <c r="BI54" i="3"/>
  <c r="BH54" i="3"/>
  <c r="BG54" i="3"/>
  <c r="BF54" i="3"/>
  <c r="BE54" i="3"/>
  <c r="BD54" i="3"/>
  <c r="BC54" i="3"/>
  <c r="BA54" i="3" s="1"/>
  <c r="AZ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G52" i="3" s="1"/>
  <c r="H52" i="3"/>
  <c r="BT51" i="3"/>
  <c r="BS51" i="3"/>
  <c r="BR51" i="3"/>
  <c r="BQ51" i="3"/>
  <c r="BP51" i="3"/>
  <c r="BO51" i="3"/>
  <c r="BN51" i="3"/>
  <c r="BM51" i="3"/>
  <c r="BL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L49" i="3"/>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L46" i="3"/>
  <c r="BK46" i="3"/>
  <c r="BJ46" i="3"/>
  <c r="BI46" i="3"/>
  <c r="BH46" i="3"/>
  <c r="BG46" i="3"/>
  <c r="BF46" i="3"/>
  <c r="BE46" i="3"/>
  <c r="BD46" i="3"/>
  <c r="BC46" i="3"/>
  <c r="BA46" i="3" s="1"/>
  <c r="AZ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G44" i="3" s="1"/>
  <c r="H44" i="3"/>
  <c r="BT43" i="3"/>
  <c r="BS43" i="3"/>
  <c r="BR43" i="3"/>
  <c r="BQ43" i="3"/>
  <c r="BP43" i="3"/>
  <c r="BO43" i="3"/>
  <c r="BN43" i="3"/>
  <c r="BM43" i="3"/>
  <c r="BL43" i="3"/>
  <c r="BK43" i="3"/>
  <c r="BJ43" i="3"/>
  <c r="BI43" i="3"/>
  <c r="BH43" i="3"/>
  <c r="BG43" i="3"/>
  <c r="BF43" i="3"/>
  <c r="BE43" i="3"/>
  <c r="BD43" i="3"/>
  <c r="BC43" i="3"/>
  <c r="BA43" i="3" s="1"/>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BA36" i="3" s="1"/>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L24" i="3" s="1"/>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L18" i="3" s="1"/>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c r="BK207" i="3"/>
  <c r="BJ207" i="3"/>
  <c r="BI207" i="3"/>
  <c r="BH207" i="3"/>
  <c r="BG207" i="3"/>
  <c r="BF207" i="3"/>
  <c r="BE207" i="3"/>
  <c r="BD207" i="3"/>
  <c r="BA207" i="3" s="1"/>
  <c r="AZ207" i="3" s="1"/>
  <c r="BC207" i="3"/>
  <c r="BB207" i="3"/>
  <c r="AX207" i="3"/>
  <c r="AW207" i="3"/>
  <c r="AV207" i="3"/>
  <c r="AC207" i="3"/>
  <c r="H207" i="3"/>
  <c r="G207" i="3" s="1"/>
  <c r="BT206" i="3"/>
  <c r="BS206" i="3"/>
  <c r="BR206" i="3"/>
  <c r="BQ206" i="3"/>
  <c r="BP206" i="3"/>
  <c r="BO206" i="3"/>
  <c r="BL206" i="3" s="1"/>
  <c r="BN206" i="3"/>
  <c r="BM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s="1"/>
  <c r="BT199" i="3"/>
  <c r="BS199" i="3"/>
  <c r="BR199" i="3"/>
  <c r="BQ199" i="3"/>
  <c r="BP199" i="3"/>
  <c r="BO199" i="3"/>
  <c r="BL199" i="3" s="1"/>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A198" i="3" s="1"/>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L193" i="3" s="1"/>
  <c r="BN193" i="3"/>
  <c r="BM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A192" i="3" s="1"/>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L190" i="3" s="1"/>
  <c r="BN190" i="3"/>
  <c r="BM190" i="3"/>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N186" i="3"/>
  <c r="BM186" i="3"/>
  <c r="BL186" i="3"/>
  <c r="BK186" i="3"/>
  <c r="BJ186" i="3"/>
  <c r="BI186" i="3"/>
  <c r="BH186" i="3"/>
  <c r="BG186" i="3"/>
  <c r="BF186" i="3"/>
  <c r="BE186" i="3"/>
  <c r="BD186" i="3"/>
  <c r="BC186" i="3"/>
  <c r="BA186" i="3" s="1"/>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c r="BT181" i="3"/>
  <c r="BS181" i="3"/>
  <c r="BR181" i="3"/>
  <c r="BQ181" i="3"/>
  <c r="BP181" i="3"/>
  <c r="BO181" i="3"/>
  <c r="BN181" i="3"/>
  <c r="BM181" i="3"/>
  <c r="BL181" i="3"/>
  <c r="BK181" i="3"/>
  <c r="BJ181" i="3"/>
  <c r="BI181" i="3"/>
  <c r="BH181" i="3"/>
  <c r="BG181" i="3"/>
  <c r="BF181" i="3"/>
  <c r="BE181" i="3"/>
  <c r="BD181" i="3"/>
  <c r="BA181" i="3" s="1"/>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A180" i="3" s="1"/>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L178" i="3" s="1"/>
  <c r="BN178" i="3"/>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s="1"/>
  <c r="BT173" i="3"/>
  <c r="BS173" i="3"/>
  <c r="BR173" i="3"/>
  <c r="BQ173" i="3"/>
  <c r="BP173" i="3"/>
  <c r="BO173" i="3"/>
  <c r="BL173" i="3" s="1"/>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L166" i="3"/>
  <c r="BK166" i="3"/>
  <c r="BJ166" i="3"/>
  <c r="BI166" i="3"/>
  <c r="BH166" i="3"/>
  <c r="BG166" i="3"/>
  <c r="BF166" i="3"/>
  <c r="BE166" i="3"/>
  <c r="BD166" i="3"/>
  <c r="BC166" i="3"/>
  <c r="BA166" i="3" s="1"/>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L161" i="3" s="1"/>
  <c r="BM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L158" i="3" s="1"/>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L155" i="3" s="1"/>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c r="BK154" i="3"/>
  <c r="BJ154" i="3"/>
  <c r="BI154" i="3"/>
  <c r="BH154" i="3"/>
  <c r="BG154" i="3"/>
  <c r="BF154" i="3"/>
  <c r="BE154" i="3"/>
  <c r="BD154" i="3"/>
  <c r="BC154" i="3"/>
  <c r="BA154" i="3" s="1"/>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BT141" i="3"/>
  <c r="BS141" i="3"/>
  <c r="BR141" i="3"/>
  <c r="BQ141" i="3"/>
  <c r="BP141" i="3"/>
  <c r="BO141" i="3"/>
  <c r="BN141" i="3"/>
  <c r="BL141" i="3" s="1"/>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A136" i="3" s="1"/>
  <c r="BB136" i="3"/>
  <c r="AX136" i="3"/>
  <c r="AW136" i="3"/>
  <c r="AV136" i="3"/>
  <c r="AC136" i="3"/>
  <c r="G136" i="3" s="1"/>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L134" i="3" s="1"/>
  <c r="BM134" i="3"/>
  <c r="BK134" i="3"/>
  <c r="BJ134" i="3"/>
  <c r="BI134" i="3"/>
  <c r="BH134" i="3"/>
  <c r="BG134" i="3"/>
  <c r="BF134" i="3"/>
  <c r="BE134" i="3"/>
  <c r="BD134" i="3"/>
  <c r="BC134" i="3"/>
  <c r="BB134" i="3"/>
  <c r="BA134" i="3" s="1"/>
  <c r="AZ134" i="3" s="1"/>
  <c r="AX134" i="3"/>
  <c r="AW134" i="3"/>
  <c r="AV134" i="3"/>
  <c r="AC134" i="3"/>
  <c r="G134" i="3" s="1"/>
  <c r="H134" i="3"/>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G132" i="3" s="1"/>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s="1"/>
  <c r="BT115" i="3"/>
  <c r="BS115" i="3"/>
  <c r="BR115" i="3"/>
  <c r="BQ115" i="3"/>
  <c r="BP115" i="3"/>
  <c r="BO115" i="3"/>
  <c r="BN115" i="3"/>
  <c r="BL115" i="3" s="1"/>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A302" i="3" s="1"/>
  <c r="AZ302" i="3" s="1"/>
  <c r="BB302" i="3"/>
  <c r="AX302" i="3"/>
  <c r="AW302" i="3"/>
  <c r="AV302" i="3"/>
  <c r="AC302" i="3"/>
  <c r="H302" i="3"/>
  <c r="G302" i="3" s="1"/>
  <c r="BT301" i="3"/>
  <c r="BS301" i="3"/>
  <c r="BR301" i="3"/>
  <c r="BQ301" i="3"/>
  <c r="BP301" i="3"/>
  <c r="BO301" i="3"/>
  <c r="BN301" i="3"/>
  <c r="BL301" i="3" s="1"/>
  <c r="BM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G297" i="3" s="1"/>
  <c r="H297" i="3"/>
  <c r="BT296" i="3"/>
  <c r="BS296" i="3"/>
  <c r="BR296" i="3"/>
  <c r="BQ296" i="3"/>
  <c r="BP296" i="3"/>
  <c r="BO296" i="3"/>
  <c r="BN296" i="3"/>
  <c r="BM296" i="3"/>
  <c r="BL296" i="3"/>
  <c r="BK296" i="3"/>
  <c r="BJ296" i="3"/>
  <c r="BI296" i="3"/>
  <c r="BH296" i="3"/>
  <c r="BG296" i="3"/>
  <c r="BF296" i="3"/>
  <c r="BE296" i="3"/>
  <c r="BD296" i="3"/>
  <c r="BC296" i="3"/>
  <c r="BA296" i="3" s="1"/>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G295" i="3" s="1"/>
  <c r="H295" i="3"/>
  <c r="BT294" i="3"/>
  <c r="BS294" i="3"/>
  <c r="BR294" i="3"/>
  <c r="BQ294" i="3"/>
  <c r="BP294" i="3"/>
  <c r="BO294" i="3"/>
  <c r="BN294" i="3"/>
  <c r="BM294" i="3"/>
  <c r="BL294" i="3"/>
  <c r="BK294" i="3"/>
  <c r="BJ294" i="3"/>
  <c r="BI294" i="3"/>
  <c r="BH294" i="3"/>
  <c r="BG294" i="3"/>
  <c r="BF294" i="3"/>
  <c r="BE294" i="3"/>
  <c r="BD294" i="3"/>
  <c r="BC294" i="3"/>
  <c r="BA294" i="3" s="1"/>
  <c r="AZ294" i="3" s="1"/>
  <c r="BB294" i="3"/>
  <c r="AX294" i="3"/>
  <c r="AW294" i="3"/>
  <c r="AV294" i="3"/>
  <c r="AC294" i="3"/>
  <c r="H294" i="3"/>
  <c r="G294" i="3" s="1"/>
  <c r="BT293" i="3"/>
  <c r="BS293" i="3"/>
  <c r="BR293" i="3"/>
  <c r="BQ293" i="3"/>
  <c r="BP293" i="3"/>
  <c r="BO293" i="3"/>
  <c r="BN293" i="3"/>
  <c r="BL293" i="3" s="1"/>
  <c r="BM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L290" i="3" s="1"/>
  <c r="BM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L287" i="3" s="1"/>
  <c r="BN287" i="3"/>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G278" i="3" s="1"/>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G272" i="3" s="1"/>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L261" i="3" s="1"/>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G260" i="3" s="1"/>
  <c r="H260" i="3"/>
  <c r="BT259" i="3"/>
  <c r="BS259" i="3"/>
  <c r="BR259" i="3"/>
  <c r="BQ259" i="3"/>
  <c r="BP259" i="3"/>
  <c r="BO259" i="3"/>
  <c r="BN259" i="3"/>
  <c r="BM259" i="3"/>
  <c r="BL259" i="3"/>
  <c r="BK259" i="3"/>
  <c r="BJ259" i="3"/>
  <c r="BI259" i="3"/>
  <c r="BH259" i="3"/>
  <c r="BG259" i="3"/>
  <c r="BF259" i="3"/>
  <c r="BE259" i="3"/>
  <c r="BD259" i="3"/>
  <c r="BC259" i="3"/>
  <c r="BA259" i="3" s="1"/>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s="1"/>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G242" i="3" s="1"/>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BA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G230" i="3" s="1"/>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G219" i="3" s="1"/>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G211" i="3" s="1"/>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G208" i="3" s="1"/>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C386" i="3"/>
  <c r="BA386" i="3" s="1"/>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A374" i="3" s="1"/>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L368" i="3" s="1"/>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A367" i="3" s="1"/>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L463" i="3" s="1"/>
  <c r="BM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G461" i="3" s="1"/>
  <c r="H461" i="3"/>
  <c r="BT460" i="3"/>
  <c r="BS460" i="3"/>
  <c r="BR460" i="3"/>
  <c r="BQ460" i="3"/>
  <c r="BP460" i="3"/>
  <c r="BO460" i="3"/>
  <c r="BN460" i="3"/>
  <c r="BM460" i="3"/>
  <c r="BL460" i="3" s="1"/>
  <c r="BK460" i="3"/>
  <c r="BJ460" i="3"/>
  <c r="BI460" i="3"/>
  <c r="BH460" i="3"/>
  <c r="BG460" i="3"/>
  <c r="BF460" i="3"/>
  <c r="BE460" i="3"/>
  <c r="BD460" i="3"/>
  <c r="BC460" i="3"/>
  <c r="BA460" i="3" s="1"/>
  <c r="AZ460" i="3" s="1"/>
  <c r="BB460" i="3"/>
  <c r="AX460" i="3"/>
  <c r="AW460" i="3"/>
  <c r="AV460" i="3"/>
  <c r="AC460" i="3"/>
  <c r="H460" i="3"/>
  <c r="G460" i="3" s="1"/>
  <c r="BT459" i="3"/>
  <c r="BS459" i="3"/>
  <c r="BR459" i="3"/>
  <c r="BQ459" i="3"/>
  <c r="BP459" i="3"/>
  <c r="BO459" i="3"/>
  <c r="BN459" i="3"/>
  <c r="BL459" i="3" s="1"/>
  <c r="BM459" i="3"/>
  <c r="BK459" i="3"/>
  <c r="BJ459" i="3"/>
  <c r="BI459" i="3"/>
  <c r="BH459" i="3"/>
  <c r="BG459" i="3"/>
  <c r="BF459" i="3"/>
  <c r="BE459" i="3"/>
  <c r="BD459" i="3"/>
  <c r="BC459" i="3"/>
  <c r="BA459" i="3" s="1"/>
  <c r="AZ459" i="3" s="1"/>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L456" i="3" s="1"/>
  <c r="BN456" i="3"/>
  <c r="BM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L452" i="3" s="1"/>
  <c r="BN452" i="3"/>
  <c r="BM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L448" i="3" s="1"/>
  <c r="BN448" i="3"/>
  <c r="BM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L444" i="3" s="1"/>
  <c r="BN444" i="3"/>
  <c r="BM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L431" i="3" s="1"/>
  <c r="BM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L410" i="3" s="1"/>
  <c r="BN410" i="3"/>
  <c r="BM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L407" i="3" s="1"/>
  <c r="BN407" i="3"/>
  <c r="BM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L403" i="3" s="1"/>
  <c r="BN403" i="3"/>
  <c r="BM403" i="3"/>
  <c r="BK403" i="3"/>
  <c r="BJ403" i="3"/>
  <c r="BI403" i="3"/>
  <c r="BH403" i="3"/>
  <c r="BG403" i="3"/>
  <c r="BF403" i="3"/>
  <c r="BE403" i="3"/>
  <c r="BD403" i="3"/>
  <c r="BA403" i="3" s="1"/>
  <c r="AZ403" i="3" s="1"/>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L400" i="3" s="1"/>
  <c r="BN400" i="3"/>
  <c r="BM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6" i="31"/>
  <c r="S36" i="31" s="1"/>
  <c r="R37" i="31"/>
  <c r="R38" i="31"/>
  <c r="R39" i="31"/>
  <c r="S39" i="31" s="1"/>
  <c r="R40" i="31"/>
  <c r="S40" i="31" s="1"/>
  <c r="R41" i="31"/>
  <c r="R42" i="31"/>
  <c r="R43" i="31"/>
  <c r="S43" i="31" s="1"/>
  <c r="R44" i="31"/>
  <c r="S44" i="31" s="1"/>
  <c r="R45" i="31"/>
  <c r="R46" i="31"/>
  <c r="R47" i="31"/>
  <c r="S47" i="31" s="1"/>
  <c r="R48" i="31"/>
  <c r="S48" i="31" s="1"/>
  <c r="R49" i="31"/>
  <c r="R50" i="31"/>
  <c r="R51" i="31"/>
  <c r="S51" i="31" s="1"/>
  <c r="R52" i="31"/>
  <c r="S52" i="31" s="1"/>
  <c r="R53" i="31"/>
  <c r="R54" i="31"/>
  <c r="R55" i="31"/>
  <c r="R56" i="31"/>
  <c r="S56" i="31" s="1"/>
  <c r="R57" i="31"/>
  <c r="R58" i="31"/>
  <c r="R59" i="31"/>
  <c r="R60" i="31"/>
  <c r="S60" i="31" s="1"/>
  <c r="R61" i="31"/>
  <c r="R62" i="31"/>
  <c r="R63" i="31"/>
  <c r="R64" i="31"/>
  <c r="S64" i="31" s="1"/>
  <c r="R65" i="31"/>
  <c r="R66" i="31"/>
  <c r="R67" i="31"/>
  <c r="R68" i="31"/>
  <c r="S68" i="31" s="1"/>
  <c r="R69" i="31"/>
  <c r="R70" i="31"/>
  <c r="R71" i="31"/>
  <c r="R72" i="31"/>
  <c r="S72" i="31" s="1"/>
  <c r="R73" i="31"/>
  <c r="R74" i="31"/>
  <c r="R75" i="31"/>
  <c r="R76" i="31"/>
  <c r="S76" i="31" s="1"/>
  <c r="R77" i="31"/>
  <c r="R78" i="31"/>
  <c r="R79" i="31"/>
  <c r="R80" i="31"/>
  <c r="S80" i="31" s="1"/>
  <c r="R81" i="31"/>
  <c r="R82" i="31"/>
  <c r="R83" i="31"/>
  <c r="R84" i="31"/>
  <c r="S84" i="31" s="1"/>
  <c r="R85" i="31"/>
  <c r="R86" i="31"/>
  <c r="R87" i="31"/>
  <c r="R88" i="31"/>
  <c r="S88" i="31" s="1"/>
  <c r="R89" i="31"/>
  <c r="R90" i="31"/>
  <c r="R91" i="31"/>
  <c r="R92" i="31"/>
  <c r="S92" i="31" s="1"/>
  <c r="R93" i="31"/>
  <c r="R94" i="31"/>
  <c r="R95" i="31"/>
  <c r="R96" i="31"/>
  <c r="S96" i="31" s="1"/>
  <c r="R97" i="31"/>
  <c r="R98" i="31"/>
  <c r="R99" i="31"/>
  <c r="S99" i="31" s="1"/>
  <c r="R100" i="31"/>
  <c r="S100" i="31" s="1"/>
  <c r="R101" i="31"/>
  <c r="R102" i="31"/>
  <c r="R103" i="31"/>
  <c r="S103" i="31" s="1"/>
  <c r="R104" i="31"/>
  <c r="S104" i="31" s="1"/>
  <c r="R105" i="31"/>
  <c r="R106" i="31"/>
  <c r="R107" i="31"/>
  <c r="S107" i="31" s="1"/>
  <c r="R108" i="31"/>
  <c r="S108" i="31" s="1"/>
  <c r="R109" i="31"/>
  <c r="R110" i="31"/>
  <c r="R111" i="31"/>
  <c r="S111" i="31" s="1"/>
  <c r="R112" i="31"/>
  <c r="S112" i="31" s="1"/>
  <c r="R113" i="31"/>
  <c r="R114" i="31"/>
  <c r="R115" i="31"/>
  <c r="R116" i="31"/>
  <c r="S116" i="31" s="1"/>
  <c r="R117" i="31"/>
  <c r="R118" i="31"/>
  <c r="R119" i="31"/>
  <c r="R120" i="31"/>
  <c r="S120" i="31" s="1"/>
  <c r="R121" i="31"/>
  <c r="R122" i="31"/>
  <c r="R123" i="31"/>
  <c r="R124" i="31"/>
  <c r="S124" i="31" s="1"/>
  <c r="R125" i="31"/>
  <c r="R126" i="31"/>
  <c r="R127" i="31"/>
  <c r="R128" i="31"/>
  <c r="S128" i="31" s="1"/>
  <c r="R129" i="31"/>
  <c r="R130" i="31"/>
  <c r="R131" i="31"/>
  <c r="R132" i="31"/>
  <c r="S132" i="31" s="1"/>
  <c r="R133" i="31"/>
  <c r="R134" i="31"/>
  <c r="R135" i="31"/>
  <c r="R136" i="31"/>
  <c r="S136" i="31" s="1"/>
  <c r="R137" i="31"/>
  <c r="R138" i="31"/>
  <c r="R139" i="31"/>
  <c r="R140" i="31"/>
  <c r="S140" i="31" s="1"/>
  <c r="R141" i="31"/>
  <c r="R142" i="31"/>
  <c r="R143" i="31"/>
  <c r="R144" i="31"/>
  <c r="S144" i="31" s="1"/>
  <c r="R145" i="31"/>
  <c r="R146" i="31"/>
  <c r="R147" i="31"/>
  <c r="R148" i="31"/>
  <c r="S148" i="31" s="1"/>
  <c r="R149" i="31"/>
  <c r="R150" i="31"/>
  <c r="R151" i="31"/>
  <c r="R152" i="31"/>
  <c r="S152" i="31" s="1"/>
  <c r="R153" i="31"/>
  <c r="R154" i="31"/>
  <c r="R155" i="31"/>
  <c r="R156" i="31"/>
  <c r="S156" i="31" s="1"/>
  <c r="R157" i="31"/>
  <c r="R158" i="31"/>
  <c r="R159" i="31"/>
  <c r="R160" i="31"/>
  <c r="S160" i="31" s="1"/>
  <c r="R161" i="31"/>
  <c r="R162" i="31"/>
  <c r="R163" i="31"/>
  <c r="R164" i="31"/>
  <c r="S164" i="31" s="1"/>
  <c r="R165" i="31"/>
  <c r="R166" i="31"/>
  <c r="R167" i="31"/>
  <c r="R168" i="31"/>
  <c r="S168" i="31" s="1"/>
  <c r="R169" i="31"/>
  <c r="R170" i="31"/>
  <c r="R171" i="31"/>
  <c r="R172" i="31"/>
  <c r="S172" i="31" s="1"/>
  <c r="R173" i="31"/>
  <c r="R174" i="31"/>
  <c r="R175" i="31"/>
  <c r="R176" i="31"/>
  <c r="S176" i="31" s="1"/>
  <c r="R177" i="31"/>
  <c r="R178" i="31"/>
  <c r="R179" i="31"/>
  <c r="R180" i="31"/>
  <c r="S180" i="31" s="1"/>
  <c r="R181" i="31"/>
  <c r="R182" i="31"/>
  <c r="R183" i="31"/>
  <c r="R184" i="31"/>
  <c r="S184" i="31" s="1"/>
  <c r="R185" i="31"/>
  <c r="R186" i="31"/>
  <c r="R187" i="31"/>
  <c r="R188" i="31"/>
  <c r="S188" i="31" s="1"/>
  <c r="R189" i="31"/>
  <c r="R190" i="31"/>
  <c r="R191" i="31"/>
  <c r="R192" i="31"/>
  <c r="S192" i="31" s="1"/>
  <c r="R193" i="31"/>
  <c r="R194" i="31"/>
  <c r="R195" i="31"/>
  <c r="R196" i="31"/>
  <c r="S196" i="31" s="1"/>
  <c r="R197" i="31"/>
  <c r="R198" i="31"/>
  <c r="R199" i="31"/>
  <c r="R200" i="31"/>
  <c r="S200" i="31" s="1"/>
  <c r="R201" i="31"/>
  <c r="R202" i="31"/>
  <c r="R203" i="31"/>
  <c r="R204" i="31"/>
  <c r="S204" i="31" s="1"/>
  <c r="R205" i="31"/>
  <c r="R206" i="31"/>
  <c r="R207" i="31"/>
  <c r="R208" i="31"/>
  <c r="S208" i="31" s="1"/>
  <c r="R209" i="31"/>
  <c r="R210" i="31"/>
  <c r="R211" i="31"/>
  <c r="R212" i="31"/>
  <c r="S212" i="31" s="1"/>
  <c r="R213" i="31"/>
  <c r="R214" i="31"/>
  <c r="R215" i="31"/>
  <c r="R216" i="31"/>
  <c r="S216" i="31" s="1"/>
  <c r="R217" i="31"/>
  <c r="R218" i="31"/>
  <c r="R219" i="31"/>
  <c r="R220" i="31"/>
  <c r="S220" i="31" s="1"/>
  <c r="R221" i="31"/>
  <c r="R222" i="31"/>
  <c r="R223" i="31"/>
  <c r="S223" i="31" s="1"/>
  <c r="R224" i="31"/>
  <c r="S224" i="31" s="1"/>
  <c r="R225" i="31"/>
  <c r="R226" i="31"/>
  <c r="R227" i="31"/>
  <c r="S227" i="31" s="1"/>
  <c r="R228" i="31"/>
  <c r="S228" i="31" s="1"/>
  <c r="R229" i="31"/>
  <c r="R230" i="31"/>
  <c r="R231" i="31"/>
  <c r="S231" i="31" s="1"/>
  <c r="R232" i="31"/>
  <c r="S232" i="31" s="1"/>
  <c r="R233" i="31"/>
  <c r="R234" i="31"/>
  <c r="R235" i="31"/>
  <c r="S235" i="31" s="1"/>
  <c r="R236" i="31"/>
  <c r="S236" i="31" s="1"/>
  <c r="R237" i="31"/>
  <c r="R238" i="31"/>
  <c r="R239" i="31"/>
  <c r="S239" i="31" s="1"/>
  <c r="R240" i="31"/>
  <c r="S240" i="31" s="1"/>
  <c r="R241" i="31"/>
  <c r="R242" i="31"/>
  <c r="R243" i="31"/>
  <c r="S243" i="31" s="1"/>
  <c r="R244" i="31"/>
  <c r="S244" i="31" s="1"/>
  <c r="R245" i="31"/>
  <c r="R246" i="31"/>
  <c r="R247" i="31"/>
  <c r="S247" i="31" s="1"/>
  <c r="R248" i="31"/>
  <c r="S248" i="31" s="1"/>
  <c r="R249" i="31"/>
  <c r="R250" i="31"/>
  <c r="R251" i="31"/>
  <c r="S251" i="31" s="1"/>
  <c r="R252" i="31"/>
  <c r="S252" i="31" s="1"/>
  <c r="R253" i="31"/>
  <c r="R254" i="31"/>
  <c r="R255" i="31"/>
  <c r="S255" i="31" s="1"/>
  <c r="R256" i="31"/>
  <c r="S256" i="31" s="1"/>
  <c r="R257" i="31"/>
  <c r="S257" i="31" s="1"/>
  <c r="R258" i="31"/>
  <c r="R259" i="31"/>
  <c r="S259" i="31" s="1"/>
  <c r="R260" i="31"/>
  <c r="R261" i="31"/>
  <c r="S261" i="31" s="1"/>
  <c r="R262" i="31"/>
  <c r="R263" i="31"/>
  <c r="S263" i="31" s="1"/>
  <c r="R264" i="31"/>
  <c r="S264" i="31" s="1"/>
  <c r="R265" i="31"/>
  <c r="S265" i="31" s="1"/>
  <c r="R266" i="31"/>
  <c r="R267" i="31"/>
  <c r="S267" i="31" s="1"/>
  <c r="R268" i="31"/>
  <c r="R269" i="31"/>
  <c r="S269" i="31" s="1"/>
  <c r="R270" i="31"/>
  <c r="R271" i="31"/>
  <c r="S271" i="31" s="1"/>
  <c r="R272" i="31"/>
  <c r="S272" i="31" s="1"/>
  <c r="R273" i="31"/>
  <c r="S273" i="31" s="1"/>
  <c r="R274" i="31"/>
  <c r="R275" i="31"/>
  <c r="S275" i="31" s="1"/>
  <c r="R276" i="31"/>
  <c r="R277" i="31"/>
  <c r="S277" i="31" s="1"/>
  <c r="R278" i="31"/>
  <c r="R279" i="31"/>
  <c r="S279" i="31" s="1"/>
  <c r="R280" i="31"/>
  <c r="S280" i="31" s="1"/>
  <c r="R281" i="31"/>
  <c r="S281" i="31" s="1"/>
  <c r="R282" i="31"/>
  <c r="R283" i="31"/>
  <c r="S283" i="31" s="1"/>
  <c r="R284" i="31"/>
  <c r="R285" i="31"/>
  <c r="S285" i="31" s="1"/>
  <c r="R286" i="31"/>
  <c r="R287" i="31"/>
  <c r="S287" i="31" s="1"/>
  <c r="R288" i="31"/>
  <c r="R289" i="31"/>
  <c r="S289" i="31" s="1"/>
  <c r="R290" i="31"/>
  <c r="S290" i="31" s="1"/>
  <c r="R291" i="31"/>
  <c r="S291" i="31" s="1"/>
  <c r="R292" i="31"/>
  <c r="R293" i="31"/>
  <c r="S293" i="31" s="1"/>
  <c r="R294" i="31"/>
  <c r="R295" i="31"/>
  <c r="S295" i="31" s="1"/>
  <c r="R296" i="31"/>
  <c r="R297" i="31"/>
  <c r="S297" i="31" s="1"/>
  <c r="R298" i="31"/>
  <c r="S298" i="31" s="1"/>
  <c r="R299" i="31"/>
  <c r="S299" i="31" s="1"/>
  <c r="R300" i="31"/>
  <c r="R301" i="31"/>
  <c r="S301" i="31" s="1"/>
  <c r="R302" i="31"/>
  <c r="R303" i="31"/>
  <c r="S303" i="31" s="1"/>
  <c r="R304" i="31"/>
  <c r="R305" i="31"/>
  <c r="S305" i="31" s="1"/>
  <c r="R306" i="31"/>
  <c r="S306" i="31" s="1"/>
  <c r="R307" i="31"/>
  <c r="S307" i="31" s="1"/>
  <c r="R308" i="31"/>
  <c r="R309" i="31"/>
  <c r="S309" i="31" s="1"/>
  <c r="R310" i="31"/>
  <c r="R311" i="31"/>
  <c r="S311" i="31" s="1"/>
  <c r="R312" i="31"/>
  <c r="R313" i="31"/>
  <c r="S313" i="31" s="1"/>
  <c r="R314" i="31"/>
  <c r="S314" i="31" s="1"/>
  <c r="R315" i="31"/>
  <c r="S315" i="31" s="1"/>
  <c r="R316" i="31"/>
  <c r="R317" i="31"/>
  <c r="S317" i="31" s="1"/>
  <c r="R318" i="31"/>
  <c r="R319" i="31"/>
  <c r="S319" i="31" s="1"/>
  <c r="R320" i="31"/>
  <c r="R321" i="31"/>
  <c r="S321" i="31" s="1"/>
  <c r="R322" i="31"/>
  <c r="R323" i="31"/>
  <c r="S323" i="31" s="1"/>
  <c r="R324" i="31"/>
  <c r="R325" i="31"/>
  <c r="S325" i="31" s="1"/>
  <c r="R326" i="31"/>
  <c r="S326" i="31" s="1"/>
  <c r="R327" i="31"/>
  <c r="S327" i="31" s="1"/>
  <c r="R328" i="31"/>
  <c r="R329" i="31"/>
  <c r="S329" i="31" s="1"/>
  <c r="R330" i="31"/>
  <c r="R331" i="31"/>
  <c r="S331" i="31" s="1"/>
  <c r="R332" i="31"/>
  <c r="R333" i="31"/>
  <c r="S333" i="31" s="1"/>
  <c r="R334" i="31"/>
  <c r="S334" i="31" s="1"/>
  <c r="R335" i="31"/>
  <c r="S335" i="31" s="1"/>
  <c r="R336" i="31"/>
  <c r="R337" i="31"/>
  <c r="S337" i="31" s="1"/>
  <c r="R338" i="31"/>
  <c r="R339" i="31"/>
  <c r="S339" i="31" s="1"/>
  <c r="R340" i="31"/>
  <c r="R341" i="31"/>
  <c r="S341" i="31" s="1"/>
  <c r="R342" i="31"/>
  <c r="S342" i="31" s="1"/>
  <c r="R343" i="31"/>
  <c r="S343" i="31" s="1"/>
  <c r="R344" i="31"/>
  <c r="R345" i="31"/>
  <c r="S345" i="31" s="1"/>
  <c r="R346" i="31"/>
  <c r="R347" i="31"/>
  <c r="S347" i="31" s="1"/>
  <c r="R348" i="31"/>
  <c r="R349" i="31"/>
  <c r="S349" i="31" s="1"/>
  <c r="R350" i="31"/>
  <c r="S350" i="31" s="1"/>
  <c r="R351" i="31"/>
  <c r="S351" i="31" s="1"/>
  <c r="R352" i="31"/>
  <c r="R353" i="31"/>
  <c r="S353" i="31" s="1"/>
  <c r="R354" i="31"/>
  <c r="R355" i="31"/>
  <c r="S355" i="31" s="1"/>
  <c r="R356" i="31"/>
  <c r="R357" i="31"/>
  <c r="S357" i="31" s="1"/>
  <c r="R358" i="31"/>
  <c r="S358" i="31" s="1"/>
  <c r="R359" i="31"/>
  <c r="S359" i="31" s="1"/>
  <c r="R360" i="31"/>
  <c r="R361" i="31"/>
  <c r="S361" i="31" s="1"/>
  <c r="R362" i="31"/>
  <c r="R363" i="31"/>
  <c r="S363" i="31" s="1"/>
  <c r="R364" i="31"/>
  <c r="R365" i="31"/>
  <c r="S365" i="31" s="1"/>
  <c r="R366" i="31"/>
  <c r="S366" i="31" s="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S382" i="31" s="1"/>
  <c r="R383" i="31"/>
  <c r="S383" i="31" s="1"/>
  <c r="R384" i="31"/>
  <c r="R385" i="31"/>
  <c r="S385" i="31" s="1"/>
  <c r="R386" i="31"/>
  <c r="R387" i="31"/>
  <c r="S387" i="31" s="1"/>
  <c r="R388" i="31"/>
  <c r="R389" i="31"/>
  <c r="S389" i="31" s="1"/>
  <c r="R390" i="31"/>
  <c r="S390" i="31" s="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R411" i="31"/>
  <c r="S411" i="31" s="1"/>
  <c r="R412" i="31"/>
  <c r="R413" i="31"/>
  <c r="S413" i="31" s="1"/>
  <c r="R414" i="31"/>
  <c r="S414" i="31" s="1"/>
  <c r="R415" i="31"/>
  <c r="S415" i="31" s="1"/>
  <c r="R416" i="31"/>
  <c r="R417" i="31"/>
  <c r="S417" i="31" s="1"/>
  <c r="R418" i="31"/>
  <c r="R419" i="31"/>
  <c r="S419" i="31" s="1"/>
  <c r="R420" i="31"/>
  <c r="R421" i="31"/>
  <c r="S421" i="31" s="1"/>
  <c r="R422" i="31"/>
  <c r="S422" i="31" s="1"/>
  <c r="R423" i="31"/>
  <c r="S423" i="31" s="1"/>
  <c r="R424" i="31"/>
  <c r="R425" i="31"/>
  <c r="R426" i="31"/>
  <c r="S426" i="31" s="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R448" i="31"/>
  <c r="R449" i="31"/>
  <c r="R450" i="31"/>
  <c r="S450" i="31" s="1"/>
  <c r="R451" i="31"/>
  <c r="S451" i="31" s="1"/>
  <c r="R452" i="31"/>
  <c r="R453" i="31"/>
  <c r="R454" i="31"/>
  <c r="S454" i="31" s="1"/>
  <c r="R455" i="31"/>
  <c r="S455" i="31" s="1"/>
  <c r="R456" i="31"/>
  <c r="R457" i="31"/>
  <c r="R458" i="31"/>
  <c r="S458" i="31" s="1"/>
  <c r="R459" i="31"/>
  <c r="S459" i="31" s="1"/>
  <c r="R460" i="31"/>
  <c r="R461" i="31"/>
  <c r="R462" i="31"/>
  <c r="S462" i="31" s="1"/>
  <c r="R463" i="31"/>
  <c r="S463" i="31" s="1"/>
  <c r="R464" i="31"/>
  <c r="R465" i="31"/>
  <c r="R466" i="31"/>
  <c r="S466" i="31" s="1"/>
  <c r="R467" i="31"/>
  <c r="S467" i="31" s="1"/>
  <c r="R468" i="31"/>
  <c r="R469" i="31"/>
  <c r="R470" i="31"/>
  <c r="R471" i="31"/>
  <c r="S471" i="31" s="1"/>
  <c r="R472" i="31"/>
  <c r="R473" i="31"/>
  <c r="R474" i="31"/>
  <c r="R475" i="31"/>
  <c r="S475" i="31" s="1"/>
  <c r="R476" i="31"/>
  <c r="R477" i="31"/>
  <c r="R478" i="31"/>
  <c r="R479" i="31"/>
  <c r="S479" i="31" s="1"/>
  <c r="R480" i="31"/>
  <c r="R481" i="31"/>
  <c r="R482" i="31"/>
  <c r="R483" i="31"/>
  <c r="S483" i="31" s="1"/>
  <c r="R484" i="31"/>
  <c r="R485" i="31"/>
  <c r="R486" i="31"/>
  <c r="R487" i="31"/>
  <c r="S487" i="31" s="1"/>
  <c r="R488" i="31"/>
  <c r="R489" i="31"/>
  <c r="R490" i="31"/>
  <c r="R491" i="31"/>
  <c r="S491" i="31" s="1"/>
  <c r="R492" i="31"/>
  <c r="R493" i="31"/>
  <c r="R494" i="31"/>
  <c r="R495" i="31"/>
  <c r="S495" i="31" s="1"/>
  <c r="R496" i="31"/>
  <c r="R497" i="31"/>
  <c r="R498" i="31"/>
  <c r="R499" i="31"/>
  <c r="S499" i="31" s="1"/>
  <c r="R500" i="31"/>
  <c r="R501" i="31"/>
  <c r="R502" i="31"/>
  <c r="S502" i="31" s="1"/>
  <c r="R503" i="31"/>
  <c r="S503" i="31" s="1"/>
  <c r="R504" i="31"/>
  <c r="R505" i="31"/>
  <c r="R506" i="31"/>
  <c r="R507" i="31"/>
  <c r="S507" i="31" s="1"/>
  <c r="R508" i="31"/>
  <c r="R509" i="31"/>
  <c r="R510" i="31"/>
  <c r="S510" i="31" s="1"/>
  <c r="R511" i="31"/>
  <c r="S511" i="31" s="1"/>
  <c r="R512" i="31"/>
  <c r="R513" i="31"/>
  <c r="R514" i="31"/>
  <c r="S514" i="31" s="1"/>
  <c r="R515" i="31"/>
  <c r="S515" i="31" s="1"/>
  <c r="R516" i="31"/>
  <c r="R517" i="31"/>
  <c r="R518" i="31"/>
  <c r="S518" i="31" s="1"/>
  <c r="R519" i="31"/>
  <c r="S519" i="31" s="1"/>
  <c r="R520" i="31"/>
  <c r="R521" i="3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B23" i="1"/>
  <c r="B24" i="1"/>
  <c r="F34" i="68" s="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2" i="31"/>
  <c r="S410" i="31"/>
  <c r="S408" i="31"/>
  <c r="S404" i="31"/>
  <c r="S402" i="31"/>
  <c r="S400" i="31"/>
  <c r="S396" i="31"/>
  <c r="S394" i="31"/>
  <c r="S392" i="31"/>
  <c r="S388" i="31"/>
  <c r="S386" i="31"/>
  <c r="S384" i="31"/>
  <c r="S380" i="31"/>
  <c r="S378" i="31"/>
  <c r="S376" i="31"/>
  <c r="S372" i="31"/>
  <c r="S370" i="31"/>
  <c r="S368" i="31"/>
  <c r="S364" i="31"/>
  <c r="S362" i="31"/>
  <c r="S360" i="31"/>
  <c r="S356" i="31"/>
  <c r="S354" i="31"/>
  <c r="S352" i="31"/>
  <c r="S348" i="31"/>
  <c r="S346" i="31"/>
  <c r="S344" i="31"/>
  <c r="S340" i="31"/>
  <c r="S338" i="31"/>
  <c r="S336" i="31"/>
  <c r="S332" i="31"/>
  <c r="S330" i="31"/>
  <c r="S328" i="31"/>
  <c r="S324" i="31"/>
  <c r="S322" i="31"/>
  <c r="S424" i="31"/>
  <c r="S320" i="31"/>
  <c r="S318" i="31"/>
  <c r="S316" i="31"/>
  <c r="S312" i="31"/>
  <c r="S310" i="31"/>
  <c r="S308" i="31"/>
  <c r="S304" i="31"/>
  <c r="S302" i="31"/>
  <c r="S300" i="31"/>
  <c r="S296" i="31"/>
  <c r="S294" i="31"/>
  <c r="S292" i="31"/>
  <c r="S288" i="31"/>
  <c r="S286" i="31"/>
  <c r="S284" i="31"/>
  <c r="S282" i="31"/>
  <c r="S278" i="31"/>
  <c r="S276" i="31"/>
  <c r="S274" i="31"/>
  <c r="S270" i="31"/>
  <c r="S268" i="31"/>
  <c r="S266" i="31"/>
  <c r="S262" i="31"/>
  <c r="S260" i="31"/>
  <c r="S258" i="31"/>
  <c r="S254" i="31"/>
  <c r="S253" i="31"/>
  <c r="S250" i="31"/>
  <c r="S249" i="31"/>
  <c r="S246" i="31"/>
  <c r="S245" i="31"/>
  <c r="S242" i="31"/>
  <c r="S241" i="31"/>
  <c r="S238" i="31"/>
  <c r="S237" i="31"/>
  <c r="S234" i="31"/>
  <c r="S233" i="31"/>
  <c r="S230" i="31"/>
  <c r="S229" i="31"/>
  <c r="S226" i="31"/>
  <c r="S225" i="31"/>
  <c r="S429" i="31"/>
  <c r="S428" i="31"/>
  <c r="S425" i="31"/>
  <c r="S222" i="31"/>
  <c r="S221" i="31"/>
  <c r="S219" i="31"/>
  <c r="S218" i="31"/>
  <c r="S217" i="31"/>
  <c r="S215" i="31"/>
  <c r="S214" i="31"/>
  <c r="S213" i="31"/>
  <c r="S211" i="31"/>
  <c r="S210" i="31"/>
  <c r="S209" i="31"/>
  <c r="S207" i="31"/>
  <c r="S206" i="31"/>
  <c r="S205" i="31"/>
  <c r="S203" i="31"/>
  <c r="S202" i="31"/>
  <c r="S201" i="31"/>
  <c r="S199" i="31"/>
  <c r="S198" i="31"/>
  <c r="S197" i="31"/>
  <c r="S195" i="31"/>
  <c r="S194" i="31"/>
  <c r="S193" i="31"/>
  <c r="S191" i="31"/>
  <c r="S190" i="31"/>
  <c r="S189" i="31"/>
  <c r="S187" i="31"/>
  <c r="S186" i="31"/>
  <c r="S185" i="31"/>
  <c r="S183" i="31"/>
  <c r="S182" i="31"/>
  <c r="S181" i="31"/>
  <c r="S179" i="31"/>
  <c r="S178" i="31"/>
  <c r="S177" i="31"/>
  <c r="S175" i="31"/>
  <c r="S174" i="31"/>
  <c r="S173" i="31"/>
  <c r="S171" i="31"/>
  <c r="S170" i="31"/>
  <c r="S169" i="31"/>
  <c r="S167" i="31"/>
  <c r="S166" i="31"/>
  <c r="S165" i="31"/>
  <c r="S163" i="31"/>
  <c r="S162" i="31"/>
  <c r="S161" i="31"/>
  <c r="S159" i="31"/>
  <c r="S158" i="31"/>
  <c r="S157" i="31"/>
  <c r="S155" i="31"/>
  <c r="S154" i="31"/>
  <c r="S153" i="31"/>
  <c r="S151" i="31"/>
  <c r="S150" i="31"/>
  <c r="S149" i="31"/>
  <c r="S147" i="31"/>
  <c r="S146" i="31"/>
  <c r="S145" i="31"/>
  <c r="S143" i="31"/>
  <c r="S142" i="31"/>
  <c r="S141" i="31"/>
  <c r="S139" i="31"/>
  <c r="S138" i="31"/>
  <c r="S137" i="31"/>
  <c r="S135" i="31"/>
  <c r="S134" i="31"/>
  <c r="S133" i="31"/>
  <c r="S131" i="31"/>
  <c r="S130" i="31"/>
  <c r="S129" i="31"/>
  <c r="S127" i="31"/>
  <c r="S126" i="31"/>
  <c r="S125" i="31"/>
  <c r="S123" i="31"/>
  <c r="S497" i="31"/>
  <c r="S496" i="31"/>
  <c r="S494" i="31"/>
  <c r="S493" i="31"/>
  <c r="S492" i="31"/>
  <c r="S490" i="31"/>
  <c r="S489" i="31"/>
  <c r="S488" i="31"/>
  <c r="S486" i="31"/>
  <c r="S485" i="31"/>
  <c r="S484" i="31"/>
  <c r="S482" i="31"/>
  <c r="S481" i="31"/>
  <c r="S480" i="31"/>
  <c r="S478" i="31"/>
  <c r="S477" i="31"/>
  <c r="S476" i="31"/>
  <c r="S474" i="31"/>
  <c r="S473" i="31"/>
  <c r="S472" i="31"/>
  <c r="S470" i="31"/>
  <c r="S469" i="31"/>
  <c r="S468" i="31"/>
  <c r="S444" i="31"/>
  <c r="S442" i="31"/>
  <c r="S441" i="31"/>
  <c r="S440" i="31"/>
  <c r="S438" i="31"/>
  <c r="S437" i="31"/>
  <c r="S436" i="31"/>
  <c r="S434" i="31"/>
  <c r="S433" i="31"/>
  <c r="S432" i="31"/>
  <c r="S430" i="31"/>
  <c r="S122" i="31"/>
  <c r="S121" i="31"/>
  <c r="S119" i="31"/>
  <c r="S118" i="31"/>
  <c r="S117" i="31"/>
  <c r="S115" i="31"/>
  <c r="S114" i="31"/>
  <c r="S113" i="31"/>
  <c r="S506" i="31"/>
  <c r="S504" i="31"/>
  <c r="S500" i="31"/>
  <c r="S498" i="31"/>
  <c r="S465" i="31"/>
  <c r="S464" i="31"/>
  <c r="S461" i="31"/>
  <c r="S460" i="31"/>
  <c r="S457" i="31"/>
  <c r="S456" i="31"/>
  <c r="S453" i="31"/>
  <c r="S452" i="31"/>
  <c r="S54" i="31"/>
  <c r="S53" i="31"/>
  <c r="S50" i="31"/>
  <c r="S49" i="31"/>
  <c r="S46" i="31"/>
  <c r="S45" i="31"/>
  <c r="S42" i="31"/>
  <c r="S41" i="31"/>
  <c r="S38" i="31"/>
  <c r="S37" i="31"/>
  <c r="S77" i="31"/>
  <c r="S75" i="31"/>
  <c r="S74" i="31"/>
  <c r="S73" i="31"/>
  <c r="S71" i="31"/>
  <c r="S70" i="31"/>
  <c r="S69" i="31"/>
  <c r="S67" i="31"/>
  <c r="S66" i="31"/>
  <c r="S65" i="31"/>
  <c r="S63" i="31"/>
  <c r="S62" i="31"/>
  <c r="S61" i="31"/>
  <c r="S59" i="31"/>
  <c r="S58" i="31"/>
  <c r="S57" i="31"/>
  <c r="S55" i="31"/>
  <c r="S97" i="31"/>
  <c r="S95" i="31"/>
  <c r="S94" i="31"/>
  <c r="S93" i="31"/>
  <c r="S91" i="31"/>
  <c r="S90" i="31"/>
  <c r="S89" i="31"/>
  <c r="S87" i="31"/>
  <c r="S86" i="31"/>
  <c r="S85" i="31"/>
  <c r="S83" i="31"/>
  <c r="S82" i="31"/>
  <c r="S81" i="31"/>
  <c r="S79" i="31"/>
  <c r="S78" i="31"/>
  <c r="S98" i="31"/>
  <c r="S101" i="31"/>
  <c r="S102" i="31"/>
  <c r="S105" i="31"/>
  <c r="S106" i="31"/>
  <c r="S109" i="31"/>
  <c r="S110" i="31"/>
  <c r="S445" i="31"/>
  <c r="S446" i="31"/>
  <c r="S447" i="31"/>
  <c r="S448" i="31"/>
  <c r="S449" i="31"/>
  <c r="S508" i="31"/>
  <c r="S509"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A550" i="3" s="1"/>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D87" i="35"/>
  <c r="E87" i="35"/>
  <c r="F87" i="35"/>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AA38" i="34" s="1"/>
  <c r="D112" i="34"/>
  <c r="E112" i="34"/>
  <c r="F112" i="34" s="1"/>
  <c r="F40" i="33"/>
  <c r="J41" i="33"/>
  <c r="D113" i="33"/>
  <c r="F37" i="33"/>
  <c r="D111" i="33"/>
  <c r="E111" i="33" s="1"/>
  <c r="S516" i="31"/>
  <c r="S517" i="31"/>
  <c r="S520" i="31"/>
  <c r="S521" i="31"/>
  <c r="S524" i="31"/>
  <c r="F41" i="21"/>
  <c r="J41" i="21"/>
  <c r="AC41" i="21" s="1"/>
  <c r="H41" i="21"/>
  <c r="U41" i="21"/>
  <c r="D80" i="39"/>
  <c r="E80" i="39" s="1"/>
  <c r="F80" i="39" s="1"/>
  <c r="G80" i="39" s="1"/>
  <c r="H80" i="39" s="1"/>
  <c r="I80" i="39" s="1"/>
  <c r="J80" i="39" s="1"/>
  <c r="K80" i="39" s="1"/>
  <c r="L80" i="39" s="1"/>
  <c r="M80" i="39" s="1"/>
  <c r="D76" i="40"/>
  <c r="E76" i="40"/>
  <c r="F76" i="40"/>
  <c r="G76" i="40"/>
  <c r="H76" i="40" s="1"/>
  <c r="I76" i="40" s="1"/>
  <c r="J76" i="40"/>
  <c r="K76" i="40" s="1"/>
  <c r="L76" i="40" s="1"/>
  <c r="M76" i="40" s="1"/>
  <c r="B120" i="40"/>
  <c r="H40" i="40" s="1"/>
  <c r="AB40" i="40" s="1"/>
  <c r="B118" i="40"/>
  <c r="J39" i="40" s="1"/>
  <c r="B116" i="40"/>
  <c r="H38" i="40" s="1"/>
  <c r="AB38" i="40" s="1"/>
  <c r="F38" i="40"/>
  <c r="AA38" i="40"/>
  <c r="D115" i="40"/>
  <c r="E115" i="40"/>
  <c r="F115" i="40"/>
  <c r="G115" i="40"/>
  <c r="H115" i="40" s="1"/>
  <c r="I115" i="40" s="1"/>
  <c r="J115" i="40"/>
  <c r="K115" i="40"/>
  <c r="L115" i="40" s="1"/>
  <c r="M115" i="40" s="1"/>
  <c r="D113" i="40"/>
  <c r="E113" i="40"/>
  <c r="F113" i="40" s="1"/>
  <c r="G113" i="40" s="1"/>
  <c r="H113" i="40"/>
  <c r="I113" i="40"/>
  <c r="J113" i="40" s="1"/>
  <c r="K113" i="40" s="1"/>
  <c r="L113" i="40" s="1"/>
  <c r="M113" i="40" s="1"/>
  <c r="D111" i="40"/>
  <c r="E111" i="40"/>
  <c r="M107" i="40"/>
  <c r="L107" i="40"/>
  <c r="K107" i="40"/>
  <c r="J107" i="40"/>
  <c r="H107" i="40"/>
  <c r="G107" i="40"/>
  <c r="F107" i="40"/>
  <c r="E107" i="40"/>
  <c r="D107" i="40"/>
  <c r="C107" i="40"/>
  <c r="B105" i="40"/>
  <c r="J33" i="40"/>
  <c r="W33" i="40"/>
  <c r="B103" i="40"/>
  <c r="J32" i="40" s="1"/>
  <c r="AC32" i="40" s="1"/>
  <c r="B101" i="40"/>
  <c r="J31" i="40"/>
  <c r="AC31" i="40" s="1"/>
  <c r="D100" i="40"/>
  <c r="E100" i="40"/>
  <c r="F100" i="40"/>
  <c r="G100" i="40" s="1"/>
  <c r="H100" i="40" s="1"/>
  <c r="I100" i="40"/>
  <c r="J100" i="40" s="1"/>
  <c r="K100" i="40" s="1"/>
  <c r="L100" i="40" s="1"/>
  <c r="M100" i="40" s="1"/>
  <c r="D98" i="40"/>
  <c r="J28" i="40"/>
  <c r="AC28" i="40"/>
  <c r="D96" i="40"/>
  <c r="E96" i="40"/>
  <c r="F96" i="40" s="1"/>
  <c r="G96" i="40" s="1"/>
  <c r="H96" i="40"/>
  <c r="I96" i="40" s="1"/>
  <c r="J96" i="40" s="1"/>
  <c r="K96" i="40" s="1"/>
  <c r="L96" i="40" s="1"/>
  <c r="M96" i="40" s="1"/>
  <c r="B95" i="40"/>
  <c r="D92" i="40"/>
  <c r="E92" i="40"/>
  <c r="F92" i="40"/>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s="1"/>
  <c r="F40" i="40"/>
  <c r="AA40" i="40"/>
  <c r="Q39" i="40"/>
  <c r="Z39" i="40"/>
  <c r="Q38" i="40"/>
  <c r="Z38" i="40"/>
  <c r="J38" i="40"/>
  <c r="AC38" i="40"/>
  <c r="Q37" i="40"/>
  <c r="Z37" i="40" s="1"/>
  <c r="Q36" i="40"/>
  <c r="Z36" i="40"/>
  <c r="Q35" i="40"/>
  <c r="Z35" i="40" s="1"/>
  <c r="Q34" i="40"/>
  <c r="Z34" i="40"/>
  <c r="J34" i="40"/>
  <c r="AC34" i="40" s="1"/>
  <c r="H34" i="40"/>
  <c r="AB34" i="40"/>
  <c r="F34" i="40"/>
  <c r="AA34" i="40" s="1"/>
  <c r="Q33" i="40"/>
  <c r="Z33" i="40"/>
  <c r="Q32" i="40"/>
  <c r="Z32" i="40" s="1"/>
  <c r="Q31" i="40"/>
  <c r="Z31" i="40"/>
  <c r="Q30" i="40"/>
  <c r="Z30" i="40" s="1"/>
  <c r="Q28" i="40"/>
  <c r="Z28" i="40"/>
  <c r="Q27" i="40"/>
  <c r="Z27" i="40" s="1"/>
  <c r="Q23" i="40"/>
  <c r="Z23" i="40"/>
  <c r="Q21" i="40"/>
  <c r="Z21" i="40" s="1"/>
  <c r="Q19" i="40"/>
  <c r="Z19" i="40"/>
  <c r="Q17" i="40"/>
  <c r="Z17" i="40" s="1"/>
  <c r="Q15" i="40"/>
  <c r="Z15" i="40"/>
  <c r="Q14" i="40"/>
  <c r="Z14" i="40" s="1"/>
  <c r="Q13" i="40"/>
  <c r="Z13" i="40"/>
  <c r="Q12" i="40"/>
  <c r="Z12" i="40" s="1"/>
  <c r="Q11" i="40"/>
  <c r="Z11" i="40"/>
  <c r="Q10" i="40"/>
  <c r="Z10" i="40" s="1"/>
  <c r="Q9" i="40"/>
  <c r="Z9" i="40"/>
  <c r="J9" i="40"/>
  <c r="AC9" i="40" s="1"/>
  <c r="H9" i="40"/>
  <c r="AB9" i="40"/>
  <c r="F9" i="40"/>
  <c r="S9" i="40" s="1"/>
  <c r="J8" i="40"/>
  <c r="AC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s="1"/>
  <c r="Q10" i="39"/>
  <c r="Z10" i="39"/>
  <c r="Q9" i="39"/>
  <c r="Z9" i="39" s="1"/>
  <c r="J9" i="39"/>
  <c r="AC9" i="39"/>
  <c r="H9" i="39"/>
  <c r="AB9" i="39" s="1"/>
  <c r="F9" i="39"/>
  <c r="AA9" i="39" s="1"/>
  <c r="J8" i="39"/>
  <c r="AC8" i="39" s="1"/>
  <c r="H8" i="39"/>
  <c r="U8" i="39" s="1"/>
  <c r="F8" i="39"/>
  <c r="AA8" i="39" s="1"/>
  <c r="C20" i="36"/>
  <c r="C20" i="35"/>
  <c r="C16" i="36"/>
  <c r="C16" i="35"/>
  <c r="C14" i="36"/>
  <c r="C14" i="35"/>
  <c r="B80" i="37"/>
  <c r="H25" i="37"/>
  <c r="U25" i="37" s="1"/>
  <c r="B110" i="37"/>
  <c r="J39" i="37"/>
  <c r="AC39" i="37"/>
  <c r="B108" i="37"/>
  <c r="C23" i="37"/>
  <c r="C19" i="37"/>
  <c r="C17" i="37"/>
  <c r="C15" i="37"/>
  <c r="B112" i="37"/>
  <c r="D107" i="37"/>
  <c r="E107" i="37"/>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H26" i="37" s="1"/>
  <c r="AB26" i="37" s="1"/>
  <c r="D79" i="37"/>
  <c r="E79" i="37"/>
  <c r="D75" i="37"/>
  <c r="E75" i="37"/>
  <c r="D73" i="37"/>
  <c r="E73" i="37"/>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s="1"/>
  <c r="Q27" i="37"/>
  <c r="Z27" i="37" s="1"/>
  <c r="Q26" i="37"/>
  <c r="Z26" i="37" s="1"/>
  <c r="Q25" i="37"/>
  <c r="Z25" i="37" s="1"/>
  <c r="J25" i="37"/>
  <c r="AC25" i="37" s="1"/>
  <c r="F25" i="37"/>
  <c r="AA25" i="37"/>
  <c r="Q23" i="37"/>
  <c r="Z23" i="37" s="1"/>
  <c r="Q19" i="37"/>
  <c r="Z19" i="37"/>
  <c r="Q17" i="37"/>
  <c r="Z17" i="37" s="1"/>
  <c r="Q15" i="37"/>
  <c r="Z15" i="37" s="1"/>
  <c r="Q14" i="37"/>
  <c r="Z14" i="37" s="1"/>
  <c r="Q13" i="37"/>
  <c r="Z13" i="37" s="1"/>
  <c r="Q12" i="37"/>
  <c r="Z12" i="37" s="1"/>
  <c r="Q11" i="37"/>
  <c r="Z11" i="37"/>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s="1"/>
  <c r="B91" i="36"/>
  <c r="F32" i="36" s="1"/>
  <c r="B95" i="36"/>
  <c r="H34" i="36"/>
  <c r="D83" i="36"/>
  <c r="E83" i="36" s="1"/>
  <c r="F83" i="36" s="1"/>
  <c r="G83" i="36" s="1"/>
  <c r="H83" i="36" s="1"/>
  <c r="I83" i="36" s="1"/>
  <c r="J83" i="36" s="1"/>
  <c r="K83" i="36" s="1"/>
  <c r="L83" i="36" s="1"/>
  <c r="M83" i="36" s="1"/>
  <c r="D78" i="36"/>
  <c r="E78" i="36"/>
  <c r="F78" i="36" s="1"/>
  <c r="G78" i="36" s="1"/>
  <c r="H78" i="36"/>
  <c r="I78" i="36" s="1"/>
  <c r="J78" i="36" s="1"/>
  <c r="K78" i="36" s="1"/>
  <c r="L78" i="36" s="1"/>
  <c r="M78" i="36" s="1"/>
  <c r="B75" i="36"/>
  <c r="B73" i="36"/>
  <c r="J24" i="36"/>
  <c r="AC24" i="36"/>
  <c r="B71" i="36"/>
  <c r="H23" i="36" s="1"/>
  <c r="D70" i="36"/>
  <c r="H22" i="36"/>
  <c r="AB22" i="36"/>
  <c r="D68" i="36"/>
  <c r="E68" i="36" s="1"/>
  <c r="F68" i="36" s="1"/>
  <c r="G68" i="36" s="1"/>
  <c r="D64" i="36"/>
  <c r="E64" i="36" s="1"/>
  <c r="F64" i="36"/>
  <c r="G64" i="36" s="1"/>
  <c r="J16" i="36"/>
  <c r="W16" i="36" s="1"/>
  <c r="D62" i="36"/>
  <c r="E62" i="36"/>
  <c r="F62" i="36" s="1"/>
  <c r="G62" i="36" s="1"/>
  <c r="B59" i="36"/>
  <c r="B57" i="36"/>
  <c r="J12" i="36" s="1"/>
  <c r="B55" i="36"/>
  <c r="C51" i="36"/>
  <c r="P37" i="36"/>
  <c r="P36" i="36"/>
  <c r="V35" i="36"/>
  <c r="T35" i="36"/>
  <c r="R35" i="36"/>
  <c r="P35" i="36"/>
  <c r="Q34" i="36"/>
  <c r="Z34" i="36"/>
  <c r="Q33" i="36"/>
  <c r="Z33" i="36" s="1"/>
  <c r="Q32" i="36"/>
  <c r="Z32" i="36"/>
  <c r="Q31" i="36"/>
  <c r="Z31" i="36" s="1"/>
  <c r="Q30" i="36"/>
  <c r="Z30" i="36"/>
  <c r="AC30" i="36"/>
  <c r="Q29" i="36"/>
  <c r="Z29" i="36" s="1"/>
  <c r="Q28" i="36"/>
  <c r="Z28" i="36" s="1"/>
  <c r="J28" i="36"/>
  <c r="AC28" i="36" s="1"/>
  <c r="Q27" i="36"/>
  <c r="Z27" i="36"/>
  <c r="Q26" i="36"/>
  <c r="Z26" i="36" s="1"/>
  <c r="H26" i="36"/>
  <c r="AB26" i="36"/>
  <c r="Q25" i="36"/>
  <c r="Z25" i="36" s="1"/>
  <c r="Q24" i="36"/>
  <c r="Z24" i="36"/>
  <c r="H24" i="36"/>
  <c r="AB24" i="36" s="1"/>
  <c r="Q23" i="36"/>
  <c r="Z23" i="36"/>
  <c r="J23" i="36"/>
  <c r="AC23" i="36" s="1"/>
  <c r="AB23" i="36"/>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c r="J22" i="35"/>
  <c r="AC22" i="35" s="1"/>
  <c r="B101" i="35"/>
  <c r="H36" i="35"/>
  <c r="AB36" i="35"/>
  <c r="B99" i="35"/>
  <c r="B97" i="35"/>
  <c r="B77" i="35"/>
  <c r="B75" i="35"/>
  <c r="J24" i="35" s="1"/>
  <c r="AC24" i="35" s="1"/>
  <c r="B73" i="35"/>
  <c r="H23" i="35"/>
  <c r="U23" i="35" s="1"/>
  <c r="B57" i="35"/>
  <c r="B61" i="35"/>
  <c r="B59" i="35"/>
  <c r="B131" i="34"/>
  <c r="B129" i="34"/>
  <c r="B127" i="34"/>
  <c r="B99" i="34"/>
  <c r="B97" i="34"/>
  <c r="B95" i="34"/>
  <c r="B93" i="34"/>
  <c r="B75" i="34"/>
  <c r="B73" i="34"/>
  <c r="B71" i="34"/>
  <c r="H12" i="34" s="1"/>
  <c r="B130" i="33"/>
  <c r="B128" i="33"/>
  <c r="B126" i="33"/>
  <c r="B98" i="33"/>
  <c r="B96" i="33"/>
  <c r="B94" i="33"/>
  <c r="B74" i="33"/>
  <c r="B72" i="33"/>
  <c r="B70" i="33"/>
  <c r="J12" i="33" s="1"/>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s="1"/>
  <c r="F66" i="35" s="1"/>
  <c r="G66" i="35" s="1"/>
  <c r="D64" i="35"/>
  <c r="E64" i="35" s="1"/>
  <c r="F64" i="35" s="1"/>
  <c r="G64" i="35" s="1"/>
  <c r="J14" i="35"/>
  <c r="W14" i="35"/>
  <c r="C53" i="35"/>
  <c r="J9" i="35"/>
  <c r="P39" i="35"/>
  <c r="P38" i="35"/>
  <c r="V37" i="35"/>
  <c r="T37" i="35"/>
  <c r="R37" i="35"/>
  <c r="P37" i="35"/>
  <c r="Q36" i="35"/>
  <c r="Z36" i="35"/>
  <c r="J36" i="35"/>
  <c r="AC36" i="35"/>
  <c r="Q35" i="35"/>
  <c r="Z35" i="35"/>
  <c r="Q34" i="35"/>
  <c r="Z34" i="35"/>
  <c r="H34" i="35"/>
  <c r="AB34" i="35"/>
  <c r="Q33" i="35"/>
  <c r="Z33" i="35" s="1"/>
  <c r="Q32" i="35"/>
  <c r="Z32" i="35"/>
  <c r="H32" i="35"/>
  <c r="AB32" i="35" s="1"/>
  <c r="F32" i="35"/>
  <c r="AA32" i="35" s="1"/>
  <c r="Q31" i="35"/>
  <c r="Z31" i="35"/>
  <c r="AC31" i="35"/>
  <c r="AA31" i="35"/>
  <c r="Q30" i="35"/>
  <c r="Z30" i="35" s="1"/>
  <c r="Q29" i="35"/>
  <c r="Z29" i="35" s="1"/>
  <c r="Q28" i="35"/>
  <c r="Z28" i="35"/>
  <c r="J28" i="35"/>
  <c r="AC28" i="35" s="1"/>
  <c r="H28" i="35"/>
  <c r="AB28" i="35"/>
  <c r="F28" i="35"/>
  <c r="AA28" i="35" s="1"/>
  <c r="Q27" i="35"/>
  <c r="Z27" i="35" s="1"/>
  <c r="Q26" i="35"/>
  <c r="Z26" i="35" s="1"/>
  <c r="Q25" i="35"/>
  <c r="Z25" i="35" s="1"/>
  <c r="Q24" i="35"/>
  <c r="Z24" i="35" s="1"/>
  <c r="Q23" i="35"/>
  <c r="Z23" i="35"/>
  <c r="J23" i="35"/>
  <c r="AC23" i="35" s="1"/>
  <c r="Q22" i="35"/>
  <c r="Z22" i="35"/>
  <c r="Q20" i="35"/>
  <c r="Z20" i="35" s="1"/>
  <c r="Q16" i="35"/>
  <c r="Z16" i="35" s="1"/>
  <c r="Q14" i="35"/>
  <c r="Z14" i="35" s="1"/>
  <c r="Q13" i="35"/>
  <c r="Z13" i="35" s="1"/>
  <c r="Q12" i="35"/>
  <c r="Z12" i="35" s="1"/>
  <c r="J12" i="35"/>
  <c r="W12" i="35" s="1"/>
  <c r="H12" i="35"/>
  <c r="U12" i="35" s="1"/>
  <c r="F12" i="35"/>
  <c r="S12" i="35" s="1"/>
  <c r="Q11" i="35"/>
  <c r="Z11" i="35"/>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s="1"/>
  <c r="H92" i="34" s="1"/>
  <c r="I92" i="34" s="1"/>
  <c r="J92" i="34" s="1"/>
  <c r="K92" i="34" s="1"/>
  <c r="L92" i="34" s="1"/>
  <c r="M92" i="34" s="1"/>
  <c r="B91" i="34"/>
  <c r="B89" i="34"/>
  <c r="D88" i="34"/>
  <c r="E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s="1"/>
  <c r="Q38" i="34"/>
  <c r="Z38" i="34" s="1"/>
  <c r="Q37" i="34"/>
  <c r="Z37" i="34"/>
  <c r="Q36" i="34"/>
  <c r="Z36" i="34" s="1"/>
  <c r="Q35" i="34"/>
  <c r="Z35" i="34"/>
  <c r="Q34" i="34"/>
  <c r="Z34" i="34" s="1"/>
  <c r="J34" i="34"/>
  <c r="AC34" i="34" s="1"/>
  <c r="H34" i="34"/>
  <c r="AB34" i="34" s="1"/>
  <c r="F34" i="34"/>
  <c r="AA34" i="34" s="1"/>
  <c r="Q33" i="34"/>
  <c r="Z33" i="34" s="1"/>
  <c r="Q32" i="34"/>
  <c r="Z32" i="34"/>
  <c r="Q31" i="34"/>
  <c r="Z31" i="34" s="1"/>
  <c r="Q30" i="34"/>
  <c r="Z30" i="34"/>
  <c r="Q29" i="34"/>
  <c r="Z29" i="34" s="1"/>
  <c r="Q28" i="34"/>
  <c r="Z28" i="34"/>
  <c r="Q27" i="34"/>
  <c r="Z27" i="34" s="1"/>
  <c r="Q25" i="34"/>
  <c r="Z25" i="34"/>
  <c r="Q23" i="34"/>
  <c r="Z23" i="34" s="1"/>
  <c r="C23" i="34"/>
  <c r="Q19" i="34"/>
  <c r="Z19" i="34" s="1"/>
  <c r="C19" i="34"/>
  <c r="Q17" i="34"/>
  <c r="Z17" i="34"/>
  <c r="C17" i="34"/>
  <c r="Q15" i="34"/>
  <c r="Z15" i="34"/>
  <c r="Q14" i="34"/>
  <c r="Z14" i="34" s="1"/>
  <c r="Q13" i="34"/>
  <c r="Z13" i="34"/>
  <c r="Q12" i="34"/>
  <c r="Z12" i="34" s="1"/>
  <c r="F12" i="34"/>
  <c r="S12" i="34" s="1"/>
  <c r="Q11" i="34"/>
  <c r="Z11" i="34" s="1"/>
  <c r="Q10" i="34"/>
  <c r="Z10" i="34"/>
  <c r="F10" i="34"/>
  <c r="AA10" i="34" s="1"/>
  <c r="Q9" i="34"/>
  <c r="Z9" i="34"/>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s="1"/>
  <c r="F85" i="33" s="1"/>
  <c r="G85" i="33" s="1"/>
  <c r="D81" i="33"/>
  <c r="E81" i="33" s="1"/>
  <c r="F81" i="33" s="1"/>
  <c r="G81" i="33" s="1"/>
  <c r="D79" i="33"/>
  <c r="E79" i="33" s="1"/>
  <c r="F79" i="33" s="1"/>
  <c r="G79" i="33" s="1"/>
  <c r="D77" i="33"/>
  <c r="E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c r="Q45" i="33"/>
  <c r="Z45" i="33"/>
  <c r="Q44" i="33"/>
  <c r="Z44" i="33"/>
  <c r="Q43" i="33"/>
  <c r="Z43" i="33"/>
  <c r="Q42" i="33"/>
  <c r="Z42" i="33"/>
  <c r="AC41" i="33"/>
  <c r="W41" i="33"/>
  <c r="Q41" i="33"/>
  <c r="Z41" i="33"/>
  <c r="Q40" i="33"/>
  <c r="Z40" i="33"/>
  <c r="J40" i="33"/>
  <c r="AC40" i="33"/>
  <c r="H40" i="33"/>
  <c r="AB40" i="33" s="1"/>
  <c r="AA40" i="33"/>
  <c r="Q39" i="33"/>
  <c r="Z39" i="33"/>
  <c r="Q38" i="33"/>
  <c r="Z38" i="33"/>
  <c r="J38" i="33"/>
  <c r="W38" i="33" s="1"/>
  <c r="H38" i="33"/>
  <c r="AB38" i="33" s="1"/>
  <c r="F38" i="33"/>
  <c r="AA38" i="33" s="1"/>
  <c r="Q37" i="33"/>
  <c r="Z37" i="33" s="1"/>
  <c r="Q36" i="33"/>
  <c r="Z36" i="33" s="1"/>
  <c r="Q35" i="33"/>
  <c r="Z35" i="33" s="1"/>
  <c r="H35" i="33"/>
  <c r="AB35" i="33" s="1"/>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c r="Q13" i="33"/>
  <c r="Z13" i="33"/>
  <c r="Q12" i="33"/>
  <c r="Z12" i="33"/>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L585" i="3" s="1"/>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s="1"/>
  <c r="F16" i="36"/>
  <c r="AA16" i="36" s="1"/>
  <c r="W28" i="36"/>
  <c r="U31" i="36"/>
  <c r="H22" i="35"/>
  <c r="AB22" i="35" s="1"/>
  <c r="AC27" i="35"/>
  <c r="W28" i="35"/>
  <c r="U31" i="35"/>
  <c r="W36" i="35"/>
  <c r="W22" i="35"/>
  <c r="S31" i="35"/>
  <c r="U34" i="35"/>
  <c r="F36" i="34"/>
  <c r="AA36" i="34" s="1"/>
  <c r="J35" i="34"/>
  <c r="F26" i="33"/>
  <c r="AA26" i="33" s="1"/>
  <c r="S40" i="33"/>
  <c r="W33" i="33"/>
  <c r="H39" i="37"/>
  <c r="AB39" i="37" s="1"/>
  <c r="S27" i="35"/>
  <c r="F11" i="40"/>
  <c r="AA11" i="40"/>
  <c r="H11" i="40"/>
  <c r="AB11" i="40"/>
  <c r="W8" i="40"/>
  <c r="AC40" i="40"/>
  <c r="AA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AA12" i="36" s="1"/>
  <c r="F24" i="36"/>
  <c r="AA24" i="36"/>
  <c r="F34" i="36"/>
  <c r="S34" i="36"/>
  <c r="F14" i="35"/>
  <c r="AA14" i="35"/>
  <c r="F23" i="35"/>
  <c r="AA23" i="35"/>
  <c r="J32" i="35"/>
  <c r="AC32" i="35" s="1"/>
  <c r="J16" i="35"/>
  <c r="W16" i="35" s="1"/>
  <c r="H16" i="35"/>
  <c r="U16" i="35" s="1"/>
  <c r="F16" i="35"/>
  <c r="S16" i="35" s="1"/>
  <c r="H14" i="35"/>
  <c r="AB14" i="35" s="1"/>
  <c r="J29" i="35"/>
  <c r="H33" i="35"/>
  <c r="U33" i="35" s="1"/>
  <c r="AB33" i="35"/>
  <c r="J20" i="35"/>
  <c r="W20" i="35"/>
  <c r="F35" i="37"/>
  <c r="S35" i="37"/>
  <c r="E101" i="37"/>
  <c r="F101" i="37"/>
  <c r="G101" i="37" s="1"/>
  <c r="H101" i="37" s="1"/>
  <c r="I101" i="37" s="1"/>
  <c r="J101" i="37" s="1"/>
  <c r="K101" i="37" s="1"/>
  <c r="L101" i="37" s="1"/>
  <c r="M101" i="37" s="1"/>
  <c r="J34" i="37"/>
  <c r="W34" i="37" s="1"/>
  <c r="AA39" i="37"/>
  <c r="AB34" i="37"/>
  <c r="J33" i="37"/>
  <c r="AC33" i="37" s="1"/>
  <c r="U42" i="34"/>
  <c r="E114" i="34"/>
  <c r="F114" i="34" s="1"/>
  <c r="G114" i="34" s="1"/>
  <c r="H114" i="34" s="1"/>
  <c r="I114" i="34" s="1"/>
  <c r="J114" i="34" s="1"/>
  <c r="K114" i="34" s="1"/>
  <c r="L114" i="34" s="1"/>
  <c r="M114" i="34" s="1"/>
  <c r="H36" i="34"/>
  <c r="U36" i="34" s="1"/>
  <c r="F28" i="34"/>
  <c r="AA28" i="34" s="1"/>
  <c r="H23" i="34"/>
  <c r="U23" i="34" s="1"/>
  <c r="J23" i="34"/>
  <c r="AC23" i="34" s="1"/>
  <c r="F19" i="34"/>
  <c r="H17" i="34"/>
  <c r="U17" i="34" s="1"/>
  <c r="F15" i="34"/>
  <c r="AA15" i="34" s="1"/>
  <c r="J15" i="34"/>
  <c r="W15" i="34" s="1"/>
  <c r="H15" i="34"/>
  <c r="AB15" i="34" s="1"/>
  <c r="J28" i="34"/>
  <c r="W28" i="34"/>
  <c r="F41" i="33"/>
  <c r="AA41" i="33" s="1"/>
  <c r="E113" i="33"/>
  <c r="F113" i="33" s="1"/>
  <c r="G113" i="33" s="1"/>
  <c r="H113" i="33" s="1"/>
  <c r="I113" i="33" s="1"/>
  <c r="J113" i="33" s="1"/>
  <c r="K113" i="33" s="1"/>
  <c r="L113" i="33" s="1"/>
  <c r="M113" i="33" s="1"/>
  <c r="F32" i="33"/>
  <c r="AA32" i="33" s="1"/>
  <c r="J19" i="33"/>
  <c r="W19" i="33" s="1"/>
  <c r="J15" i="33"/>
  <c r="AC15" i="33" s="1"/>
  <c r="F11" i="33"/>
  <c r="AA11" i="33" s="1"/>
  <c r="U40" i="33"/>
  <c r="W40" i="33"/>
  <c r="F37" i="40"/>
  <c r="AA37" i="40"/>
  <c r="F36" i="40"/>
  <c r="AA36" i="40"/>
  <c r="H28" i="40"/>
  <c r="U28" i="40"/>
  <c r="F23" i="40"/>
  <c r="AA23" i="40"/>
  <c r="F17" i="40"/>
  <c r="AA17" i="40"/>
  <c r="J17" i="40"/>
  <c r="W17" i="40"/>
  <c r="F15" i="40"/>
  <c r="S15" i="40"/>
  <c r="H15" i="40"/>
  <c r="AB15" i="40"/>
  <c r="AC11" i="40"/>
  <c r="S12" i="36"/>
  <c r="AB30" i="36"/>
  <c r="F29" i="35"/>
  <c r="S29" i="35" s="1"/>
  <c r="H29" i="35"/>
  <c r="AB29" i="35" s="1"/>
  <c r="H33" i="37"/>
  <c r="AB33" i="37" s="1"/>
  <c r="F33" i="37"/>
  <c r="AA33" i="37" s="1"/>
  <c r="U34" i="37"/>
  <c r="S34" i="37"/>
  <c r="AA34" i="37"/>
  <c r="J43" i="34"/>
  <c r="AB42" i="34"/>
  <c r="H38" i="34"/>
  <c r="AB38" i="34" s="1"/>
  <c r="J36" i="34"/>
  <c r="W36" i="34" s="1"/>
  <c r="F23" i="34"/>
  <c r="AA23" i="34" s="1"/>
  <c r="J19" i="34"/>
  <c r="AC19" i="34" s="1"/>
  <c r="F17" i="34"/>
  <c r="AA17" i="34" s="1"/>
  <c r="J17" i="34"/>
  <c r="W17" i="34" s="1"/>
  <c r="H37" i="33"/>
  <c r="AB37" i="33" s="1"/>
  <c r="H11" i="33"/>
  <c r="AB11" i="33" s="1"/>
  <c r="F28" i="40"/>
  <c r="AA28" i="40"/>
  <c r="AA42" i="34"/>
  <c r="S42" i="34"/>
  <c r="AC38" i="34"/>
  <c r="J11" i="33"/>
  <c r="W11" i="33" s="1"/>
  <c r="S28" i="34"/>
  <c r="U23" i="40"/>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AB30" i="21" s="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F27" i="33"/>
  <c r="AA27" i="33" s="1"/>
  <c r="J13" i="33"/>
  <c r="H13" i="33"/>
  <c r="U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AA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W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J14" i="33"/>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13" i="35"/>
  <c r="U31" i="34"/>
  <c r="U46" i="33"/>
  <c r="J36" i="37"/>
  <c r="AC36" i="37"/>
  <c r="J10" i="36"/>
  <c r="AC10" i="36" s="1"/>
  <c r="AA14" i="37"/>
  <c r="AC13" i="36"/>
  <c r="S11" i="36"/>
  <c r="AC30" i="34"/>
  <c r="AB31" i="33"/>
  <c r="W29" i="33"/>
  <c r="AC28" i="21"/>
  <c r="BA586" i="3"/>
  <c r="BA585" i="3"/>
  <c r="AZ585" i="3" s="1"/>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AZ580" i="3" s="1"/>
  <c r="BL576" i="3"/>
  <c r="BL572" i="3"/>
  <c r="BL568" i="3"/>
  <c r="BL564" i="3"/>
  <c r="BL560" i="3"/>
  <c r="BL554" i="3"/>
  <c r="BL546" i="3"/>
  <c r="BL542" i="3"/>
  <c r="BL538" i="3"/>
  <c r="BL534" i="3"/>
  <c r="BL530" i="3"/>
  <c r="BL526" i="3"/>
  <c r="AZ526" i="3" s="1"/>
  <c r="BL522" i="3"/>
  <c r="BL516" i="3"/>
  <c r="BL512" i="3"/>
  <c r="BL506" i="3"/>
  <c r="BL502" i="3"/>
  <c r="BL498" i="3"/>
  <c r="BL494" i="3"/>
  <c r="BL582" i="3"/>
  <c r="AZ582" i="3" s="1"/>
  <c r="BL578" i="3"/>
  <c r="BL574" i="3"/>
  <c r="BL570" i="3"/>
  <c r="BL566" i="3"/>
  <c r="AZ566" i="3" s="1"/>
  <c r="BL562" i="3"/>
  <c r="BL556" i="3"/>
  <c r="BL552" i="3"/>
  <c r="BL544" i="3"/>
  <c r="BL540" i="3"/>
  <c r="BL536" i="3"/>
  <c r="G533" i="3"/>
  <c r="BL532" i="3"/>
  <c r="G529" i="3"/>
  <c r="BL528" i="3"/>
  <c r="G525" i="3"/>
  <c r="BL524" i="3"/>
  <c r="AZ524" i="3" s="1"/>
  <c r="BL518" i="3"/>
  <c r="BL514" i="3"/>
  <c r="BL510" i="3"/>
  <c r="BL504" i="3"/>
  <c r="BL500" i="3"/>
  <c r="BL496" i="3"/>
  <c r="G493" i="3"/>
  <c r="BA584" i="3"/>
  <c r="BA582" i="3"/>
  <c r="BA580" i="3"/>
  <c r="BA578" i="3"/>
  <c r="AZ578" i="3"/>
  <c r="BA576" i="3"/>
  <c r="AZ576" i="3"/>
  <c r="BA574" i="3"/>
  <c r="AZ574" i="3"/>
  <c r="BA572" i="3"/>
  <c r="AZ572" i="3"/>
  <c r="BA570" i="3"/>
  <c r="AZ570" i="3"/>
  <c r="BA568" i="3"/>
  <c r="AZ568" i="3"/>
  <c r="BA566" i="3"/>
  <c r="BA564" i="3"/>
  <c r="AZ564" i="3"/>
  <c r="BA562" i="3"/>
  <c r="AZ562" i="3"/>
  <c r="BA560" i="3"/>
  <c r="BA558" i="3"/>
  <c r="AZ558" i="3" s="1"/>
  <c r="BA556" i="3"/>
  <c r="AZ556" i="3" s="1"/>
  <c r="BA554" i="3"/>
  <c r="AZ554" i="3" s="1"/>
  <c r="BA552" i="3"/>
  <c r="AZ552" i="3" s="1"/>
  <c r="BA548" i="3"/>
  <c r="AZ548" i="3" s="1"/>
  <c r="BA546" i="3"/>
  <c r="BA544" i="3"/>
  <c r="AZ544" i="3" s="1"/>
  <c r="BA542" i="3"/>
  <c r="BA540" i="3"/>
  <c r="AZ540" i="3" s="1"/>
  <c r="BA538" i="3"/>
  <c r="AZ538" i="3" s="1"/>
  <c r="BA536" i="3"/>
  <c r="AZ536" i="3" s="1"/>
  <c r="BA534" i="3"/>
  <c r="AZ534" i="3" s="1"/>
  <c r="BA532" i="3"/>
  <c r="AZ532" i="3" s="1"/>
  <c r="BA530" i="3"/>
  <c r="BA528" i="3"/>
  <c r="AZ528" i="3"/>
  <c r="BA526" i="3"/>
  <c r="BA524" i="3"/>
  <c r="BA522" i="3"/>
  <c r="BA520" i="3"/>
  <c r="AZ520" i="3" s="1"/>
  <c r="BA518" i="3"/>
  <c r="AZ518" i="3"/>
  <c r="BA516" i="3"/>
  <c r="AZ516" i="3"/>
  <c r="BA514" i="3"/>
  <c r="BA512" i="3"/>
  <c r="AZ512" i="3" s="1"/>
  <c r="BA510" i="3"/>
  <c r="AZ510" i="3" s="1"/>
  <c r="BA508" i="3"/>
  <c r="BA506" i="3"/>
  <c r="BA504" i="3"/>
  <c r="AZ504" i="3" s="1"/>
  <c r="BA502" i="3"/>
  <c r="BA500" i="3"/>
  <c r="BA498" i="3"/>
  <c r="AZ498" i="3" s="1"/>
  <c r="BA496" i="3"/>
  <c r="BA494" i="3"/>
  <c r="BA587" i="3"/>
  <c r="AZ587" i="3" s="1"/>
  <c r="BA583" i="3"/>
  <c r="AZ583" i="3" s="1"/>
  <c r="BA581" i="3"/>
  <c r="BA579" i="3"/>
  <c r="BA577" i="3"/>
  <c r="AZ577" i="3" s="1"/>
  <c r="BA575" i="3"/>
  <c r="BA573" i="3"/>
  <c r="BA571" i="3"/>
  <c r="BA569" i="3"/>
  <c r="AZ569" i="3" s="1"/>
  <c r="BA567" i="3"/>
  <c r="BA565" i="3"/>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BA513" i="3"/>
  <c r="BA511" i="3"/>
  <c r="AZ511" i="3" s="1"/>
  <c r="BA507" i="3"/>
  <c r="AZ507" i="3" s="1"/>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c r="BQ577" i="3"/>
  <c r="BL577" i="3"/>
  <c r="BQ575" i="3"/>
  <c r="BL575" i="3" s="1"/>
  <c r="AZ575" i="3" s="1"/>
  <c r="BQ573" i="3"/>
  <c r="BL573" i="3"/>
  <c r="BQ571" i="3"/>
  <c r="BL571" i="3" s="1"/>
  <c r="AZ571" i="3" s="1"/>
  <c r="BQ569" i="3"/>
  <c r="BL569" i="3"/>
  <c r="BQ567" i="3"/>
  <c r="BL567" i="3" s="1"/>
  <c r="AZ567" i="3" s="1"/>
  <c r="BQ565" i="3"/>
  <c r="BL565" i="3"/>
  <c r="BQ563" i="3"/>
  <c r="BL563" i="3" s="1"/>
  <c r="BQ561" i="3"/>
  <c r="BL561" i="3" s="1"/>
  <c r="AZ561" i="3" s="1"/>
  <c r="BQ559" i="3"/>
  <c r="BL559" i="3"/>
  <c r="AZ559" i="3" s="1"/>
  <c r="G559" i="3"/>
  <c r="G555" i="3"/>
  <c r="G553" i="3"/>
  <c r="G549" i="3"/>
  <c r="G547" i="3"/>
  <c r="G545" i="3"/>
  <c r="G543" i="3"/>
  <c r="G541" i="3"/>
  <c r="G539" i="3"/>
  <c r="G537" i="3"/>
  <c r="BQ555" i="3"/>
  <c r="BL555" i="3" s="1"/>
  <c r="BQ553" i="3"/>
  <c r="BL553" i="3"/>
  <c r="AZ553" i="3" s="1"/>
  <c r="BQ551" i="3"/>
  <c r="BL551" i="3" s="1"/>
  <c r="BQ549" i="3"/>
  <c r="BL549" i="3" s="1"/>
  <c r="BQ547" i="3"/>
  <c r="BL547" i="3"/>
  <c r="AZ547" i="3" s="1"/>
  <c r="BQ545" i="3"/>
  <c r="BL545" i="3" s="1"/>
  <c r="BQ543" i="3"/>
  <c r="BL543" i="3"/>
  <c r="AZ543" i="3" s="1"/>
  <c r="BQ541" i="3"/>
  <c r="BL541" i="3" s="1"/>
  <c r="AZ541" i="3"/>
  <c r="BQ539" i="3"/>
  <c r="BL539" i="3"/>
  <c r="AZ539" i="3" s="1"/>
  <c r="BQ537" i="3"/>
  <c r="BL537" i="3" s="1"/>
  <c r="BQ535" i="3"/>
  <c r="BL535" i="3"/>
  <c r="AZ535" i="3" s="1"/>
  <c r="BQ533" i="3"/>
  <c r="BL533" i="3" s="1"/>
  <c r="AZ533" i="3" s="1"/>
  <c r="BQ531" i="3"/>
  <c r="BL531" i="3"/>
  <c r="AZ531" i="3" s="1"/>
  <c r="BQ529" i="3"/>
  <c r="BL529" i="3" s="1"/>
  <c r="BQ527" i="3"/>
  <c r="BL527" i="3"/>
  <c r="AZ527" i="3" s="1"/>
  <c r="BQ525" i="3"/>
  <c r="BL525" i="3" s="1"/>
  <c r="AZ525" i="3"/>
  <c r="BQ523" i="3"/>
  <c r="BL523" i="3"/>
  <c r="AZ523" i="3" s="1"/>
  <c r="BA521" i="3"/>
  <c r="AZ521" i="3" s="1"/>
  <c r="AC521" i="3"/>
  <c r="G521" i="3" s="1"/>
  <c r="BQ521" i="3"/>
  <c r="BL521" i="3" s="1"/>
  <c r="BL520" i="3"/>
  <c r="G519" i="3"/>
  <c r="G517" i="3"/>
  <c r="G515" i="3"/>
  <c r="G513" i="3"/>
  <c r="G511" i="3"/>
  <c r="BQ519" i="3"/>
  <c r="BL519" i="3"/>
  <c r="BQ517" i="3"/>
  <c r="BL517" i="3" s="1"/>
  <c r="AZ517" i="3" s="1"/>
  <c r="BQ515" i="3"/>
  <c r="BL515" i="3"/>
  <c r="BQ513" i="3"/>
  <c r="BL513" i="3" s="1"/>
  <c r="AZ513" i="3"/>
  <c r="BQ511" i="3"/>
  <c r="BL511" i="3"/>
  <c r="BA509" i="3"/>
  <c r="AC509" i="3"/>
  <c r="BQ509" i="3"/>
  <c r="BL509" i="3" s="1"/>
  <c r="BL508" i="3"/>
  <c r="G507" i="3"/>
  <c r="G505" i="3"/>
  <c r="G503" i="3"/>
  <c r="G501" i="3"/>
  <c r="G499" i="3"/>
  <c r="G497" i="3"/>
  <c r="G495" i="3"/>
  <c r="BQ507" i="3"/>
  <c r="BL507" i="3"/>
  <c r="BQ505" i="3"/>
  <c r="BL505" i="3" s="1"/>
  <c r="AZ505" i="3" s="1"/>
  <c r="BQ503" i="3"/>
  <c r="BL503" i="3"/>
  <c r="AZ503" i="3" s="1"/>
  <c r="BQ501" i="3"/>
  <c r="BL501" i="3" s="1"/>
  <c r="BQ499" i="3"/>
  <c r="BL499" i="3" s="1"/>
  <c r="BQ497" i="3"/>
  <c r="BL497" i="3" s="1"/>
  <c r="BQ495" i="3"/>
  <c r="BL495" i="3" s="1"/>
  <c r="AZ495" i="3" s="1"/>
  <c r="BQ493" i="3"/>
  <c r="AZ584" i="3"/>
  <c r="S505" i="31"/>
  <c r="S501"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c r="AB27" i="37"/>
  <c r="AA36" i="39"/>
  <c r="E123" i="33"/>
  <c r="J42" i="33" s="1"/>
  <c r="W42" i="33" s="1"/>
  <c r="F42" i="33"/>
  <c r="AA42" i="33" s="1"/>
  <c r="H28" i="34"/>
  <c r="AB28" i="34"/>
  <c r="F14" i="36"/>
  <c r="AA14" i="36"/>
  <c r="F22" i="36"/>
  <c r="S22" i="36"/>
  <c r="F26" i="36"/>
  <c r="S26" i="36"/>
  <c r="H35" i="34"/>
  <c r="U35" i="34" s="1"/>
  <c r="F41" i="34"/>
  <c r="S41" i="34" s="1"/>
  <c r="H41" i="34"/>
  <c r="U41" i="34" s="1"/>
  <c r="J41" i="34"/>
  <c r="W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43" i="33"/>
  <c r="U14" i="40"/>
  <c r="U35" i="35"/>
  <c r="AA12" i="35"/>
  <c r="W23" i="35"/>
  <c r="W14" i="37"/>
  <c r="AB28" i="37"/>
  <c r="U33" i="37"/>
  <c r="U39" i="37"/>
  <c r="U26" i="37"/>
  <c r="W47" i="34"/>
  <c r="AB13" i="34"/>
  <c r="AC31" i="33"/>
  <c r="U19" i="21"/>
  <c r="W44" i="21"/>
  <c r="U26" i="21"/>
  <c r="AC46" i="21"/>
  <c r="U12" i="21"/>
  <c r="AB38" i="21"/>
  <c r="F43" i="33"/>
  <c r="AA43" i="33" s="1"/>
  <c r="W40" i="37"/>
  <c r="G107" i="37"/>
  <c r="H107" i="37"/>
  <c r="I107" i="37" s="1"/>
  <c r="J107" i="37"/>
  <c r="K107" i="37" s="1"/>
  <c r="L107" i="37" s="1"/>
  <c r="M107" i="37" s="1"/>
  <c r="H37" i="21"/>
  <c r="U37" i="21" s="1"/>
  <c r="S42" i="21"/>
  <c r="H19" i="34"/>
  <c r="AB19" i="34" s="1"/>
  <c r="F36" i="35"/>
  <c r="S36" i="35"/>
  <c r="J9" i="37"/>
  <c r="W9" i="37" s="1"/>
  <c r="H9" i="37"/>
  <c r="U9" i="37" s="1"/>
  <c r="F9" i="37"/>
  <c r="S9" i="37" s="1"/>
  <c r="J12" i="37"/>
  <c r="H12" i="37"/>
  <c r="AB12" i="37" s="1"/>
  <c r="F12" i="37"/>
  <c r="S12" i="37" s="1"/>
  <c r="E71" i="37"/>
  <c r="F15" i="37"/>
  <c r="AA15" i="37" s="1"/>
  <c r="E94" i="37"/>
  <c r="F31" i="37"/>
  <c r="S31" i="37"/>
  <c r="F12" i="39"/>
  <c r="S12" i="39" s="1"/>
  <c r="J42" i="39"/>
  <c r="AC42" i="39" s="1"/>
  <c r="H21" i="40"/>
  <c r="AB21" i="40"/>
  <c r="F94" i="37"/>
  <c r="G94" i="37" s="1"/>
  <c r="H94" i="37" s="1"/>
  <c r="I94" i="37" s="1"/>
  <c r="J94" i="37" s="1"/>
  <c r="K94" i="37" s="1"/>
  <c r="L94" i="37" s="1"/>
  <c r="M94" i="37" s="1"/>
  <c r="H31" i="37"/>
  <c r="U31" i="37" s="1"/>
  <c r="F71" i="37"/>
  <c r="G71" i="37" s="1"/>
  <c r="J15" i="37"/>
  <c r="W15" i="37" s="1"/>
  <c r="AT6" i="3"/>
  <c r="H5" i="3"/>
  <c r="AA25" i="21"/>
  <c r="H19" i="40"/>
  <c r="U19" i="40"/>
  <c r="F88" i="40"/>
  <c r="G88" i="40"/>
  <c r="F19" i="40"/>
  <c r="S19" i="40"/>
  <c r="S14" i="40"/>
  <c r="AC1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W35" i="40"/>
  <c r="A118" i="9"/>
  <c r="A4" i="52"/>
  <c r="B41" i="72" s="1"/>
  <c r="J11" i="39"/>
  <c r="W11" i="39"/>
  <c r="F11" i="39"/>
  <c r="AA11" i="39"/>
  <c r="S11" i="39"/>
  <c r="G4" i="4"/>
  <c r="I4" i="4"/>
  <c r="A2" i="9"/>
  <c r="F61" i="43"/>
  <c r="H64" i="43" s="1"/>
  <c r="AZ497"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c r="BL124" i="3"/>
  <c r="AZ124" i="3" s="1"/>
  <c r="G125" i="3"/>
  <c r="BA127" i="3"/>
  <c r="AZ127" i="3"/>
  <c r="BL128" i="3"/>
  <c r="G129" i="3"/>
  <c r="BA131" i="3"/>
  <c r="BL132" i="3"/>
  <c r="AZ132" i="3"/>
  <c r="G133" i="3"/>
  <c r="BA135" i="3"/>
  <c r="AZ135" i="3" s="1"/>
  <c r="BL136" i="3"/>
  <c r="AZ136" i="3" s="1"/>
  <c r="G137" i="3"/>
  <c r="BA139" i="3"/>
  <c r="AZ139" i="3" s="1"/>
  <c r="BL140" i="3"/>
  <c r="AZ140" i="3"/>
  <c r="G141" i="3"/>
  <c r="BA143" i="3"/>
  <c r="AZ143" i="3"/>
  <c r="BL144" i="3"/>
  <c r="AZ144" i="3" s="1"/>
  <c r="G145" i="3"/>
  <c r="BA147" i="3"/>
  <c r="BL148" i="3"/>
  <c r="AZ148" i="3"/>
  <c r="G149" i="3"/>
  <c r="BA151" i="3"/>
  <c r="AZ151" i="3"/>
  <c r="BL152" i="3"/>
  <c r="AZ152" i="3" s="1"/>
  <c r="G153" i="3"/>
  <c r="BA155" i="3"/>
  <c r="AZ155" i="3"/>
  <c r="BL156" i="3"/>
  <c r="AZ156" i="3" s="1"/>
  <c r="G157" i="3"/>
  <c r="BA159" i="3"/>
  <c r="AZ159" i="3"/>
  <c r="BL160" i="3"/>
  <c r="G161" i="3"/>
  <c r="BA163" i="3"/>
  <c r="AZ163" i="3"/>
  <c r="BL164" i="3"/>
  <c r="AZ164" i="3"/>
  <c r="G165" i="3"/>
  <c r="BA167" i="3"/>
  <c r="AZ167" i="3" s="1"/>
  <c r="BL168" i="3"/>
  <c r="G169" i="3"/>
  <c r="BA171" i="3"/>
  <c r="AZ171" i="3" s="1"/>
  <c r="BL172" i="3"/>
  <c r="AZ172" i="3"/>
  <c r="G173" i="3"/>
  <c r="BA175" i="3"/>
  <c r="AZ175" i="3"/>
  <c r="BL176" i="3"/>
  <c r="AZ176" i="3" s="1"/>
  <c r="G177" i="3"/>
  <c r="BA179" i="3"/>
  <c r="AZ179" i="3"/>
  <c r="BL180" i="3"/>
  <c r="AZ180" i="3" s="1"/>
  <c r="G181" i="3"/>
  <c r="BA183" i="3"/>
  <c r="AZ183" i="3"/>
  <c r="BL184" i="3"/>
  <c r="AZ184" i="3" s="1"/>
  <c r="G185" i="3"/>
  <c r="BA187" i="3"/>
  <c r="AZ187" i="3"/>
  <c r="BL188" i="3"/>
  <c r="AZ188" i="3" s="1"/>
  <c r="G189" i="3"/>
  <c r="BA191" i="3"/>
  <c r="AZ191" i="3"/>
  <c r="BL192" i="3"/>
  <c r="G193" i="3"/>
  <c r="BA195" i="3"/>
  <c r="AZ195" i="3"/>
  <c r="BL196" i="3"/>
  <c r="AZ196" i="3"/>
  <c r="G197" i="3"/>
  <c r="BA199" i="3"/>
  <c r="AZ199" i="3" s="1"/>
  <c r="BL200" i="3"/>
  <c r="G201" i="3"/>
  <c r="BA203" i="3"/>
  <c r="AZ203" i="3" s="1"/>
  <c r="BL204" i="3"/>
  <c r="AZ204" i="3" s="1"/>
  <c r="AZ43" i="3"/>
  <c r="AZ47" i="3"/>
  <c r="AZ51" i="3"/>
  <c r="AZ55" i="3"/>
  <c r="AZ59" i="3"/>
  <c r="AZ63" i="3"/>
  <c r="AZ67" i="3"/>
  <c r="AZ71" i="3"/>
  <c r="AZ75" i="3"/>
  <c r="AZ79" i="3"/>
  <c r="AZ83" i="3"/>
  <c r="AZ160" i="3"/>
  <c r="AZ168"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s="1"/>
  <c r="G306" i="3"/>
  <c r="G309" i="3"/>
  <c r="BL310" i="3"/>
  <c r="BA312" i="3"/>
  <c r="AZ312" i="3"/>
  <c r="BA313" i="3"/>
  <c r="BL313" i="3"/>
  <c r="AZ313" i="3"/>
  <c r="G314" i="3"/>
  <c r="G317" i="3"/>
  <c r="BL318" i="3"/>
  <c r="BA320" i="3"/>
  <c r="AZ320" i="3"/>
  <c r="BA321" i="3"/>
  <c r="BL321" i="3"/>
  <c r="AZ321" i="3" s="1"/>
  <c r="G322" i="3"/>
  <c r="G325" i="3"/>
  <c r="BL326" i="3"/>
  <c r="BA328" i="3"/>
  <c r="AZ328" i="3"/>
  <c r="BA329" i="3"/>
  <c r="BL329" i="3"/>
  <c r="AZ329" i="3"/>
  <c r="G330" i="3"/>
  <c r="G333" i="3"/>
  <c r="BL334" i="3"/>
  <c r="BA336" i="3"/>
  <c r="AZ336" i="3"/>
  <c r="BA337" i="3"/>
  <c r="BL337" i="3"/>
  <c r="AZ337" i="3" s="1"/>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42"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s="1"/>
  <c r="BL311" i="3"/>
  <c r="AZ311" i="3"/>
  <c r="G312" i="3"/>
  <c r="BA314" i="3"/>
  <c r="AZ314" i="3" s="1"/>
  <c r="BL315" i="3"/>
  <c r="AZ315" i="3"/>
  <c r="G316" i="3"/>
  <c r="BA318" i="3"/>
  <c r="AZ318" i="3"/>
  <c r="BL319" i="3"/>
  <c r="AZ319" i="3" s="1"/>
  <c r="G320" i="3"/>
  <c r="BA322" i="3"/>
  <c r="AZ322" i="3"/>
  <c r="BL323" i="3"/>
  <c r="AZ323" i="3"/>
  <c r="G324" i="3"/>
  <c r="BA326" i="3"/>
  <c r="AZ326" i="3"/>
  <c r="BL327" i="3"/>
  <c r="AZ327" i="3" s="1"/>
  <c r="G328" i="3"/>
  <c r="BA330" i="3"/>
  <c r="AZ330" i="3"/>
  <c r="BL331" i="3"/>
  <c r="AZ331" i="3"/>
  <c r="G332" i="3"/>
  <c r="BA334" i="3"/>
  <c r="AZ334" i="3" s="1"/>
  <c r="BL335" i="3"/>
  <c r="AZ335" i="3" s="1"/>
  <c r="G336" i="3"/>
  <c r="BA338" i="3"/>
  <c r="AZ338" i="3" s="1"/>
  <c r="BL339" i="3"/>
  <c r="AZ339" i="3"/>
  <c r="G340" i="3"/>
  <c r="BL343" i="3"/>
  <c r="G344" i="3"/>
  <c r="G348" i="3"/>
  <c r="G355" i="3"/>
  <c r="AZ209" i="3"/>
  <c r="AZ214" i="3"/>
  <c r="AZ218" i="3"/>
  <c r="AZ222" i="3"/>
  <c r="G342" i="3"/>
  <c r="BL345" i="3"/>
  <c r="AZ345" i="3"/>
  <c r="G346" i="3"/>
  <c r="AZ348" i="3"/>
  <c r="BL349" i="3"/>
  <c r="AZ349" i="3"/>
  <c r="BL352" i="3"/>
  <c r="G353" i="3"/>
  <c r="BA357" i="3"/>
  <c r="AZ357" i="3"/>
  <c r="BL358" i="3"/>
  <c r="AZ358" i="3"/>
  <c r="G359" i="3"/>
  <c r="BA361" i="3"/>
  <c r="AZ361" i="3"/>
  <c r="BL362" i="3"/>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3" i="3"/>
  <c r="AZ257" i="3"/>
  <c r="AZ261" i="3"/>
  <c r="AZ265" i="3"/>
  <c r="AZ269" i="3"/>
  <c r="AZ273" i="3"/>
  <c r="BA379" i="3"/>
  <c r="AZ379" i="3"/>
  <c r="BL380" i="3"/>
  <c r="G381" i="3"/>
  <c r="BA383" i="3"/>
  <c r="AZ383" i="3"/>
  <c r="BL384" i="3"/>
  <c r="G385" i="3"/>
  <c r="BA387" i="3"/>
  <c r="AZ387" i="3"/>
  <c r="BL388" i="3"/>
  <c r="AZ388" i="3" s="1"/>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92" i="3"/>
  <c r="AZ396" i="3"/>
  <c r="AZ394" i="3"/>
  <c r="AZ499" i="3"/>
  <c r="AZ509" i="3"/>
  <c r="G509" i="3"/>
  <c r="BL493" i="3"/>
  <c r="AZ493" i="3" s="1"/>
  <c r="AZ491" i="3"/>
  <c r="AZ376" i="3"/>
  <c r="AZ390" i="3"/>
  <c r="AZ382" i="3"/>
  <c r="U36" i="40"/>
  <c r="F83" i="43"/>
  <c r="H85" i="43" s="1"/>
  <c r="F50" i="43"/>
  <c r="H54" i="43" s="1"/>
  <c r="F72" i="43"/>
  <c r="H75" i="43" s="1"/>
  <c r="U17" i="39"/>
  <c r="S14" i="35"/>
  <c r="U43" i="21"/>
  <c r="U35" i="21"/>
  <c r="AC35" i="21"/>
  <c r="G8" i="1"/>
  <c r="G10" i="1"/>
  <c r="AC11" i="39"/>
  <c r="AZ563" i="3"/>
  <c r="AZ501" i="3"/>
  <c r="W37" i="37"/>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42" i="3"/>
  <c r="AZ45" i="3"/>
  <c r="AZ50" i="3"/>
  <c r="AZ53" i="3"/>
  <c r="AZ58" i="3"/>
  <c r="AZ66" i="3"/>
  <c r="AZ72" i="3"/>
  <c r="AZ74" i="3"/>
  <c r="AZ77" i="3"/>
  <c r="AZ82" i="3"/>
  <c r="AZ94" i="3"/>
  <c r="AZ110" i="3"/>
  <c r="F23" i="39"/>
  <c r="AA23" i="39" s="1"/>
  <c r="H27" i="36"/>
  <c r="U27" i="36" s="1"/>
  <c r="F27" i="36"/>
  <c r="AA27" i="36" s="1"/>
  <c r="H33" i="34"/>
  <c r="AB33" i="34" s="1"/>
  <c r="F32" i="37"/>
  <c r="AA32" i="37"/>
  <c r="G96" i="37"/>
  <c r="H96" i="37"/>
  <c r="I96" i="37" s="1"/>
  <c r="J96" i="37" s="1"/>
  <c r="K96" i="37" s="1"/>
  <c r="L96" i="37" s="1"/>
  <c r="M96" i="37" s="1"/>
  <c r="F20" i="36"/>
  <c r="AA20" i="36" s="1"/>
  <c r="J33" i="34"/>
  <c r="AC33" i="34" s="1"/>
  <c r="H23" i="39"/>
  <c r="U23" i="39" s="1"/>
  <c r="D48" i="9"/>
  <c r="M52" i="9" s="1"/>
  <c r="K9" i="1"/>
  <c r="M9" i="1" s="1"/>
  <c r="D93" i="9"/>
  <c r="K6" i="1"/>
  <c r="G29" i="6"/>
  <c r="W26" i="33"/>
  <c r="AB34" i="36"/>
  <c r="U34" i="36"/>
  <c r="AB33" i="36"/>
  <c r="U33" i="36"/>
  <c r="AC12" i="39"/>
  <c r="W12" i="39"/>
  <c r="AC39" i="40"/>
  <c r="W39" i="40"/>
  <c r="AZ401" i="3"/>
  <c r="AZ412" i="3"/>
  <c r="AZ417" i="3"/>
  <c r="AZ428" i="3"/>
  <c r="AZ433" i="3"/>
  <c r="AZ465" i="3"/>
  <c r="AZ586" i="3"/>
  <c r="W12" i="33"/>
  <c r="AC12" i="33"/>
  <c r="AA32" i="36"/>
  <c r="S32" i="36"/>
  <c r="AZ408" i="3"/>
  <c r="AZ437" i="3"/>
  <c r="AZ441" i="3"/>
  <c r="AZ457"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41" i="3"/>
  <c r="B12" i="1"/>
  <c r="E12" i="1" s="1"/>
  <c r="B10" i="1"/>
  <c r="E10" i="1" s="1"/>
  <c r="AZ80" i="3"/>
  <c r="AZ88" i="3"/>
  <c r="AZ107" i="3"/>
  <c r="AZ111" i="3"/>
  <c r="K12" i="1"/>
  <c r="M12" i="1" s="1"/>
  <c r="S13" i="1"/>
  <c r="AR13" i="1" s="1"/>
  <c r="R13" i="1"/>
  <c r="J51" i="67"/>
  <c r="B41"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AB8" i="34"/>
  <c r="AC42" i="34"/>
  <c r="U39" i="34"/>
  <c r="AA45" i="34"/>
  <c r="U28" i="34"/>
  <c r="AA29" i="34"/>
  <c r="U15" i="34"/>
  <c r="S13" i="34"/>
  <c r="H10" i="34"/>
  <c r="AB10" i="34" s="1"/>
  <c r="F11" i="34"/>
  <c r="S11" i="34" s="1"/>
  <c r="F70" i="34"/>
  <c r="AA29" i="33"/>
  <c r="AB29" i="33"/>
  <c r="H41" i="33"/>
  <c r="U41" i="33" s="1"/>
  <c r="J35" i="33"/>
  <c r="W35" i="33" s="1"/>
  <c r="S37" i="33"/>
  <c r="AA37" i="33"/>
  <c r="J32" i="33"/>
  <c r="W32" i="33" s="1"/>
  <c r="S46" i="33"/>
  <c r="J23" i="33"/>
  <c r="AC23" i="33" s="1"/>
  <c r="H23" i="33"/>
  <c r="AB23" i="33" s="1"/>
  <c r="F19" i="33"/>
  <c r="AA19" i="33" s="1"/>
  <c r="J17" i="33"/>
  <c r="W17" i="33" s="1"/>
  <c r="S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A4" i="51"/>
  <c r="B6" i="72" s="1"/>
  <c r="L20" i="6"/>
  <c r="B6" i="1"/>
  <c r="E6" i="1" s="1"/>
  <c r="K11" i="1"/>
  <c r="M11" i="1" s="1"/>
  <c r="O11" i="1" s="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AB36" i="34"/>
  <c r="AC14" i="34"/>
  <c r="AC32" i="34"/>
  <c r="AC29" i="34"/>
  <c r="W29" i="34"/>
  <c r="W46" i="34"/>
  <c r="AC46" i="34"/>
  <c r="S32" i="34"/>
  <c r="AA32" i="34"/>
  <c r="U30" i="34"/>
  <c r="AB30" i="34"/>
  <c r="U38" i="34"/>
  <c r="AA19" i="34"/>
  <c r="S19" i="34"/>
  <c r="S36" i="34"/>
  <c r="AA8" i="34"/>
  <c r="S8" i="34"/>
  <c r="AB9" i="34"/>
  <c r="U9" i="34"/>
  <c r="S46" i="34"/>
  <c r="AA46" i="34"/>
  <c r="U32" i="34"/>
  <c r="AB32" i="34"/>
  <c r="U14" i="34"/>
  <c r="AB14" i="34"/>
  <c r="AC43" i="34"/>
  <c r="W43" i="34"/>
  <c r="W23" i="34"/>
  <c r="AC35" i="34"/>
  <c r="W35" i="34"/>
  <c r="U12" i="34"/>
  <c r="AB12" i="34"/>
  <c r="AB28" i="33"/>
  <c r="W46" i="33"/>
  <c r="U38" i="33"/>
  <c r="S33" i="33"/>
  <c r="AB44" i="33"/>
  <c r="AA30" i="33"/>
  <c r="AC14" i="33"/>
  <c r="W14" i="33"/>
  <c r="AC30" i="33"/>
  <c r="W30" i="33"/>
  <c r="S31" i="33"/>
  <c r="AA31" i="33"/>
  <c r="W13" i="33"/>
  <c r="AC13" i="33"/>
  <c r="S11"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s="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28" i="67"/>
  <c r="F31" i="12"/>
  <c r="F32" i="67"/>
  <c r="F60" i="67" s="1"/>
  <c r="F30" i="69"/>
  <c r="F48" i="69" s="1"/>
  <c r="F28" i="15"/>
  <c r="AA39" i="40"/>
  <c r="S39" i="40"/>
  <c r="S12" i="33"/>
  <c r="AA12" i="33"/>
  <c r="D68" i="9"/>
  <c r="J32" i="39"/>
  <c r="W32" i="39" s="1"/>
  <c r="H32" i="39"/>
  <c r="AB32" i="39" s="1"/>
  <c r="AA32" i="39"/>
  <c r="S32" i="39"/>
  <c r="AB21" i="39"/>
  <c r="U21" i="39"/>
  <c r="AA21" i="39"/>
  <c r="S21" i="39"/>
  <c r="AC17" i="37"/>
  <c r="S17" i="37"/>
  <c r="J19" i="37"/>
  <c r="G75" i="37"/>
  <c r="S19" i="37"/>
  <c r="AA19" i="37"/>
  <c r="AA23" i="37"/>
  <c r="J23" i="37"/>
  <c r="G79" i="37"/>
  <c r="J10" i="37"/>
  <c r="W10" i="37" s="1"/>
  <c r="G63" i="37"/>
  <c r="H11" i="37"/>
  <c r="AB11" i="37" s="1"/>
  <c r="G70" i="34"/>
  <c r="H70" i="34" s="1"/>
  <c r="I70" i="34" s="1"/>
  <c r="J70" i="34" s="1"/>
  <c r="K70" i="34" s="1"/>
  <c r="L70" i="34" s="1"/>
  <c r="M70" i="34" s="1"/>
  <c r="H11" i="34"/>
  <c r="U11" i="34" s="1"/>
  <c r="J10" i="34"/>
  <c r="AC10" i="34" s="1"/>
  <c r="AB41" i="33"/>
  <c r="J27" i="33"/>
  <c r="AC27" i="33" s="1"/>
  <c r="F23" i="33"/>
  <c r="AA23" i="33" s="1"/>
  <c r="H19" i="33"/>
  <c r="AB19" i="33" s="1"/>
  <c r="H17" i="33"/>
  <c r="U17" i="33" s="1"/>
  <c r="F17" i="33"/>
  <c r="AA17" i="33" s="1"/>
  <c r="S37" i="21"/>
  <c r="AB15" i="21"/>
  <c r="J23" i="21"/>
  <c r="AC23" i="21" s="1"/>
  <c r="F85" i="21"/>
  <c r="G85" i="21" s="1"/>
  <c r="H23" i="21"/>
  <c r="AB23" i="21" s="1"/>
  <c r="S13" i="21"/>
  <c r="D6" i="52"/>
  <c r="AP7" i="1"/>
  <c r="AB45" i="21"/>
  <c r="AB9" i="21"/>
  <c r="U9" i="21"/>
  <c r="AA32" i="21"/>
  <c r="S32" i="21"/>
  <c r="W9" i="21"/>
  <c r="AC9" i="21"/>
  <c r="AB32" i="21"/>
  <c r="U32" i="21"/>
  <c r="AC32" i="39"/>
  <c r="W19" i="37"/>
  <c r="AC19" i="37"/>
  <c r="W23" i="37"/>
  <c r="AC23" i="37"/>
  <c r="H63" i="37"/>
  <c r="I63" i="37"/>
  <c r="J63" i="37"/>
  <c r="K63" i="37" s="1"/>
  <c r="L63" i="37" s="1"/>
  <c r="M63" i="37" s="1"/>
  <c r="J11" i="37"/>
  <c r="AC11" i="37" s="1"/>
  <c r="J11" i="34"/>
  <c r="W11" i="34" s="1"/>
  <c r="U23" i="21"/>
  <c r="H109" i="9"/>
  <c r="H112" i="9"/>
  <c r="D21" i="53"/>
  <c r="B39" i="72" s="1"/>
  <c r="H111" i="9"/>
  <c r="D126" i="9" s="1"/>
  <c r="AD3" i="71"/>
  <c r="H69" i="43"/>
  <c r="C22" i="71"/>
  <c r="D22" i="7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V20" i="71"/>
  <c r="C20" i="71"/>
  <c r="C19" i="71" s="1"/>
  <c r="C18" i="71" s="1"/>
  <c r="C17" i="71" s="1"/>
  <c r="D19" i="71"/>
  <c r="E13" i="76"/>
  <c r="F43" i="67"/>
  <c r="M8" i="67"/>
  <c r="M29" i="83"/>
  <c r="F9" i="67"/>
  <c r="B10" i="76"/>
  <c r="F37" i="67"/>
  <c r="J15" i="67"/>
  <c r="B8" i="76"/>
  <c r="M28" i="67"/>
  <c r="F42" i="15"/>
  <c r="F8" i="15"/>
  <c r="M23" i="15"/>
  <c r="F37" i="15"/>
  <c r="E2" i="68"/>
  <c r="F38" i="67"/>
  <c r="F36" i="67"/>
  <c r="C76" i="67"/>
  <c r="E2" i="69"/>
  <c r="F43" i="83"/>
  <c r="F4" i="73"/>
  <c r="AO13" i="1"/>
  <c r="M26" i="67"/>
  <c r="F6" i="15"/>
  <c r="L47" i="67"/>
  <c r="F40" i="15"/>
  <c r="E9" i="76"/>
  <c r="F8" i="67"/>
  <c r="F16" i="67"/>
  <c r="M29" i="15"/>
  <c r="M23" i="67"/>
  <c r="C76" i="15"/>
  <c r="F43" i="15"/>
  <c r="F5" i="73"/>
  <c r="M6" i="15"/>
  <c r="M26" i="15"/>
  <c r="B13" i="76"/>
  <c r="F42" i="67"/>
  <c r="M9" i="15"/>
  <c r="M24" i="67"/>
  <c r="F13" i="67"/>
  <c r="B9" i="76"/>
  <c r="F26" i="15"/>
  <c r="M9" i="67"/>
  <c r="L48" i="67"/>
  <c r="F9" i="15"/>
  <c r="M28" i="15"/>
  <c r="F6" i="67"/>
  <c r="M22" i="67"/>
  <c r="F38" i="15"/>
  <c r="F40" i="67"/>
  <c r="F16" i="15"/>
  <c r="L48" i="15"/>
  <c r="F6" i="73"/>
  <c r="B7" i="76"/>
  <c r="F13" i="15"/>
  <c r="F26" i="67"/>
  <c r="M22" i="15"/>
  <c r="E11" i="76"/>
  <c r="E10" i="76"/>
  <c r="E8" i="76"/>
  <c r="M29" i="67"/>
  <c r="M6" i="67"/>
  <c r="M24" i="15"/>
  <c r="F36" i="15"/>
  <c r="F3" i="73"/>
  <c r="F20" i="31"/>
  <c r="J15" i="15"/>
  <c r="B11" i="76"/>
  <c r="F7" i="15"/>
  <c r="M8" i="15"/>
  <c r="E12" i="76"/>
  <c r="F7" i="73"/>
  <c r="B12" i="76"/>
  <c r="E7" i="76"/>
  <c r="L47" i="15"/>
  <c r="W23" i="21" l="1"/>
  <c r="AA29" i="21"/>
  <c r="AZ362" i="3"/>
  <c r="AZ515" i="3"/>
  <c r="S14" i="33"/>
  <c r="AA14" i="33"/>
  <c r="C16" i="71"/>
  <c r="D17" i="71"/>
  <c r="T20" i="71"/>
  <c r="U32" i="39"/>
  <c r="D18" i="71"/>
  <c r="E15" i="71"/>
  <c r="E14" i="71" s="1"/>
  <c r="E13" i="71" s="1"/>
  <c r="E12" i="71" s="1"/>
  <c r="V16" i="71"/>
  <c r="D20" i="71"/>
  <c r="U20" i="71" s="1"/>
  <c r="AA23" i="21"/>
  <c r="AZ508" i="3"/>
  <c r="AZ529" i="3"/>
  <c r="AZ537" i="3"/>
  <c r="AZ545" i="3"/>
  <c r="AZ555" i="3"/>
  <c r="AZ565" i="3"/>
  <c r="AZ573" i="3"/>
  <c r="AZ542" i="3"/>
  <c r="W12" i="37"/>
  <c r="AC12" i="37"/>
  <c r="S12" i="21"/>
  <c r="AA12" i="21"/>
  <c r="J12" i="34"/>
  <c r="J34" i="35"/>
  <c r="F34" i="35"/>
  <c r="H39" i="40"/>
  <c r="AZ411" i="3"/>
  <c r="AZ414" i="3"/>
  <c r="AZ416" i="3"/>
  <c r="AZ418" i="3"/>
  <c r="AZ430" i="3"/>
  <c r="AZ443" i="3"/>
  <c r="AZ449" i="3"/>
  <c r="AZ451" i="3"/>
  <c r="AZ461" i="3"/>
  <c r="AA13" i="33"/>
  <c r="AB46" i="34"/>
  <c r="W31" i="34"/>
  <c r="S14" i="34"/>
  <c r="AB23" i="34"/>
  <c r="AC16" i="35"/>
  <c r="S34" i="21"/>
  <c r="U33" i="33"/>
  <c r="J33" i="36"/>
  <c r="AC33" i="36" s="1"/>
  <c r="J12" i="21"/>
  <c r="W9" i="40"/>
  <c r="G570" i="3"/>
  <c r="BL550" i="3"/>
  <c r="AZ550" i="3" s="1"/>
  <c r="AZ440" i="3"/>
  <c r="AZ442" i="3"/>
  <c r="J9" i="36"/>
  <c r="H9" i="36"/>
  <c r="J26" i="37"/>
  <c r="F26" i="37"/>
  <c r="BA551" i="3"/>
  <c r="AZ551" i="3" s="1"/>
  <c r="AZ399" i="3"/>
  <c r="AZ405" i="3"/>
  <c r="AZ409" i="3"/>
  <c r="AZ421" i="3"/>
  <c r="AZ432" i="3"/>
  <c r="AZ445" i="3"/>
  <c r="AZ476" i="3"/>
  <c r="AZ480" i="3"/>
  <c r="AB33" i="40"/>
  <c r="U11" i="33"/>
  <c r="AA29" i="35"/>
  <c r="C27" i="39"/>
  <c r="W9" i="34"/>
  <c r="G556" i="3"/>
  <c r="AZ398" i="3"/>
  <c r="AZ402" i="3"/>
  <c r="AZ419" i="3"/>
  <c r="AZ422" i="3"/>
  <c r="AZ436" i="3"/>
  <c r="AZ446" i="3"/>
  <c r="AZ454" i="3"/>
  <c r="M20" i="15"/>
  <c r="M20" i="83"/>
  <c r="F34" i="83"/>
  <c r="F62" i="83" s="1"/>
  <c r="G41" i="69"/>
  <c r="C24" i="83"/>
  <c r="BA464" i="3"/>
  <c r="AZ464" i="3" s="1"/>
  <c r="BL466" i="3"/>
  <c r="AZ470" i="3"/>
  <c r="G473" i="3"/>
  <c r="BL473" i="3"/>
  <c r="AZ473" i="3" s="1"/>
  <c r="G480" i="3"/>
  <c r="BA481" i="3"/>
  <c r="BA482" i="3"/>
  <c r="BA483" i="3"/>
  <c r="AZ483" i="3" s="1"/>
  <c r="AZ484" i="3"/>
  <c r="BA486" i="3"/>
  <c r="AZ486" i="3" s="1"/>
  <c r="AZ221" i="3"/>
  <c r="A15" i="62"/>
  <c r="B61" i="72" s="1"/>
  <c r="AZ466" i="3"/>
  <c r="AZ471" i="3"/>
  <c r="BA472" i="3"/>
  <c r="AZ472" i="3" s="1"/>
  <c r="G476" i="3"/>
  <c r="AZ477" i="3"/>
  <c r="AZ478" i="3"/>
  <c r="BA479" i="3"/>
  <c r="AZ479" i="3" s="1"/>
  <c r="AZ485" i="3"/>
  <c r="AZ489" i="3"/>
  <c r="AZ289" i="3"/>
  <c r="BL15" i="3"/>
  <c r="G465" i="3"/>
  <c r="BA467" i="3"/>
  <c r="AZ467" i="3" s="1"/>
  <c r="BA468" i="3"/>
  <c r="AZ468" i="3" s="1"/>
  <c r="BA474" i="3"/>
  <c r="AZ474" i="3" s="1"/>
  <c r="BA475" i="3"/>
  <c r="AZ475" i="3" s="1"/>
  <c r="BL481" i="3"/>
  <c r="BL482" i="3"/>
  <c r="G483" i="3"/>
  <c r="G487" i="3"/>
  <c r="AZ217" i="3"/>
  <c r="AZ231" i="3"/>
  <c r="AZ284" i="3"/>
  <c r="AZ113" i="3"/>
  <c r="AZ122" i="3"/>
  <c r="AZ487" i="3"/>
  <c r="BL489" i="3"/>
  <c r="AZ492" i="3"/>
  <c r="AZ220" i="3"/>
  <c r="AZ236" i="3"/>
  <c r="AZ121" i="3"/>
  <c r="AZ125" i="3"/>
  <c r="AZ141" i="3"/>
  <c r="BA146" i="3"/>
  <c r="AZ146" i="3" s="1"/>
  <c r="AZ153" i="3"/>
  <c r="BL131" i="3"/>
  <c r="AZ131" i="3" s="1"/>
  <c r="G139" i="3"/>
  <c r="BL147" i="3"/>
  <c r="AZ147" i="3" s="1"/>
  <c r="G131" i="3"/>
  <c r="BA138" i="3"/>
  <c r="AZ138" i="3" s="1"/>
  <c r="G142" i="3"/>
  <c r="G147" i="3"/>
  <c r="AZ48" i="3"/>
  <c r="AZ205" i="3"/>
  <c r="AZ44" i="3"/>
  <c r="AZ56" i="3"/>
  <c r="BA19" i="3"/>
  <c r="G23" i="3"/>
  <c r="BL26" i="3"/>
  <c r="G27" i="3"/>
  <c r="G29" i="3"/>
  <c r="BA30" i="3"/>
  <c r="AZ30" i="3" s="1"/>
  <c r="BL30" i="3"/>
  <c r="BL33" i="3"/>
  <c r="BL34" i="3"/>
  <c r="BL36" i="3"/>
  <c r="G37" i="3"/>
  <c r="BA38" i="3"/>
  <c r="AZ38" i="3" s="1"/>
  <c r="BL60" i="3"/>
  <c r="AZ60" i="3" s="1"/>
  <c r="BA62" i="3"/>
  <c r="AZ62" i="3" s="1"/>
  <c r="BA86" i="3"/>
  <c r="AZ86" i="3" s="1"/>
  <c r="AZ87" i="3"/>
  <c r="BA92" i="3"/>
  <c r="AZ92" i="3" s="1"/>
  <c r="AZ96" i="3"/>
  <c r="BA29" i="3"/>
  <c r="G33" i="3"/>
  <c r="G36" i="3"/>
  <c r="BA37" i="3"/>
  <c r="BL37" i="3"/>
  <c r="BL61" i="3"/>
  <c r="AZ61" i="3" s="1"/>
  <c r="BL64" i="3"/>
  <c r="AZ64" i="3" s="1"/>
  <c r="BL69" i="3"/>
  <c r="AZ69" i="3" s="1"/>
  <c r="BA84" i="3"/>
  <c r="AZ84" i="3" s="1"/>
  <c r="AZ90" i="3"/>
  <c r="AZ91" i="3"/>
  <c r="BL100" i="3"/>
  <c r="G101" i="3"/>
  <c r="BL102" i="3"/>
  <c r="AZ102" i="3" s="1"/>
  <c r="G103" i="3"/>
  <c r="AZ108" i="3"/>
  <c r="BL21" i="3"/>
  <c r="BL22" i="3"/>
  <c r="BL25" i="3"/>
  <c r="BA26" i="3"/>
  <c r="BL99" i="3"/>
  <c r="AZ99" i="3" s="1"/>
  <c r="G106" i="3"/>
  <c r="G19" i="3"/>
  <c r="BL19" i="3"/>
  <c r="BA21" i="3"/>
  <c r="BA23" i="3"/>
  <c r="AZ23" i="3" s="1"/>
  <c r="BA25" i="3"/>
  <c r="AZ25" i="3" s="1"/>
  <c r="BL27" i="3"/>
  <c r="BL29" i="3"/>
  <c r="BA32" i="3"/>
  <c r="AZ32" i="3" s="1"/>
  <c r="BL32" i="3"/>
  <c r="BA33" i="3"/>
  <c r="BA35" i="3"/>
  <c r="AZ35" i="3" s="1"/>
  <c r="BL39" i="3"/>
  <c r="AZ95" i="3"/>
  <c r="AZ100" i="3"/>
  <c r="U21" i="21"/>
  <c r="AC21" i="37"/>
  <c r="S21" i="37"/>
  <c r="W18" i="36"/>
  <c r="AA26" i="71"/>
  <c r="AA27" i="71"/>
  <c r="X26" i="71"/>
  <c r="X29" i="71"/>
  <c r="AA24" i="71"/>
  <c r="AB21" i="71"/>
  <c r="X17" i="71"/>
  <c r="AA17" i="71"/>
  <c r="Y14" i="71"/>
  <c r="Z14" i="71" s="1"/>
  <c r="F3" i="35"/>
  <c r="C29" i="39"/>
  <c r="AA18" i="36"/>
  <c r="Y30" i="71"/>
  <c r="Z30" i="71" s="1"/>
  <c r="Y25" i="71"/>
  <c r="Z25" i="71" s="1"/>
  <c r="Y27" i="71"/>
  <c r="Z27" i="71" s="1"/>
  <c r="Y29" i="71"/>
  <c r="Z29" i="71" s="1"/>
  <c r="Y26" i="71"/>
  <c r="Z26" i="71" s="1"/>
  <c r="C43" i="71"/>
  <c r="D42" i="71"/>
  <c r="C64" i="71"/>
  <c r="D63" i="71"/>
  <c r="Q65" i="71"/>
  <c r="Q66" i="71"/>
  <c r="AB24" i="71"/>
  <c r="AB23" i="71"/>
  <c r="Y18" i="71"/>
  <c r="Z18" i="71" s="1"/>
  <c r="AA18" i="71"/>
  <c r="AA11" i="71"/>
  <c r="AB29" i="71"/>
  <c r="AB26" i="71"/>
  <c r="AA31" i="71"/>
  <c r="AA30" i="71"/>
  <c r="X24" i="71"/>
  <c r="AA22" i="71"/>
  <c r="Y17" i="71"/>
  <c r="Z17" i="71" s="1"/>
  <c r="AB17" i="71"/>
  <c r="AB14" i="71"/>
  <c r="C7" i="34"/>
  <c r="M47" i="85"/>
  <c r="J51" i="83"/>
  <c r="C21" i="68"/>
  <c r="T32" i="71"/>
  <c r="C26" i="71"/>
  <c r="D26" i="71" s="1"/>
  <c r="D28" i="71"/>
  <c r="U28" i="71" s="1"/>
  <c r="Y28" i="71"/>
  <c r="Z28" i="71" s="1"/>
  <c r="C35" i="71"/>
  <c r="D34" i="71"/>
  <c r="X27" i="71"/>
  <c r="F30" i="71"/>
  <c r="F31" i="71" s="1"/>
  <c r="F32" i="71" s="1"/>
  <c r="V32" i="71" s="1"/>
  <c r="Y22" i="71"/>
  <c r="Z22" i="71" s="1"/>
  <c r="Y21" i="71"/>
  <c r="Z21" i="71" s="1"/>
  <c r="X21" i="71"/>
  <c r="X18" i="71"/>
  <c r="X14" i="71"/>
  <c r="F38" i="71"/>
  <c r="F39" i="71" s="1"/>
  <c r="F40" i="71" s="1"/>
  <c r="V40" i="71" s="1"/>
  <c r="Y9" i="71"/>
  <c r="Z9" i="71" s="1"/>
  <c r="Y24" i="71"/>
  <c r="Z24" i="71" s="1"/>
  <c r="AA21" i="71"/>
  <c r="AB18" i="71"/>
  <c r="AB12" i="71"/>
  <c r="X11" i="71"/>
  <c r="Y12" i="71"/>
  <c r="Z12" i="71" s="1"/>
  <c r="AB31" i="71"/>
  <c r="Y32" i="71"/>
  <c r="Z32" i="71" s="1"/>
  <c r="Y34" i="71"/>
  <c r="Z34" i="71" s="1"/>
  <c r="X9" i="71"/>
  <c r="M56" i="9"/>
  <c r="M56" i="85"/>
  <c r="K56" i="85"/>
  <c r="J56" i="85"/>
  <c r="J57" i="85" s="1"/>
  <c r="J59" i="85" s="1"/>
  <c r="J61" i="85" s="1"/>
  <c r="N56" i="85"/>
  <c r="Y23" i="71"/>
  <c r="Z23" i="71" s="1"/>
  <c r="AA23" i="71"/>
  <c r="X22" i="71"/>
  <c r="AA15" i="71"/>
  <c r="AB11" i="71"/>
  <c r="AA14" i="71"/>
  <c r="X13" i="71"/>
  <c r="Y13" i="71"/>
  <c r="Z13" i="71" s="1"/>
  <c r="AA36" i="71"/>
  <c r="X32" i="71"/>
  <c r="X37" i="71"/>
  <c r="AA9" i="71"/>
  <c r="AA10" i="71"/>
  <c r="K56" i="9"/>
  <c r="AB15" i="71"/>
  <c r="AB13" i="71"/>
  <c r="AA12" i="71"/>
  <c r="X10" i="71"/>
  <c r="Y10" i="71"/>
  <c r="Z10" i="71" s="1"/>
  <c r="AA33" i="71"/>
  <c r="Y39" i="71"/>
  <c r="Z39" i="71" s="1"/>
  <c r="AB9" i="71"/>
  <c r="N56" i="9"/>
  <c r="X15" i="71"/>
  <c r="AB10" i="71"/>
  <c r="AA13" i="71"/>
  <c r="X12" i="71"/>
  <c r="Y11" i="71"/>
  <c r="Z11" i="71" s="1"/>
  <c r="F48" i="9"/>
  <c r="O52" i="9" s="1"/>
  <c r="F48" i="85"/>
  <c r="O52" i="85" s="1"/>
  <c r="F53" i="85"/>
  <c r="M18" i="83"/>
  <c r="F52" i="85"/>
  <c r="F32" i="83"/>
  <c r="F60" i="83" s="1"/>
  <c r="D68" i="85"/>
  <c r="F54" i="85"/>
  <c r="F28" i="83"/>
  <c r="D78" i="9"/>
  <c r="D93" i="85"/>
  <c r="D78" i="85"/>
  <c r="C51" i="10"/>
  <c r="A13" i="51" s="1"/>
  <c r="B11" i="72" s="1"/>
  <c r="A118" i="85"/>
  <c r="A2" i="85"/>
  <c r="D19" i="53"/>
  <c r="B38" i="72" s="1"/>
  <c r="D16" i="53"/>
  <c r="B34" i="72" s="1"/>
  <c r="F71" i="83"/>
  <c r="M7" i="1"/>
  <c r="O7" i="1" s="1"/>
  <c r="P7" i="1" s="1"/>
  <c r="AH7" i="1"/>
  <c r="AP6" i="1"/>
  <c r="AH6" i="1"/>
  <c r="M18" i="85"/>
  <c r="B118" i="85" s="1"/>
  <c r="F123" i="33"/>
  <c r="G123" i="33" s="1"/>
  <c r="H123" i="33" s="1"/>
  <c r="I123" i="33" s="1"/>
  <c r="J123" i="33" s="1"/>
  <c r="K123" i="33" s="1"/>
  <c r="L123" i="33" s="1"/>
  <c r="M123" i="33" s="1"/>
  <c r="F39" i="33"/>
  <c r="H39" i="33"/>
  <c r="AB39" i="33" s="1"/>
  <c r="J39" i="33"/>
  <c r="AC39" i="33" s="1"/>
  <c r="F111" i="33"/>
  <c r="G111" i="33" s="1"/>
  <c r="H111" i="33" s="1"/>
  <c r="I111" i="33" s="1"/>
  <c r="J111" i="33" s="1"/>
  <c r="K111" i="33" s="1"/>
  <c r="L111" i="33" s="1"/>
  <c r="M111" i="33" s="1"/>
  <c r="H36" i="33"/>
  <c r="U36" i="33" s="1"/>
  <c r="U37" i="33"/>
  <c r="AB34" i="33"/>
  <c r="F25" i="33"/>
  <c r="S25" i="33" s="1"/>
  <c r="G87" i="33"/>
  <c r="H87" i="33" s="1"/>
  <c r="I87" i="33" s="1"/>
  <c r="J87" i="33" s="1"/>
  <c r="K87" i="33" s="1"/>
  <c r="L87" i="33" s="1"/>
  <c r="M87" i="33" s="1"/>
  <c r="J25" i="33"/>
  <c r="AC25" i="33" s="1"/>
  <c r="H25" i="33"/>
  <c r="U25" i="33" s="1"/>
  <c r="F77" i="33"/>
  <c r="G77" i="33" s="1"/>
  <c r="H15" i="33"/>
  <c r="AB15" i="33" s="1"/>
  <c r="F91" i="33"/>
  <c r="G91" i="33" s="1"/>
  <c r="H91" i="33" s="1"/>
  <c r="I91" i="33" s="1"/>
  <c r="J91" i="33" s="1"/>
  <c r="K91" i="33" s="1"/>
  <c r="L91" i="33" s="1"/>
  <c r="M91" i="33" s="1"/>
  <c r="H27" i="33"/>
  <c r="U27" i="33" s="1"/>
  <c r="W21" i="33"/>
  <c r="W44" i="33"/>
  <c r="W43" i="33"/>
  <c r="AC34" i="33"/>
  <c r="U19" i="33"/>
  <c r="U21" i="33"/>
  <c r="AA35" i="33"/>
  <c r="S45" i="33"/>
  <c r="S19" i="33"/>
  <c r="AA44" i="33"/>
  <c r="S41" i="33"/>
  <c r="AC32" i="33"/>
  <c r="AC37" i="33"/>
  <c r="S43" i="33"/>
  <c r="S27" i="33"/>
  <c r="AC45" i="33"/>
  <c r="AB26" i="33"/>
  <c r="AB45" i="33"/>
  <c r="S23" i="33"/>
  <c r="W23" i="33"/>
  <c r="U23" i="33"/>
  <c r="S21" i="33"/>
  <c r="AC19" i="33"/>
  <c r="AB17" i="33"/>
  <c r="S17" i="33"/>
  <c r="AC17" i="33"/>
  <c r="W15" i="33"/>
  <c r="U42" i="33"/>
  <c r="AC42" i="33"/>
  <c r="S42" i="33"/>
  <c r="S38" i="33"/>
  <c r="AC38" i="33"/>
  <c r="AC35" i="33"/>
  <c r="U35" i="33"/>
  <c r="AA34" i="33"/>
  <c r="U32" i="33"/>
  <c r="S32" i="33"/>
  <c r="AC28" i="33"/>
  <c r="S26" i="33"/>
  <c r="W27" i="33"/>
  <c r="W25" i="33"/>
  <c r="F90" i="34"/>
  <c r="G90" i="34" s="1"/>
  <c r="H90" i="34" s="1"/>
  <c r="I90" i="34" s="1"/>
  <c r="J90" i="34" s="1"/>
  <c r="K90" i="34" s="1"/>
  <c r="L90" i="34" s="1"/>
  <c r="M90" i="34" s="1"/>
  <c r="F27" i="34"/>
  <c r="AA27" i="34" s="1"/>
  <c r="J27" i="34"/>
  <c r="H27" i="34"/>
  <c r="AB27" i="34" s="1"/>
  <c r="U44" i="34"/>
  <c r="F118" i="34"/>
  <c r="G118" i="34" s="1"/>
  <c r="H40" i="34"/>
  <c r="U40" i="34" s="1"/>
  <c r="J40" i="34"/>
  <c r="AC40" i="34" s="1"/>
  <c r="F40" i="34"/>
  <c r="S40" i="34" s="1"/>
  <c r="F37" i="34"/>
  <c r="H37" i="34"/>
  <c r="U37" i="34" s="1"/>
  <c r="J37" i="34"/>
  <c r="AC37" i="34" s="1"/>
  <c r="G112" i="34"/>
  <c r="H112" i="34" s="1"/>
  <c r="I112" i="34" s="1"/>
  <c r="J112" i="34" s="1"/>
  <c r="K112" i="34" s="1"/>
  <c r="L112" i="34" s="1"/>
  <c r="M112" i="34" s="1"/>
  <c r="H25" i="34"/>
  <c r="AB25" i="34" s="1"/>
  <c r="J25" i="34"/>
  <c r="AC25" i="34" s="1"/>
  <c r="F88" i="34"/>
  <c r="G88" i="34" s="1"/>
  <c r="H88" i="34" s="1"/>
  <c r="I88" i="34" s="1"/>
  <c r="J88" i="34" s="1"/>
  <c r="K88" i="34" s="1"/>
  <c r="L88" i="34" s="1"/>
  <c r="M88" i="34" s="1"/>
  <c r="F25" i="34"/>
  <c r="S25" i="34" s="1"/>
  <c r="S23" i="34"/>
  <c r="AC44" i="34"/>
  <c r="S44" i="34"/>
  <c r="W33" i="34"/>
  <c r="AA33" i="34"/>
  <c r="U34" i="34"/>
  <c r="S38" i="34"/>
  <c r="AA25" i="34"/>
  <c r="U21" i="34"/>
  <c r="S21" i="34"/>
  <c r="U19" i="34"/>
  <c r="W19" i="34"/>
  <c r="S17" i="34"/>
  <c r="AB17" i="34"/>
  <c r="AC17" i="34"/>
  <c r="AC15" i="34"/>
  <c r="S15" i="34"/>
  <c r="B73" i="43"/>
  <c r="B76" i="43"/>
  <c r="B57" i="43"/>
  <c r="B79" i="43"/>
  <c r="B75" i="43"/>
  <c r="B68" i="43"/>
  <c r="W8" i="34"/>
  <c r="U43" i="34"/>
  <c r="S43" i="34"/>
  <c r="AA41" i="34"/>
  <c r="AC41" i="34"/>
  <c r="AB41" i="34"/>
  <c r="W40" i="34"/>
  <c r="AB40" i="34"/>
  <c r="AC39" i="34"/>
  <c r="AA39" i="34"/>
  <c r="AC36" i="34"/>
  <c r="AB35" i="34"/>
  <c r="S35" i="34"/>
  <c r="U33" i="34"/>
  <c r="M18" i="15"/>
  <c r="M18" i="67"/>
  <c r="F30" i="11"/>
  <c r="C48" i="11" s="1"/>
  <c r="F54" i="9"/>
  <c r="F32" i="15"/>
  <c r="F60" i="15" s="1"/>
  <c r="F52" i="9"/>
  <c r="F30" i="68"/>
  <c r="F48" i="68" s="1"/>
  <c r="AZ15" i="3"/>
  <c r="AZ33" i="3"/>
  <c r="G5" i="3"/>
  <c r="B3" i="3" s="1"/>
  <c r="E39" i="3" s="1"/>
  <c r="BA18" i="3"/>
  <c r="AZ18" i="3" s="1"/>
  <c r="AZ26" i="3"/>
  <c r="BA39" i="3"/>
  <c r="BA20" i="3"/>
  <c r="AZ20" i="3" s="1"/>
  <c r="BA22" i="3"/>
  <c r="BA24" i="3"/>
  <c r="BA34" i="3"/>
  <c r="BA27" i="3"/>
  <c r="BA28" i="3"/>
  <c r="AZ28" i="3" s="1"/>
  <c r="AZ31" i="3"/>
  <c r="AZ21" i="3"/>
  <c r="AZ39" i="3"/>
  <c r="AZ22" i="3"/>
  <c r="AZ24" i="3"/>
  <c r="AZ34" i="3"/>
  <c r="AZ27" i="3"/>
  <c r="AZ36" i="3"/>
  <c r="BL5" i="3"/>
  <c r="G28" i="6"/>
  <c r="G23" i="43"/>
  <c r="C23" i="43" s="1"/>
  <c r="C7" i="37"/>
  <c r="C52" i="37" s="1"/>
  <c r="D52" i="37" s="1"/>
  <c r="C7" i="33"/>
  <c r="J1" i="73"/>
  <c r="M47" i="9"/>
  <c r="C7" i="35"/>
  <c r="C48" i="35" s="1"/>
  <c r="D48" i="35" s="1"/>
  <c r="C7" i="40"/>
  <c r="C63" i="40" s="1"/>
  <c r="C7" i="39"/>
  <c r="C67" i="39" s="1"/>
  <c r="C69" i="39" s="1"/>
  <c r="C42" i="1"/>
  <c r="C28" i="15" s="1"/>
  <c r="C7" i="36"/>
  <c r="C46" i="36" s="1"/>
  <c r="D46" i="36" s="1"/>
  <c r="E46" i="36" s="1"/>
  <c r="F46" i="36" s="1"/>
  <c r="G46" i="36" s="1"/>
  <c r="H46" i="36" s="1"/>
  <c r="I46" i="36" s="1"/>
  <c r="C7" i="21"/>
  <c r="G6" i="1"/>
  <c r="G16" i="1" s="1"/>
  <c r="F10" i="39" s="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38" i="3"/>
  <c r="E306" i="3"/>
  <c r="E120" i="3"/>
  <c r="E133" i="3"/>
  <c r="E532"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4" i="6"/>
  <c r="E63" i="39" s="1"/>
  <c r="I4" i="6"/>
  <c r="G3" i="43" s="1"/>
  <c r="E29" i="6"/>
  <c r="K15" i="1" s="1"/>
  <c r="F30" i="6"/>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A19" i="51"/>
  <c r="B14" i="72" s="1"/>
  <c r="T35" i="4"/>
  <c r="H110" i="9"/>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F68" i="67"/>
  <c r="F64" i="67"/>
  <c r="F68" i="15"/>
  <c r="C36" i="68"/>
  <c r="D9" i="69"/>
  <c r="F27" i="69"/>
  <c r="C36" i="69"/>
  <c r="D9" i="68"/>
  <c r="M23" i="83"/>
  <c r="C16" i="67"/>
  <c r="L47" i="83"/>
  <c r="F7" i="67"/>
  <c r="M28" i="83"/>
  <c r="D5" i="73"/>
  <c r="F40" i="83"/>
  <c r="F38" i="83"/>
  <c r="M8" i="83"/>
  <c r="D7" i="73"/>
  <c r="F9" i="83"/>
  <c r="J15" i="83"/>
  <c r="F8" i="83"/>
  <c r="F37" i="83"/>
  <c r="F7" i="83"/>
  <c r="F16" i="83"/>
  <c r="M24" i="83"/>
  <c r="M6" i="83"/>
  <c r="M9" i="83"/>
  <c r="M22" i="83"/>
  <c r="D6" i="73"/>
  <c r="F13" i="83"/>
  <c r="F42" i="83"/>
  <c r="C76" i="83"/>
  <c r="C16" i="15"/>
  <c r="F36" i="83"/>
  <c r="D4" i="73"/>
  <c r="F6" i="83"/>
  <c r="F26" i="83"/>
  <c r="L48" i="83"/>
  <c r="M26" i="83"/>
  <c r="D3" i="73"/>
  <c r="Q71" i="83" l="1"/>
  <c r="L57" i="83"/>
  <c r="L60" i="83"/>
  <c r="L56" i="83"/>
  <c r="F66" i="83"/>
  <c r="C27" i="83"/>
  <c r="F68" i="83"/>
  <c r="F65" i="83"/>
  <c r="F51" i="83"/>
  <c r="F64" i="83"/>
  <c r="L58" i="83"/>
  <c r="M59" i="83"/>
  <c r="L59" i="83"/>
  <c r="N59" i="83"/>
  <c r="C36" i="71"/>
  <c r="D35" i="71"/>
  <c r="C44" i="71"/>
  <c r="D43" i="71"/>
  <c r="AC9" i="36"/>
  <c r="W9" i="36"/>
  <c r="W12" i="34"/>
  <c r="AC12" i="34"/>
  <c r="E11" i="71"/>
  <c r="E10" i="71" s="1"/>
  <c r="E9" i="71" s="1"/>
  <c r="E8" i="71" s="1"/>
  <c r="E7" i="71" s="1"/>
  <c r="E6" i="71" s="1"/>
  <c r="E5" i="71" s="1"/>
  <c r="V12" i="71"/>
  <c r="E29" i="3"/>
  <c r="AM6" i="3"/>
  <c r="E317" i="3"/>
  <c r="E291" i="3"/>
  <c r="E272" i="3"/>
  <c r="E126" i="3"/>
  <c r="E92" i="3"/>
  <c r="E71" i="3"/>
  <c r="E546" i="3"/>
  <c r="E403" i="3"/>
  <c r="E547" i="3"/>
  <c r="E367" i="3"/>
  <c r="E432" i="3"/>
  <c r="E548" i="3"/>
  <c r="E411" i="3"/>
  <c r="U6" i="3"/>
  <c r="E379" i="3"/>
  <c r="E145" i="3"/>
  <c r="E207" i="3"/>
  <c r="E196" i="3"/>
  <c r="E397" i="3"/>
  <c r="E93" i="3"/>
  <c r="E14" i="3"/>
  <c r="E357" i="3"/>
  <c r="E257" i="3"/>
  <c r="E208" i="3"/>
  <c r="E168" i="3"/>
  <c r="E54" i="3"/>
  <c r="E475" i="3"/>
  <c r="E471" i="3"/>
  <c r="E537" i="3"/>
  <c r="W6" i="3"/>
  <c r="E288" i="3"/>
  <c r="E438" i="3"/>
  <c r="E474" i="3"/>
  <c r="E529" i="3"/>
  <c r="K6" i="3"/>
  <c r="E177" i="3"/>
  <c r="E157" i="3"/>
  <c r="E128" i="3"/>
  <c r="E156" i="3"/>
  <c r="C30" i="69"/>
  <c r="U25" i="34"/>
  <c r="AZ29" i="3"/>
  <c r="AZ19" i="3"/>
  <c r="AZ5" i="3" s="1"/>
  <c r="AA26" i="37"/>
  <c r="S26" i="37"/>
  <c r="U39" i="40"/>
  <c r="AB39" i="40"/>
  <c r="C15" i="71"/>
  <c r="T16" i="71"/>
  <c r="F7" i="36"/>
  <c r="B15" i="71"/>
  <c r="B14" i="71" s="1"/>
  <c r="B13" i="71" s="1"/>
  <c r="B12" i="71" s="1"/>
  <c r="S16" i="71"/>
  <c r="J7" i="36"/>
  <c r="E109" i="3"/>
  <c r="E572" i="3"/>
  <c r="E377" i="3"/>
  <c r="E273" i="3"/>
  <c r="E211" i="3"/>
  <c r="E182" i="3"/>
  <c r="E70" i="3"/>
  <c r="E28" i="3"/>
  <c r="E489" i="3"/>
  <c r="E531" i="3"/>
  <c r="E557" i="3"/>
  <c r="E345" i="3"/>
  <c r="E400" i="3"/>
  <c r="E485" i="3"/>
  <c r="AO6" i="3"/>
  <c r="Z6" i="3"/>
  <c r="E327" i="3"/>
  <c r="E204" i="3"/>
  <c r="E89" i="3"/>
  <c r="E368" i="3"/>
  <c r="E227" i="3"/>
  <c r="E74" i="3"/>
  <c r="E362" i="3"/>
  <c r="E315" i="3"/>
  <c r="E214" i="3"/>
  <c r="E171" i="3"/>
  <c r="E146" i="3"/>
  <c r="E106" i="3"/>
  <c r="E454" i="3"/>
  <c r="E468" i="3"/>
  <c r="E577" i="3"/>
  <c r="E587" i="3"/>
  <c r="E465" i="3"/>
  <c r="E406" i="3"/>
  <c r="E472" i="3"/>
  <c r="E560" i="3"/>
  <c r="E330" i="3"/>
  <c r="E224" i="3"/>
  <c r="E228" i="3"/>
  <c r="E352" i="3"/>
  <c r="S27" i="34"/>
  <c r="J57" i="83"/>
  <c r="J55" i="83" s="1"/>
  <c r="J58" i="83" s="1"/>
  <c r="Q50" i="83" s="1"/>
  <c r="I54" i="83"/>
  <c r="J53" i="83"/>
  <c r="D64" i="71"/>
  <c r="T64" i="71"/>
  <c r="AZ37" i="3"/>
  <c r="AZ482" i="3"/>
  <c r="AC26" i="37"/>
  <c r="W26" i="37"/>
  <c r="AC12" i="21"/>
  <c r="W12" i="21"/>
  <c r="S34" i="35"/>
  <c r="AA34" i="35"/>
  <c r="E441" i="3"/>
  <c r="E44" i="3"/>
  <c r="E384" i="3"/>
  <c r="E331" i="3"/>
  <c r="E210" i="3"/>
  <c r="E186" i="3"/>
  <c r="E162" i="3"/>
  <c r="E27" i="3"/>
  <c r="E447" i="3"/>
  <c r="E476" i="3"/>
  <c r="AS6" i="3"/>
  <c r="E505" i="3"/>
  <c r="E477" i="3"/>
  <c r="E414" i="3"/>
  <c r="E478" i="3"/>
  <c r="E515" i="3"/>
  <c r="E585" i="3"/>
  <c r="E107" i="3"/>
  <c r="E271" i="3"/>
  <c r="E269" i="3"/>
  <c r="E549" i="3"/>
  <c r="E567" i="3"/>
  <c r="E31" i="3"/>
  <c r="E318" i="3"/>
  <c r="E351" i="3"/>
  <c r="E279" i="3"/>
  <c r="E150" i="3"/>
  <c r="E111" i="3"/>
  <c r="E72" i="3"/>
  <c r="E433" i="3"/>
  <c r="E450" i="3"/>
  <c r="E571" i="3"/>
  <c r="E562" i="3"/>
  <c r="E457" i="3"/>
  <c r="E527" i="3"/>
  <c r="E458" i="3"/>
  <c r="Q6" i="3"/>
  <c r="E313" i="3"/>
  <c r="E277" i="3"/>
  <c r="E262" i="3"/>
  <c r="E434" i="3"/>
  <c r="AB25" i="33"/>
  <c r="AZ481" i="3"/>
  <c r="AB9" i="36"/>
  <c r="U9" i="36"/>
  <c r="W34" i="35"/>
  <c r="AC34" i="35"/>
  <c r="C24" i="12"/>
  <c r="C77" i="85"/>
  <c r="C74" i="85" s="1"/>
  <c r="C28" i="67"/>
  <c r="C28" i="83"/>
  <c r="M7" i="67"/>
  <c r="J6" i="67" s="1"/>
  <c r="J18" i="67" s="1"/>
  <c r="F50" i="67"/>
  <c r="C49" i="67" s="1"/>
  <c r="F31" i="67"/>
  <c r="C6" i="67"/>
  <c r="C32" i="67" s="1"/>
  <c r="M7" i="83"/>
  <c r="F50" i="83"/>
  <c r="F31" i="83"/>
  <c r="C6" i="83"/>
  <c r="K16" i="1"/>
  <c r="M11" i="83"/>
  <c r="J10" i="83" s="1"/>
  <c r="F11" i="83"/>
  <c r="W39" i="33"/>
  <c r="U39" i="33"/>
  <c r="AA39" i="33"/>
  <c r="S39" i="33"/>
  <c r="F36" i="33"/>
  <c r="AB36" i="33"/>
  <c r="J36" i="33"/>
  <c r="AA25" i="33"/>
  <c r="U15" i="33"/>
  <c r="AB27" i="33"/>
  <c r="W27" i="34"/>
  <c r="AC27" i="34"/>
  <c r="U27" i="34"/>
  <c r="W37" i="34"/>
  <c r="AA40" i="34"/>
  <c r="AA37" i="34"/>
  <c r="S37" i="34"/>
  <c r="W25" i="34"/>
  <c r="E136" i="3"/>
  <c r="E461" i="3"/>
  <c r="E122" i="3"/>
  <c r="AK6" i="3"/>
  <c r="E545" i="3"/>
  <c r="E181" i="3"/>
  <c r="E568" i="3"/>
  <c r="E77" i="3"/>
  <c r="BA5" i="3"/>
  <c r="E573" i="3"/>
  <c r="E519" i="3"/>
  <c r="E193" i="3"/>
  <c r="E45" i="3"/>
  <c r="E99" i="3"/>
  <c r="E511" i="3"/>
  <c r="E314" i="3"/>
  <c r="E85" i="3"/>
  <c r="E453" i="3"/>
  <c r="E253" i="3"/>
  <c r="E510" i="3"/>
  <c r="A13" i="3"/>
  <c r="AV13" i="3" s="1"/>
  <c r="A14" i="3"/>
  <c r="AV14" i="3" s="1"/>
  <c r="E205" i="3"/>
  <c r="E296" i="3"/>
  <c r="E140" i="3"/>
  <c r="E197" i="3"/>
  <c r="E173" i="3"/>
  <c r="E369" i="3"/>
  <c r="E525" i="3"/>
  <c r="E534" i="3"/>
  <c r="T6" i="3"/>
  <c r="E405" i="3"/>
  <c r="E456" i="3"/>
  <c r="E469" i="3"/>
  <c r="E512" i="3"/>
  <c r="E408" i="3"/>
  <c r="E451" i="3"/>
  <c r="E165" i="3"/>
  <c r="E244" i="3"/>
  <c r="E149" i="3"/>
  <c r="E167" i="3"/>
  <c r="E141" i="3"/>
  <c r="E312" i="3"/>
  <c r="AD6" i="3"/>
  <c r="E542" i="3"/>
  <c r="E552" i="3"/>
  <c r="E421" i="3"/>
  <c r="E464" i="3"/>
  <c r="E487" i="3"/>
  <c r="E398" i="3"/>
  <c r="E416" i="3"/>
  <c r="E459" i="3"/>
  <c r="E374" i="3"/>
  <c r="E566" i="3"/>
  <c r="E500" i="3"/>
  <c r="E582" i="3"/>
  <c r="E413" i="3"/>
  <c r="E460" i="3"/>
  <c r="E520" i="3"/>
  <c r="E436"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54" i="3"/>
  <c r="E179" i="3"/>
  <c r="E222" i="3"/>
  <c r="E323" i="3"/>
  <c r="E373" i="3"/>
  <c r="E82"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212" i="3"/>
  <c r="E499" i="3"/>
  <c r="E466" i="3"/>
  <c r="E255" i="3"/>
  <c r="AP6" i="3"/>
  <c r="E517" i="3"/>
  <c r="E491" i="3"/>
  <c r="E479" i="3"/>
  <c r="E37" i="3"/>
  <c r="E152" i="3"/>
  <c r="E192" i="3"/>
  <c r="E241" i="3"/>
  <c r="E346" i="3"/>
  <c r="E349" i="3"/>
  <c r="AL6" i="3"/>
  <c r="E60" i="3"/>
  <c r="E59" i="3"/>
  <c r="E428" i="3"/>
  <c r="E15" i="3"/>
  <c r="E467" i="3"/>
  <c r="E96" i="3"/>
  <c r="E100" i="3"/>
  <c r="E160" i="3"/>
  <c r="E174" i="3"/>
  <c r="E234" i="3"/>
  <c r="E249" i="3"/>
  <c r="E324" i="3"/>
  <c r="E325" i="3"/>
  <c r="E492" i="3"/>
  <c r="E35" i="3"/>
  <c r="E36" i="3"/>
  <c r="E33" i="3"/>
  <c r="E206" i="3"/>
  <c r="E289" i="3"/>
  <c r="E355" i="3"/>
  <c r="AF6" i="3"/>
  <c r="E20" i="3"/>
  <c r="E81" i="3"/>
  <c r="E158" i="3"/>
  <c r="E265" i="3"/>
  <c r="E309" i="3"/>
  <c r="E22" i="3"/>
  <c r="E539" i="3"/>
  <c r="E199" i="3"/>
  <c r="R6" i="3"/>
  <c r="E541" i="3"/>
  <c r="E360" i="3"/>
  <c r="E497" i="3"/>
  <c r="E494" i="3"/>
  <c r="E470" i="3"/>
  <c r="E26" i="3"/>
  <c r="E41" i="3"/>
  <c r="E198" i="3"/>
  <c r="E225" i="3"/>
  <c r="E243" i="3"/>
  <c r="E363" i="3"/>
  <c r="E356" i="3"/>
  <c r="L6" i="3"/>
  <c r="E76" i="3"/>
  <c r="E75" i="3"/>
  <c r="E473" i="3"/>
  <c r="E425" i="3"/>
  <c r="E18" i="3"/>
  <c r="E38" i="3"/>
  <c r="E103" i="3"/>
  <c r="E190" i="3"/>
  <c r="E194" i="3"/>
  <c r="E267" i="3"/>
  <c r="E235" i="3"/>
  <c r="E339" i="3"/>
  <c r="E310" i="3"/>
  <c r="E522" i="3"/>
  <c r="E52" i="3"/>
  <c r="E67" i="3"/>
  <c r="E49" i="3"/>
  <c r="E147" i="3"/>
  <c r="E233" i="3"/>
  <c r="E370" i="3"/>
  <c r="E50" i="3"/>
  <c r="E63" i="3"/>
  <c r="E113" i="3"/>
  <c r="E218" i="3"/>
  <c r="E283" i="3"/>
  <c r="E326" i="3"/>
  <c r="E101" i="3"/>
  <c r="E536" i="3"/>
  <c r="E286" i="3"/>
  <c r="E502" i="3"/>
  <c r="E430" i="3"/>
  <c r="I3" i="6"/>
  <c r="E554" i="3"/>
  <c r="E435" i="3"/>
  <c r="E417" i="3"/>
  <c r="E56" i="3"/>
  <c r="E95" i="3"/>
  <c r="E132" i="3"/>
  <c r="E258" i="3"/>
  <c r="E292" i="3"/>
  <c r="E391" i="3"/>
  <c r="E372" i="3"/>
  <c r="E544" i="3"/>
  <c r="E94" i="3"/>
  <c r="E540" i="3"/>
  <c r="E484" i="3"/>
  <c r="E412" i="3"/>
  <c r="E79" i="3"/>
  <c r="E46" i="3"/>
  <c r="E129" i="3"/>
  <c r="E137" i="3"/>
  <c r="E200" i="3"/>
  <c r="E275" i="3"/>
  <c r="E299" i="3"/>
  <c r="E371" i="3"/>
  <c r="E342" i="3"/>
  <c r="AQ6" i="3"/>
  <c r="E84" i="3"/>
  <c r="E34" i="3"/>
  <c r="E123" i="3"/>
  <c r="E184" i="3"/>
  <c r="E251" i="3"/>
  <c r="E364" i="3"/>
  <c r="E68" i="3"/>
  <c r="E80" i="3"/>
  <c r="E176" i="3"/>
  <c r="E264" i="3"/>
  <c r="E308" i="3"/>
  <c r="E524" i="3"/>
  <c r="E21" i="3"/>
  <c r="E148" i="3"/>
  <c r="E575" i="3"/>
  <c r="E442" i="3"/>
  <c r="E449" i="3"/>
  <c r="E556" i="3"/>
  <c r="E13" i="3"/>
  <c r="E452" i="3"/>
  <c r="E420" i="3"/>
  <c r="E104" i="3"/>
  <c r="E115" i="3"/>
  <c r="E139" i="3"/>
  <c r="E281" i="3"/>
  <c r="E332" i="3"/>
  <c r="E333" i="3"/>
  <c r="E389" i="3"/>
  <c r="E42" i="3"/>
  <c r="E43" i="3"/>
  <c r="E409" i="3"/>
  <c r="E482" i="3"/>
  <c r="E455" i="3"/>
  <c r="E64" i="3"/>
  <c r="E78" i="3"/>
  <c r="E170" i="3"/>
  <c r="E142" i="3"/>
  <c r="E220" i="3"/>
  <c r="E219" i="3"/>
  <c r="E300" i="3"/>
  <c r="E383" i="3"/>
  <c r="E392" i="3"/>
  <c r="E23" i="3"/>
  <c r="E86" i="3"/>
  <c r="E112" i="3"/>
  <c r="E144" i="3"/>
  <c r="E232" i="3"/>
  <c r="E340" i="3"/>
  <c r="E381" i="3"/>
  <c r="E102" i="3"/>
  <c r="E62" i="3"/>
  <c r="E118" i="3"/>
  <c r="E287" i="3"/>
  <c r="E365" i="3"/>
  <c r="E513" i="3"/>
  <c r="E83" i="3"/>
  <c r="E19" i="3"/>
  <c r="D18" i="53"/>
  <c r="B35" i="72" s="1"/>
  <c r="K1" i="73"/>
  <c r="D67" i="39"/>
  <c r="D69" i="39" s="1"/>
  <c r="H7" i="36"/>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59" i="67"/>
  <c r="H7" i="37"/>
  <c r="AB7" i="37" s="1"/>
  <c r="T42" i="37" s="1"/>
  <c r="G42" i="37" s="1"/>
  <c r="S10" i="39"/>
  <c r="AA10" i="39"/>
  <c r="H7" i="33"/>
  <c r="J7" i="33"/>
  <c r="D65" i="40"/>
  <c r="E63" i="40"/>
  <c r="F48" i="35"/>
  <c r="S7" i="36"/>
  <c r="AA7" i="36"/>
  <c r="R36" i="36" s="1"/>
  <c r="AB7" i="36"/>
  <c r="T36" i="36" s="1"/>
  <c r="G36" i="36" s="1"/>
  <c r="U7" i="36"/>
  <c r="F7" i="33"/>
  <c r="E58" i="21"/>
  <c r="AC7" i="36"/>
  <c r="V36" i="36" s="1"/>
  <c r="I36" i="36" s="1"/>
  <c r="W7" i="36"/>
  <c r="F7" i="37"/>
  <c r="M17" i="15"/>
  <c r="F59" i="15"/>
  <c r="P28" i="43"/>
  <c r="B66" i="40" s="1"/>
  <c r="P25" i="43"/>
  <c r="P29" i="43"/>
  <c r="P27" i="43"/>
  <c r="B70" i="39" s="1"/>
  <c r="C49" i="15"/>
  <c r="J18" i="15"/>
  <c r="Q60" i="67"/>
  <c r="Q73" i="67"/>
  <c r="M11" i="67"/>
  <c r="J10" i="67" s="1"/>
  <c r="F11" i="15"/>
  <c r="M11" i="15"/>
  <c r="J10" i="15" s="1"/>
  <c r="J5" i="15" s="1"/>
  <c r="J24" i="15" s="1"/>
  <c r="F11" i="67"/>
  <c r="F1" i="15"/>
  <c r="Q52" i="15"/>
  <c r="C32" i="15"/>
  <c r="F1" i="67"/>
  <c r="Q52" i="67"/>
  <c r="Q60" i="15"/>
  <c r="Q73" i="15"/>
  <c r="Q61" i="67"/>
  <c r="Q74" i="67"/>
  <c r="Q74" i="15"/>
  <c r="Q61" i="15"/>
  <c r="AE11" i="1"/>
  <c r="AE9" i="1"/>
  <c r="F27" i="68"/>
  <c r="AE8" i="1"/>
  <c r="AE12" i="1"/>
  <c r="AE10" i="1"/>
  <c r="C16" i="83"/>
  <c r="AE7" i="1"/>
  <c r="G1" i="73"/>
  <c r="AY6" i="3" l="1"/>
  <c r="E3" i="6"/>
  <c r="C14" i="71"/>
  <c r="D15" i="71"/>
  <c r="T36" i="71"/>
  <c r="D36" i="71"/>
  <c r="Q60" i="83"/>
  <c r="Q73" i="83"/>
  <c r="B11" i="71"/>
  <c r="B10" i="71" s="1"/>
  <c r="B9" i="71" s="1"/>
  <c r="B8" i="71" s="1"/>
  <c r="B7" i="71" s="1"/>
  <c r="B6" i="71" s="1"/>
  <c r="B5" i="71" s="1"/>
  <c r="S12" i="71"/>
  <c r="Q57" i="83"/>
  <c r="Q66" i="83"/>
  <c r="E65" i="39"/>
  <c r="T44" i="71"/>
  <c r="D44" i="71"/>
  <c r="Q74" i="83"/>
  <c r="Q61" i="83"/>
  <c r="F1" i="83"/>
  <c r="Q52" i="83"/>
  <c r="M17" i="67"/>
  <c r="J5" i="67"/>
  <c r="J24" i="67" s="1"/>
  <c r="C33" i="83"/>
  <c r="C32" i="83"/>
  <c r="F59" i="83"/>
  <c r="C49" i="83"/>
  <c r="C61" i="83" s="1"/>
  <c r="M17" i="83"/>
  <c r="J6" i="83"/>
  <c r="C53" i="83"/>
  <c r="C10" i="83"/>
  <c r="C5" i="83" s="1"/>
  <c r="W36" i="33"/>
  <c r="AC36" i="33"/>
  <c r="AA36" i="33"/>
  <c r="S36" i="33"/>
  <c r="L36" i="43"/>
  <c r="N36" i="43" s="1"/>
  <c r="W7" i="37"/>
  <c r="E69" i="39"/>
  <c r="L37" i="43"/>
  <c r="P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AA7" i="37"/>
  <c r="R42" i="37" s="1"/>
  <c r="S7" i="37"/>
  <c r="I40" i="36"/>
  <c r="J40" i="36" s="1"/>
  <c r="S7" i="33"/>
  <c r="AA7" i="33"/>
  <c r="G53" i="34"/>
  <c r="H53"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F25" i="12"/>
  <c r="F22" i="69"/>
  <c r="F41" i="69" s="1"/>
  <c r="F24" i="67"/>
  <c r="C24" i="67" s="1"/>
  <c r="F22" i="11"/>
  <c r="F22" i="68"/>
  <c r="F24" i="15"/>
  <c r="C24" i="15" s="1"/>
  <c r="C14" i="83"/>
  <c r="M27" i="67"/>
  <c r="M27" i="83"/>
  <c r="F41" i="67"/>
  <c r="F41" i="15"/>
  <c r="M27" i="15"/>
  <c r="AE6" i="1"/>
  <c r="F41" i="83" s="1"/>
  <c r="C17" i="83"/>
  <c r="V48" i="33" l="1"/>
  <c r="I48" i="33" s="1"/>
  <c r="R48" i="33"/>
  <c r="E48" i="33" s="1"/>
  <c r="D14" i="71"/>
  <c r="C13" i="71"/>
  <c r="F69" i="67"/>
  <c r="C48" i="83"/>
  <c r="C60" i="83" s="1"/>
  <c r="C15" i="83"/>
  <c r="C18" i="83"/>
  <c r="J19" i="83"/>
  <c r="J18" i="83"/>
  <c r="J5" i="83"/>
  <c r="F69" i="83"/>
  <c r="C38" i="83"/>
  <c r="C66" i="83"/>
  <c r="R50" i="34"/>
  <c r="C49" i="34" s="1"/>
  <c r="M36" i="43"/>
  <c r="O36" i="43"/>
  <c r="Q36" i="43"/>
  <c r="E49" i="34"/>
  <c r="E54" i="34" s="1"/>
  <c r="F54" i="34" s="1"/>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s="1"/>
  <c r="C118" i="9" s="1"/>
  <c r="B2" i="74" s="1"/>
  <c r="D26" i="6"/>
  <c r="D8" i="6"/>
  <c r="D14" i="6"/>
  <c r="D6" i="6"/>
  <c r="D9" i="6"/>
  <c r="D10" i="6"/>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I52" i="33"/>
  <c r="J52" i="33" s="1"/>
  <c r="E40" i="36"/>
  <c r="F40" i="36" s="1"/>
  <c r="E41" i="36"/>
  <c r="F41" i="36" s="1"/>
  <c r="G52" i="33"/>
  <c r="H52" i="33" s="1"/>
  <c r="G53" i="33"/>
  <c r="H53" i="33" s="1"/>
  <c r="H48" i="35"/>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4" i="67"/>
  <c r="C17" i="15"/>
  <c r="I53" i="33" l="1"/>
  <c r="J53" i="33" s="1"/>
  <c r="D13" i="71"/>
  <c r="C12" i="71"/>
  <c r="C19" i="83"/>
  <c r="C20" i="83" s="1"/>
  <c r="C23" i="83" s="1"/>
  <c r="C50" i="34"/>
  <c r="S20" i="6"/>
  <c r="L18" i="9"/>
  <c r="J24" i="83"/>
  <c r="J26" i="83"/>
  <c r="J29" i="83" s="1"/>
  <c r="M19" i="85"/>
  <c r="C118" i="85" s="1"/>
  <c r="I54" i="34"/>
  <c r="J54" i="34" s="1"/>
  <c r="E53" i="34"/>
  <c r="F53" i="34" s="1"/>
  <c r="C18" i="67"/>
  <c r="C15" i="67"/>
  <c r="H23" i="6"/>
  <c r="R23" i="6" s="1"/>
  <c r="R10" i="1" s="1"/>
  <c r="C30" i="43"/>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L18" i="85" s="1"/>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C11" i="71" l="1"/>
  <c r="T12" i="71"/>
  <c r="D12" i="71"/>
  <c r="U12" i="71" s="1"/>
  <c r="C26" i="83"/>
  <c r="C29" i="83" s="1"/>
  <c r="R20" i="6"/>
  <c r="R7" i="1" s="1"/>
  <c r="L19" i="9"/>
  <c r="C19" i="67"/>
  <c r="C20" i="67" s="1"/>
  <c r="C26" i="67" s="1"/>
  <c r="T16" i="1"/>
  <c r="C18" i="15"/>
  <c r="C15" i="15"/>
  <c r="C38" i="68"/>
  <c r="C35" i="68"/>
  <c r="C36" i="11"/>
  <c r="C37" i="11"/>
  <c r="C34" i="11"/>
  <c r="C23" i="12"/>
  <c r="C14" i="12"/>
  <c r="C16" i="12" s="1"/>
  <c r="C21" i="12" s="1"/>
  <c r="C22" i="12" s="1"/>
  <c r="H19" i="6"/>
  <c r="L19" i="85"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D11" i="71" l="1"/>
  <c r="C10" i="71"/>
  <c r="C13" i="83"/>
  <c r="J59" i="83"/>
  <c r="J60" i="83" s="1"/>
  <c r="Q49" i="83"/>
  <c r="J14" i="83"/>
  <c r="C36" i="83"/>
  <c r="C57" i="83"/>
  <c r="C64" i="83" s="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0" i="71" l="1"/>
  <c r="C9" i="71"/>
  <c r="J22" i="83"/>
  <c r="J13" i="83"/>
  <c r="J23" i="83" s="1"/>
  <c r="Q48" i="83"/>
  <c r="L46" i="83"/>
  <c r="F2" i="81"/>
  <c r="C37" i="83"/>
  <c r="C56" i="83"/>
  <c r="C65" i="83" s="1"/>
  <c r="Q70" i="83"/>
  <c r="C75" i="83"/>
  <c r="W7" i="21"/>
  <c r="AA7" i="21"/>
  <c r="R48" i="21" s="1"/>
  <c r="J7" i="35"/>
  <c r="W7" i="35" s="1"/>
  <c r="Q49" i="67"/>
  <c r="J14" i="67"/>
  <c r="J13" i="67" s="1"/>
  <c r="J23" i="67" s="1"/>
  <c r="C36" i="67"/>
  <c r="C57" i="67"/>
  <c r="C64" i="67" s="1"/>
  <c r="C13" i="67"/>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F35" i="15"/>
  <c r="F35" i="67"/>
  <c r="F35" i="83"/>
  <c r="M21" i="67"/>
  <c r="M21" i="83"/>
  <c r="C8" i="71" l="1"/>
  <c r="D9" i="71"/>
  <c r="Q70" i="67"/>
  <c r="F3" i="81"/>
  <c r="J20" i="83"/>
  <c r="J17" i="83" s="1"/>
  <c r="J16" i="83" s="1"/>
  <c r="J25" i="83" s="1"/>
  <c r="F63" i="83"/>
  <c r="C62" i="83" s="1"/>
  <c r="C59" i="83" s="1"/>
  <c r="C58" i="83" s="1"/>
  <c r="C67" i="83" s="1"/>
  <c r="C68" i="83" s="1"/>
  <c r="C34" i="83"/>
  <c r="C31" i="83" s="1"/>
  <c r="C30" i="83" s="1"/>
  <c r="C39" i="83" s="1"/>
  <c r="H40" i="83"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L51" i="83"/>
  <c r="D8" i="71" l="1"/>
  <c r="C7" i="71"/>
  <c r="Q67" i="83"/>
  <c r="Q69" i="83"/>
  <c r="Q68" i="83" s="1"/>
  <c r="C40" i="83"/>
  <c r="C80" i="83"/>
  <c r="C79" i="83" s="1"/>
  <c r="C71" i="83"/>
  <c r="C58" i="67"/>
  <c r="C67" i="67" s="1"/>
  <c r="C68" i="67" s="1"/>
  <c r="C71" i="67" s="1"/>
  <c r="J16" i="67"/>
  <c r="J25" i="67" s="1"/>
  <c r="J26" i="67" s="1"/>
  <c r="J29" i="67" s="1"/>
  <c r="C30" i="67"/>
  <c r="C39" i="67" s="1"/>
  <c r="H40"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7" i="71" l="1"/>
  <c r="C6" i="71"/>
  <c r="Q69" i="67"/>
  <c r="Q68" i="67" s="1"/>
  <c r="C43" i="83"/>
  <c r="Q56" i="83"/>
  <c r="Q62" i="83" s="1"/>
  <c r="D2" i="83"/>
  <c r="Q65" i="83"/>
  <c r="Q75" i="83" s="1"/>
  <c r="C83" i="83"/>
  <c r="C82" i="83" s="1"/>
  <c r="Q47" i="83"/>
  <c r="Q53" i="83" s="1"/>
  <c r="C45" i="83"/>
  <c r="C46" i="83"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6" i="71" l="1"/>
  <c r="C5" i="71"/>
  <c r="D5" i="71" s="1"/>
  <c r="M24" i="43" s="1"/>
  <c r="B3" i="83"/>
  <c r="B2" i="83"/>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5"/>
  <c r="D2" i="34"/>
  <c r="D19" i="85"/>
  <c r="D19" i="9"/>
  <c r="L51" i="15"/>
  <c r="D35" i="85"/>
  <c r="D2" i="36"/>
  <c r="D34" i="85"/>
  <c r="C19" i="85"/>
  <c r="D2" i="37"/>
  <c r="C102" i="85" l="1"/>
  <c r="C21" i="85"/>
  <c r="B3" i="33"/>
  <c r="D21" i="85"/>
  <c r="D102" i="85"/>
  <c r="D22" i="85"/>
  <c r="G19" i="85"/>
  <c r="G21" i="85" s="1"/>
  <c r="D102" i="9"/>
  <c r="D21" i="9"/>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8" i="1"/>
  <c r="C19" i="9"/>
  <c r="D35" i="9"/>
  <c r="AO6" i="1"/>
  <c r="AO10" i="1"/>
  <c r="AO12" i="1"/>
  <c r="AO11" i="1"/>
  <c r="D34" i="9"/>
  <c r="AO7" i="1"/>
  <c r="D20" i="85"/>
  <c r="AO9" i="1"/>
  <c r="D20" i="9"/>
  <c r="C20" i="85"/>
  <c r="C103" i="85" l="1"/>
  <c r="D103" i="85"/>
  <c r="G20" i="85"/>
  <c r="C102" i="9"/>
  <c r="C21" i="9"/>
  <c r="D22" i="9"/>
  <c r="G19" i="9"/>
  <c r="G21" i="9" s="1"/>
  <c r="B3" i="34"/>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32" i="85" l="1"/>
  <c r="C35" i="85" s="1"/>
  <c r="C34" i="85" s="1"/>
  <c r="R24" i="84"/>
  <c r="C103" i="9"/>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R24" i="31"/>
  <c r="R30" i="31" s="1"/>
  <c r="R34" i="31"/>
  <c r="S34" i="31" s="1"/>
  <c r="R35" i="31"/>
  <c r="S35" i="31" s="1"/>
  <c r="R32" i="31"/>
  <c r="S32" i="31" s="1"/>
  <c r="R33" i="31"/>
  <c r="S33" i="31" s="1"/>
  <c r="C42" i="40"/>
  <c r="C43" i="40"/>
  <c r="E47" i="40"/>
  <c r="F47" i="40" s="1"/>
  <c r="E46" i="40"/>
  <c r="F46" i="40" s="1"/>
  <c r="I47" i="40"/>
  <c r="J47" i="40" s="1"/>
  <c r="R26" i="31" l="1"/>
  <c r="R41" i="84"/>
  <c r="S41" i="84" s="1"/>
  <c r="H22" i="81" s="1"/>
  <c r="O22" i="81" s="1"/>
  <c r="R39" i="84"/>
  <c r="S39" i="84" s="1"/>
  <c r="H20" i="81" s="1"/>
  <c r="O20" i="81" s="1"/>
  <c r="R37" i="84"/>
  <c r="S37" i="84" s="1"/>
  <c r="H18" i="81" s="1"/>
  <c r="O18" i="81" s="1"/>
  <c r="R35" i="84"/>
  <c r="S35" i="84" s="1"/>
  <c r="H16" i="81" s="1"/>
  <c r="O16" i="81" s="1"/>
  <c r="R33" i="84"/>
  <c r="S33" i="84" s="1"/>
  <c r="H14" i="81" s="1"/>
  <c r="O14" i="81" s="1"/>
  <c r="R42" i="84"/>
  <c r="S42" i="84" s="1"/>
  <c r="H23" i="81" s="1"/>
  <c r="O23" i="81" s="1"/>
  <c r="R40" i="84"/>
  <c r="S40" i="84" s="1"/>
  <c r="H21" i="81" s="1"/>
  <c r="O21" i="81" s="1"/>
  <c r="R38" i="84"/>
  <c r="S38" i="84" s="1"/>
  <c r="H19" i="81" s="1"/>
  <c r="O19" i="81" s="1"/>
  <c r="R36" i="84"/>
  <c r="S36" i="84" s="1"/>
  <c r="H17" i="81" s="1"/>
  <c r="O17" i="81" s="1"/>
  <c r="R34" i="84"/>
  <c r="S34" i="84" s="1"/>
  <c r="H15" i="81" s="1"/>
  <c r="O15" i="81" s="1"/>
  <c r="R32" i="84"/>
  <c r="S32" i="84" s="1"/>
  <c r="H13" i="81" s="1"/>
  <c r="O13" i="81" s="1"/>
  <c r="R25" i="31"/>
  <c r="S25" i="31" s="1"/>
  <c r="H25" i="81" s="1"/>
  <c r="O25" i="81" s="1"/>
  <c r="R27" i="31"/>
  <c r="R31" i="31"/>
  <c r="S31" i="31" s="1"/>
  <c r="H31" i="81" s="1"/>
  <c r="O31" i="81" s="1"/>
  <c r="R29" i="31"/>
  <c r="S24" i="84"/>
  <c r="H5" i="81" s="1"/>
  <c r="O5" i="81" s="1"/>
  <c r="R29" i="84"/>
  <c r="S29" i="84" s="1"/>
  <c r="H10" i="81" s="1"/>
  <c r="O10" i="81" s="1"/>
  <c r="R27" i="84"/>
  <c r="S27" i="84" s="1"/>
  <c r="H8" i="81" s="1"/>
  <c r="O8" i="81" s="1"/>
  <c r="R26" i="84"/>
  <c r="S26" i="84" s="1"/>
  <c r="H7" i="81" s="1"/>
  <c r="O7" i="81" s="1"/>
  <c r="R30" i="84"/>
  <c r="S30" i="84" s="1"/>
  <c r="H11" i="81" s="1"/>
  <c r="O11" i="81" s="1"/>
  <c r="R25" i="84"/>
  <c r="S25" i="84" s="1"/>
  <c r="H6" i="81" s="1"/>
  <c r="O6" i="81" s="1"/>
  <c r="R31" i="84"/>
  <c r="S31" i="84" s="1"/>
  <c r="H12" i="81" s="1"/>
  <c r="O12" i="81" s="1"/>
  <c r="R28" i="84"/>
  <c r="S28" i="84" s="1"/>
  <c r="H9" i="81" s="1"/>
  <c r="O9" i="81" s="1"/>
  <c r="S24" i="31"/>
  <c r="H24" i="81" s="1"/>
  <c r="O24" i="81" s="1"/>
  <c r="R28" i="31"/>
  <c r="S28" i="31" s="1"/>
  <c r="H28" i="81" s="1"/>
  <c r="O28" i="81" s="1"/>
  <c r="S30" i="31"/>
  <c r="H30" i="81" s="1"/>
  <c r="O30" i="81" s="1"/>
  <c r="S29" i="31"/>
  <c r="H29" i="81" s="1"/>
  <c r="O29" i="81" s="1"/>
  <c r="S26" i="31"/>
  <c r="H26" i="81" s="1"/>
  <c r="O26" i="81" s="1"/>
  <c r="S27" i="31"/>
  <c r="H27" i="81" s="1"/>
  <c r="O27" i="81" s="1"/>
  <c r="B58" i="40"/>
  <c r="F58" i="40" s="1"/>
  <c r="B54" i="40"/>
  <c r="F54" i="40" s="1"/>
  <c r="B53" i="40"/>
  <c r="F53" i="40" s="1"/>
  <c r="B59" i="40"/>
  <c r="F59" i="40" s="1"/>
  <c r="B52" i="40"/>
  <c r="F52" i="40" s="1"/>
  <c r="B56" i="40"/>
  <c r="F56" i="40" s="1"/>
  <c r="B60" i="40"/>
  <c r="F60" i="40" s="1"/>
  <c r="B57" i="40"/>
  <c r="F57" i="40" s="1"/>
  <c r="B51" i="40"/>
  <c r="F51" i="40" s="1"/>
  <c r="F61" i="40"/>
  <c r="B2" i="40" s="1"/>
  <c r="B3" i="40" s="1"/>
  <c r="H32" i="81" l="1"/>
  <c r="H34" i="81" s="1"/>
  <c r="S22" i="84"/>
  <c r="D15" i="74" s="1"/>
  <c r="G15" i="74" s="1"/>
  <c r="S22" i="31"/>
  <c r="F15" i="74" l="1"/>
  <c r="E15" i="74"/>
  <c r="R22" i="31"/>
  <c r="D14" i="74"/>
  <c r="B20" i="84"/>
  <c r="B21" i="84" s="1"/>
  <c r="R22" i="84"/>
  <c r="B20" i="31"/>
  <c r="B21" i="31" s="1"/>
  <c r="G118" i="9"/>
  <c r="I118" i="9"/>
  <c r="E118" i="9" l="1"/>
  <c r="D118" i="9" s="1"/>
  <c r="F14" i="74"/>
  <c r="B5" i="74"/>
  <c r="D5" i="74" s="1"/>
  <c r="E14" i="74"/>
  <c r="G14" i="74" s="1"/>
  <c r="B6" i="74" s="1"/>
  <c r="D6" i="74" s="1"/>
  <c r="H118" i="9"/>
  <c r="C104" i="9" s="1"/>
  <c r="G4" i="52"/>
  <c r="B52" i="72" s="1"/>
  <c r="G3" i="81"/>
  <c r="F118" i="9"/>
  <c r="H102" i="9"/>
  <c r="C105" i="9"/>
  <c r="I4" i="52"/>
  <c r="E4" i="52" l="1"/>
  <c r="B48" i="72" s="1"/>
  <c r="H4" i="52"/>
  <c r="H101" i="9"/>
  <c r="D45" i="9" s="1"/>
  <c r="H119" i="9"/>
  <c r="H5" i="52" s="1"/>
  <c r="G29" i="81"/>
  <c r="F29" i="81" s="1"/>
  <c r="G31" i="81"/>
  <c r="F31" i="81" s="1"/>
  <c r="G25" i="81"/>
  <c r="F25" i="81" s="1"/>
  <c r="G27" i="81"/>
  <c r="F27" i="81" s="1"/>
  <c r="G28" i="81"/>
  <c r="F28" i="81" s="1"/>
  <c r="G30" i="81"/>
  <c r="F30" i="81" s="1"/>
  <c r="G24" i="81"/>
  <c r="F24" i="81" s="1"/>
  <c r="G26" i="81"/>
  <c r="F26" i="81" s="1"/>
  <c r="F119" i="9"/>
  <c r="F5" i="52" s="1"/>
  <c r="B53" i="72" s="1"/>
  <c r="F4" i="52"/>
  <c r="B51" i="72" s="1"/>
  <c r="D7" i="53"/>
  <c r="B21" i="72" s="1"/>
  <c r="C5" i="74"/>
  <c r="D4" i="52"/>
  <c r="B47" i="72" s="1"/>
  <c r="D119" i="9"/>
  <c r="D5" i="52" s="1"/>
  <c r="B49" i="72" s="1"/>
  <c r="H107" i="9" l="1"/>
  <c r="M49" i="9" s="1"/>
  <c r="L66" i="9" s="1"/>
  <c r="M66" i="9" s="1"/>
  <c r="D5" i="53"/>
  <c r="B20" i="72" s="1"/>
  <c r="M48" i="9"/>
  <c r="C93" i="9"/>
  <c r="C86" i="9" s="1"/>
  <c r="D55" i="9"/>
  <c r="M53" i="9" s="1"/>
  <c r="C85" i="9"/>
  <c r="D52" i="9"/>
  <c r="C64" i="9"/>
  <c r="C63" i="9" s="1"/>
  <c r="C67" i="9" s="1"/>
  <c r="D53" i="9"/>
  <c r="C78" i="9"/>
  <c r="C73" i="9" s="1"/>
  <c r="C72" i="9"/>
  <c r="L64" i="9" l="1"/>
  <c r="M64" i="9" s="1"/>
  <c r="D122" i="9"/>
  <c r="D123" i="9" s="1"/>
  <c r="D9" i="52" s="1"/>
  <c r="H108" i="9"/>
  <c r="L67" i="9"/>
  <c r="M67" i="9" s="1"/>
  <c r="L68" i="9"/>
  <c r="M68" i="9" s="1"/>
  <c r="L63" i="9"/>
  <c r="M63" i="9" s="1"/>
  <c r="L65" i="9"/>
  <c r="M65" i="9" s="1"/>
  <c r="D13" i="53"/>
  <c r="B30" i="72" s="1"/>
  <c r="D6" i="53"/>
  <c r="B22" i="72" s="1"/>
  <c r="C95" i="9"/>
  <c r="C96" i="9" s="1"/>
  <c r="E96" i="9" s="1"/>
  <c r="E97" i="9" s="1"/>
  <c r="D15" i="53"/>
  <c r="B31" i="72" s="1"/>
  <c r="C6" i="74"/>
  <c r="C79" i="9"/>
  <c r="C68" i="9"/>
  <c r="D54" i="9" s="1"/>
  <c r="D59" i="9"/>
  <c r="M55" i="9" s="1"/>
  <c r="D8" i="52" l="1"/>
  <c r="M69" i="9"/>
  <c r="N69" i="9" s="1"/>
  <c r="D14" i="53"/>
  <c r="B32" i="72" s="1"/>
  <c r="C80" i="9"/>
  <c r="E80" i="9" s="1"/>
  <c r="E81" i="9" s="1"/>
  <c r="C97" i="9"/>
  <c r="D58" i="9" s="1"/>
  <c r="D56" i="9" s="1"/>
  <c r="M54" i="9" s="1"/>
  <c r="N57" i="9" s="1"/>
  <c r="C81" i="9" l="1"/>
  <c r="N59" i="9"/>
  <c r="N58" i="9"/>
  <c r="P57" i="9"/>
  <c r="N60" i="9" l="1"/>
  <c r="N61" i="9"/>
  <c r="I118" i="85" l="1"/>
  <c r="H118" i="85" s="1"/>
  <c r="C104" i="85" s="1"/>
  <c r="H119" i="85" l="1"/>
  <c r="H101" i="85"/>
  <c r="M48" i="85" s="1"/>
  <c r="C105" i="85"/>
  <c r="H102" i="85"/>
  <c r="D45" i="85" l="1"/>
  <c r="D52" i="85" s="1"/>
  <c r="H107" i="85"/>
  <c r="M49" i="85" s="1"/>
  <c r="L68" i="85" s="1"/>
  <c r="M68" i="85" s="1"/>
  <c r="C93" i="85" l="1"/>
  <c r="C86" i="85" s="1"/>
  <c r="D55" i="85"/>
  <c r="M53" i="85" s="1"/>
  <c r="C72" i="85"/>
  <c r="C64" i="85"/>
  <c r="C63" i="85" s="1"/>
  <c r="C67" i="85" s="1"/>
  <c r="D59" i="85" s="1"/>
  <c r="M55" i="85" s="1"/>
  <c r="C78" i="85"/>
  <c r="C73" i="85" s="1"/>
  <c r="C85" i="85"/>
  <c r="D53" i="85"/>
  <c r="H108" i="85"/>
  <c r="L65" i="85"/>
  <c r="M65" i="85" s="1"/>
  <c r="D122" i="85"/>
  <c r="D123" i="85" s="1"/>
  <c r="L66" i="85"/>
  <c r="M66" i="85" s="1"/>
  <c r="L63" i="85"/>
  <c r="M63" i="85" s="1"/>
  <c r="L67" i="85"/>
  <c r="M67" i="85" s="1"/>
  <c r="L64" i="85"/>
  <c r="M64" i="85" s="1"/>
  <c r="C79" i="85" l="1"/>
  <c r="C80" i="85" s="1"/>
  <c r="E80" i="85" s="1"/>
  <c r="E81" i="85" s="1"/>
  <c r="C95" i="85"/>
  <c r="C96" i="85" s="1"/>
  <c r="E96" i="85" s="1"/>
  <c r="E97" i="85" s="1"/>
  <c r="C68" i="85"/>
  <c r="D54" i="85" s="1"/>
  <c r="M69" i="85"/>
  <c r="N69" i="85" s="1"/>
  <c r="C81" i="85" l="1"/>
  <c r="C97" i="85"/>
  <c r="D58" i="85" s="1"/>
  <c r="D56" i="85" s="1"/>
  <c r="M54" i="85" s="1"/>
  <c r="N57" i="85" s="1"/>
  <c r="N58" i="85" s="1"/>
  <c r="P57" i="85" l="1"/>
  <c r="N59" i="85"/>
  <c r="N61" i="85" s="1"/>
  <c r="N60" i="85"/>
  <c r="G118" i="85"/>
  <c r="E118" i="85" l="1"/>
  <c r="D118" i="85" s="1"/>
  <c r="D119" i="85" s="1"/>
  <c r="G2" i="81"/>
  <c r="F118" i="85"/>
  <c r="F119" i="85" s="1"/>
  <c r="G6" i="81" l="1"/>
  <c r="F6" i="81" s="1"/>
  <c r="G18" i="81"/>
  <c r="F18" i="81" s="1"/>
  <c r="G10" i="81"/>
  <c r="F10" i="81" s="1"/>
  <c r="G21" i="81"/>
  <c r="F21" i="81" s="1"/>
  <c r="G13" i="81"/>
  <c r="F13" i="81" s="1"/>
  <c r="G5" i="81"/>
  <c r="G16" i="81"/>
  <c r="F16" i="81" s="1"/>
  <c r="G8" i="81"/>
  <c r="F8" i="81" s="1"/>
  <c r="G19" i="81"/>
  <c r="F19" i="81" s="1"/>
  <c r="G22" i="81"/>
  <c r="F22" i="81" s="1"/>
  <c r="G14" i="81"/>
  <c r="F14" i="81" s="1"/>
  <c r="G17" i="81"/>
  <c r="F17" i="81" s="1"/>
  <c r="G9" i="81"/>
  <c r="F9" i="81" s="1"/>
  <c r="G20" i="81"/>
  <c r="F20" i="81" s="1"/>
  <c r="G12" i="81"/>
  <c r="F12" i="81" s="1"/>
  <c r="G23" i="81"/>
  <c r="F23" i="81" s="1"/>
  <c r="G15" i="81"/>
  <c r="F15" i="81" s="1"/>
  <c r="G7" i="81"/>
  <c r="F7" i="81" s="1"/>
  <c r="G11" i="81"/>
  <c r="F11" i="81" s="1"/>
  <c r="G32" i="81" l="1"/>
  <c r="F5" i="81"/>
  <c r="F32" i="81"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<sst xmlns="http://schemas.openxmlformats.org/spreadsheetml/2006/main" count="9101" uniqueCount="3593">
  <si>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</si>
  <si>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</si>
  <si>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</si>
  <si>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</si>
  <si>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</si>
  <si>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</si>
  <si>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</si>
  <si>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</si>
  <si>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</si>
  <si>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</si>
  <si>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</si>
  <si>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</si>
  <si>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</si>
  <si>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</si>
  <si>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</si>
  <si>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</si>
  <si>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</si>
  <si>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</si>
  <si>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</si>
  <si>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</si>
  <si>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</si>
  <si>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</si>
  <si>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</si>
  <si>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</si>
  <si>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</si>
  <si>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</si>
  <si>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</si>
  <si>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</si>
  <si>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</si>
  <si>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</si>
  <si>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</si>
  <si>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</si>
  <si>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</si>
  <si>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</si>
  <si>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</si>
  <si>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</si>
  <si>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</si>
  <si>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</si>
  <si>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</si>
  <si>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</si>
  <si>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</si>
  <si>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</si>
  <si>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</si>
  <si>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</si>
  <si>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</si>
  <si>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</si>
  <si>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</si>
  <si>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</si>
  <si>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</si>
  <si>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</si>
  <si>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</si>
  <si>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</si>
  <si>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</si>
  <si>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</si>
  <si>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</si>
  <si>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</si>
  <si>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</si>
  <si>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</si>
  <si>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</si>
  <si>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</si>
  <si>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</si>
  <si>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</si>
  <si>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</si>
  <si>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</si>
  <si>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</si>
  <si>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</si>
  <si>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</si>
  <si>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</si>
  <si>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</si>
  <si>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</si>
  <si>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</si>
  <si>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</si>
  <si>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</si>
  <si>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</si>
  <si>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</si>
  <si>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</si>
  <si>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</si>
  <si>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</si>
  <si>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</si>
  <si>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</si>
  <si>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</si>
  <si>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</si>
  <si>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</si>
  <si>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</si>
  <si>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</si>
  <si>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</si>
  <si>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</si>
  <si>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</si>
  <si>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</si>
  <si>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</si>
  <si>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</si>
  <si>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</si>
  <si>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</si>
  <si>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</si>
  <si>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</si>
  <si>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</si>
  <si>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</si>
  <si>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</si>
  <si>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</si>
  <si>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</si>
  <si>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</si>
  <si>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</si>
  <si>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</si>
  <si>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</si>
  <si>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</si>
  <si>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</si>
  <si>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</si>
  <si>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</si>
  <si>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</si>
  <si>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</si>
  <si>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</si>
  <si>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</si>
  <si>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</si>
  <si>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</si>
  <si>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</si>
  <si>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</si>
  <si>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</si>
  <si>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</si>
  <si>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</si>
  <si>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</si>
  <si>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</si>
  <si>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</si>
  <si>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</si>
  <si>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</si>
  <si>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</si>
  <si>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</si>
  <si>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</si>
  <si>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</si>
  <si>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</si>
  <si>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</si>
  <si>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</si>
  <si>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</si>
  <si>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</si>
  <si>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</si>
  <si>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</si>
  <si>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</si>
  <si>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</si>
  <si>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</si>
  <si>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</si>
  <si>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</si>
  <si>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</si>
  <si>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</si>
  <si>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</si>
  <si>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</si>
  <si>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</si>
  <si>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</si>
  <si>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</si>
  <si>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</si>
  <si>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</si>
  <si>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</si>
  <si>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</si>
  <si>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</si>
  <si>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</si>
  <si>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</si>
  <si>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</si>
  <si>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</si>
  <si>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</si>
  <si>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</si>
  <si>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</si>
  <si>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</si>
  <si>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</si>
  <si>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</si>
  <si>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</si>
  <si>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</si>
  <si>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</si>
  <si>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</si>
  <si>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</si>
  <si>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</si>
  <si>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</si>
  <si>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</si>
  <si>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</si>
  <si>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</si>
  <si>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</si>
  <si>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</si>
  <si>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</si>
  <si>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</si>
  <si>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</si>
  <si>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</si>
  <si>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</si>
  <si>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</si>
  <si>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</si>
  <si>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</si>
  <si>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</si>
  <si>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</si>
  <si>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</si>
  <si>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</si>
  <si>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</si>
  <si>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</si>
  <si>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</si>
  <si>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</si>
  <si>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</si>
  <si>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</si>
  <si>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</si>
  <si>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</si>
  <si>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</si>
  <si>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</si>
  <si>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</si>
  <si>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</si>
  <si>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</si>
  <si>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</si>
  <si>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</si>
  <si>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</si>
  <si>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</si>
  <si>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</si>
  <si>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</si>
  <si>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</si>
  <si>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</si>
  <si>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</si>
  <si>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</si>
  <si>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</si>
  <si>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</si>
  <si>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</si>
  <si>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</si>
  <si>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</si>
  <si>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</si>
  <si>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</si>
  <si>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</si>
  <si>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</si>
  <si>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</si>
  <si>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</si>
  <si>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</si>
  <si>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</si>
  <si>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</si>
  <si>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</si>
  <si>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</si>
  <si>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</si>
  <si>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</si>
  <si>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</si>
  <si>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</si>
  <si>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</si>
  <si>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</si>
  <si>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</si>
  <si>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</si>
  <si>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</si>
  <si>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</si>
  <si>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</si>
  <si>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</si>
  <si>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</si>
  <si>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</si>
  <si>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</si>
  <si>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</si>
  <si>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</si>
  <si>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</si>
  <si>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</si>
  <si>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</si>
  <si>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</si>
  <si>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</si>
  <si>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</si>
  <si>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</si>
  <si>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</si>
  <si>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</si>
  <si>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</si>
  <si>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</si>
  <si>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</si>
  <si>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</si>
  <si>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</si>
  <si>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</si>
  <si>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</si>
  <si>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</si>
  <si>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</si>
  <si>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</si>
  <si>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</si>
  <si>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</si>
  <si>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</si>
  <si>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</si>
  <si>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</si>
  <si>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</si>
  <si>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</si>
  <si>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</si>
  <si>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</si>
  <si>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</si>
  <si>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</si>
  <si>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</si>
  <si>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</si>
  <si>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</si>
  <si>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</si>
  <si>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</si>
  <si>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</si>
  <si>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</si>
  <si>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</si>
  <si>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</si>
  <si>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</si>
  <si>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</si>
  <si>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</si>
  <si>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</si>
  <si>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</si>
  <si>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</si>
  <si>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</si>
  <si>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</si>
  <si>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</si>
  <si>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</si>
  <si>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</si>
  <si>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</si>
  <si>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</si>
  <si>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</si>
  <si>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</si>
  <si>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</si>
  <si>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</si>
  <si>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</si>
  <si>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</si>
  <si>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</si>
  <si>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</si>
  <si>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</si>
  <si>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</si>
  <si>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</si>
  <si>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</si>
  <si>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</si>
  <si>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</si>
  <si>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</si>
  <si>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</si>
  <si>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</si>
  <si>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</si>
  <si>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</si>
  <si>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</si>
  <si>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</si>
  <si>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</si>
  <si>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</si>
  <si>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</si>
  <si>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</si>
  <si>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</si>
  <si>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</si>
  <si>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</si>
  <si>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</si>
  <si>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</si>
  <si>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</si>
  <si>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</si>
  <si>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</si>
  <si>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</si>
  <si>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</si>
  <si>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</si>
  <si>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</si>
  <si>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</si>
  <si>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</si>
  <si>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</si>
  <si>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</si>
  <si>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</si>
  <si>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</si>
  <si>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</si>
  <si>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</si>
  <si>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</si>
  <si>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</si>
  <si>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</si>
  <si>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</si>
  <si>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</si>
  <si>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</si>
  <si>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</si>
  <si>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</si>
  <si>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</si>
  <si>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</si>
  <si>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</si>
  <si>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</si>
  <si>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</si>
  <si>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</si>
  <si>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</si>
  <si>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</si>
  <si>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</si>
  <si>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</si>
  <si>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</si>
  <si>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</si>
  <si>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</si>
  <si>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</si>
  <si>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</si>
  <si>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</si>
  <si>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</si>
  <si>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</si>
  <si>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</si>
  <si>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</si>
  <si>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</si>
  <si>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</si>
  <si>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</si>
  <si>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</si>
  <si>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</si>
  <si>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</si>
  <si>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</si>
  <si>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</si>
  <si>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</si>
  <si>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</si>
  <si>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</si>
  <si>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</si>
  <si>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</si>
  <si>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</si>
  <si>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</si>
  <si>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</si>
  <si>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</si>
  <si>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</si>
  <si>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</si>
  <si>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</si>
  <si>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</si>
  <si>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</si>
  <si>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</si>
  <si>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</si>
  <si>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</si>
  <si>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</si>
  <si>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</si>
  <si>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</si>
  <si>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</si>
  <si>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</si>
  <si>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</si>
  <si>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</si>
  <si>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</si>
  <si>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</si>
  <si>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</si>
  <si>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</si>
  <si>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</si>
  <si>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</si>
  <si>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</si>
  <si>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</si>
  <si>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</si>
  <si>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</si>
  <si>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</si>
  <si>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</si>
  <si>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</si>
  <si>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</si>
  <si>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</si>
  <si>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</si>
  <si>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</si>
  <si>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</si>
  <si>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</si>
  <si>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</si>
  <si>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</si>
  <si>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</si>
  <si>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</si>
  <si>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</si>
  <si>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</si>
  <si>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</si>
  <si>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</si>
  <si>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</si>
  <si>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</si>
  <si>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</si>
  <si>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</si>
  <si>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</si>
  <si>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</si>
  <si>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</si>
  <si>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</si>
  <si>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</si>
  <si>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</si>
  <si>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</si>
  <si>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</si>
  <si>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</si>
  <si>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</si>
  <si>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</si>
  <si>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</si>
  <si>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</si>
  <si>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</si>
  <si>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</si>
  <si>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</si>
  <si>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</si>
  <si>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</si>
  <si>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</si>
  <si>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</si>
  <si>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</si>
  <si>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</si>
  <si>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</si>
  <si>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</si>
  <si>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</si>
  <si>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</si>
  <si>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</si>
  <si>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</si>
  <si>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</si>
  <si>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</si>
  <si>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</si>
  <si>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</si>
  <si>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</si>
  <si>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</si>
  <si>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</si>
  <si>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</si>
  <si>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</si>
  <si>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</si>
  <si>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</si>
  <si>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</si>
  <si>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</si>
  <si>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</si>
  <si>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</si>
  <si>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</si>
  <si>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</si>
  <si>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</si>
  <si>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</si>
  <si>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</si>
  <si>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</si>
  <si>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</si>
  <si>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</si>
  <si>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</si>
  <si>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</si>
  <si>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</si>
  <si>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</si>
  <si>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</si>
  <si>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</si>
  <si>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</si>
  <si>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</si>
  <si>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</si>
  <si>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</si>
  <si>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</si>
  <si>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</si>
  <si>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</si>
  <si>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</si>
  <si>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</si>
  <si>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</si>
  <si>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</si>
  <si>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</si>
  <si>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</si>
  <si>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</si>
  <si>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</si>
  <si>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</si>
  <si>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</si>
  <si>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</si>
  <si>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</si>
  <si>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</si>
  <si>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</si>
  <si>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</si>
  <si>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</si>
  <si>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</si>
  <si>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</si>
  <si>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</si>
  <si>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</si>
  <si>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</si>
  <si>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</si>
  <si>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</si>
  <si>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</si>
  <si>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</si>
  <si>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</si>
  <si>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</si>
  <si>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</si>
  <si>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</si>
  <si>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</si>
  <si>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</si>
  <si>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</si>
  <si>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</si>
  <si>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</si>
  <si>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</si>
  <si>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</si>
  <si>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</si>
  <si>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</si>
  <si>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</si>
  <si>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</si>
  <si>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</si>
  <si>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</si>
  <si>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</si>
  <si>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</si>
  <si>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</si>
  <si>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</si>
  <si>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</si>
  <si>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</si>
  <si>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</si>
  <si>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</si>
  <si>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</si>
  <si>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</si>
  <si>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</si>
  <si>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</si>
  <si>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</si>
  <si>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</si>
  <si>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</si>
  <si>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</si>
  <si>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</si>
  <si>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</si>
  <si>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</si>
  <si>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</si>
  <si>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</si>
  <si>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</si>
  <si>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</si>
  <si>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</si>
  <si>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</si>
  <si>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</si>
  <si>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</si>
  <si>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</si>
  <si>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</si>
  <si>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</si>
  <si>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</si>
  <si>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</si>
  <si>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</si>
  <si>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</si>
  <si>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</si>
  <si>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</si>
  <si>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</si>
  <si>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</si>
  <si>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</si>
  <si>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</si>
  <si>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</si>
  <si>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</si>
  <si>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</si>
  <si>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</si>
  <si>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</si>
  <si>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</si>
  <si>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</si>
  <si>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</si>
  <si>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</si>
  <si>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</si>
  <si>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</si>
  <si>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</si>
  <si>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</si>
  <si>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</si>
  <si>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</si>
  <si>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</si>
  <si>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</si>
  <si>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</si>
  <si>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</si>
  <si>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</si>
  <si>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</si>
  <si>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</si>
  <si>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</si>
  <si>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</si>
  <si>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</si>
  <si>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</si>
  <si>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</si>
  <si>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</si>
  <si>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</si>
  <si>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</si>
  <si>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</si>
  <si>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</si>
  <si>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</si>
  <si>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</si>
  <si>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</si>
  <si>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</si>
  <si>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</si>
  <si>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</si>
  <si>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</si>
  <si>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</si>
  <si>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</si>
  <si>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</si>
  <si>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</si>
  <si>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</si>
  <si>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</si>
  <si>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</si>
  <si>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</si>
  <si>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</si>
  <si>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</si>
  <si>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</si>
  <si>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</si>
  <si>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</si>
  <si>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</si>
  <si>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</si>
  <si>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</si>
  <si>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</si>
  <si>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</si>
  <si>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</si>
  <si>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</si>
  <si>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</si>
  <si>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</si>
  <si>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</si>
  <si>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</si>
  <si>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</si>
  <si>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</si>
  <si>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</si>
  <si>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</si>
  <si>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</si>
  <si>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</si>
  <si>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</si>
  <si>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</si>
  <si>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</si>
  <si>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</si>
  <si>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</si>
  <si>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</si>
  <si>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</si>
  <si>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</si>
  <si>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</si>
  <si>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</si>
  <si>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</si>
  <si>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</si>
  <si>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</si>
  <si>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</si>
  <si>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</si>
  <si>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</si>
  <si>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</si>
  <si>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</si>
  <si>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</si>
  <si>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</si>
  <si>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</si>
  <si>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</si>
  <si>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</si>
  <si>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</si>
  <si>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</si>
  <si>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</si>
  <si>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</si>
  <si>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</si>
  <si>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</si>
  <si>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</si>
  <si>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</si>
  <si>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</si>
  <si>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</si>
  <si>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</si>
  <si>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</si>
  <si>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</si>
  <si>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</si>
  <si>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</si>
  <si>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</si>
  <si>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</si>
  <si>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</si>
  <si>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</si>
  <si>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</si>
  <si>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</si>
  <si>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</si>
  <si>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</si>
  <si>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</si>
  <si>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</si>
  <si>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</si>
  <si>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</si>
  <si>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</si>
  <si>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</si>
  <si>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</si>
  <si>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</si>
  <si>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</si>
  <si>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</si>
  <si>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</si>
  <si>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</si>
  <si>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</si>
  <si>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</si>
  <si>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</si>
  <si>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</si>
  <si>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</si>
  <si>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</si>
  <si>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</si>
  <si>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</si>
  <si>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</si>
  <si>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</si>
  <si>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</si>
  <si>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</si>
  <si>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</si>
  <si>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</si>
  <si>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</si>
  <si>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</si>
  <si>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</si>
  <si>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</si>
  <si>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</si>
  <si>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</si>
  <si>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</si>
  <si>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</si>
  <si>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</si>
  <si>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</si>
  <si>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</si>
  <si>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</si>
  <si>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</si>
  <si>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</si>
  <si>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</si>
  <si>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</si>
  <si>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</si>
  <si>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</si>
  <si>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</si>
  <si>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</si>
  <si>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</si>
  <si>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</si>
  <si>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</si>
  <si>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</si>
  <si>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</si>
  <si>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</si>
  <si>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</si>
  <si>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</si>
  <si>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</si>
  <si>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</si>
  <si>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</si>
  <si>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</si>
  <si>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</si>
  <si>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</si>
  <si>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</si>
  <si>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</si>
  <si>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</si>
  <si>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</si>
  <si>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</si>
  <si>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</si>
  <si>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</si>
  <si>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</si>
  <si>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</si>
  <si>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</si>
  <si>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</si>
  <si>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</si>
  <si>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</si>
  <si>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</si>
  <si>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</si>
  <si>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</si>
  <si>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</si>
  <si>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</si>
  <si>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</si>
  <si>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</si>
  <si>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</si>
  <si>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</si>
  <si>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</si>
  <si>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</si>
  <si>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</si>
  <si>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</si>
  <si>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</si>
  <si>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</si>
  <si>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</si>
  <si>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</si>
  <si>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</si>
  <si>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</si>
  <si>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</si>
  <si>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</si>
  <si>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</si>
  <si>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</si>
  <si>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</si>
  <si>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</si>
  <si>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</si>
  <si>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</si>
  <si>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</si>
  <si>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</si>
  <si>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</si>
  <si>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</si>
  <si>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</si>
  <si>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</si>
  <si>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</si>
  <si>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</si>
  <si>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</si>
  <si>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</si>
  <si>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</si>
  <si>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</si>
  <si>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</si>
  <si>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</si>
  <si>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</si>
  <si>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</si>
  <si>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</si>
  <si>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</si>
  <si>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</si>
  <si>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</si>
  <si>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</si>
  <si>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</si>
  <si>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</si>
  <si>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</si>
  <si>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</si>
  <si>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</si>
  <si>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</si>
  <si>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</si>
  <si>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</si>
  <si>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</si>
  <si>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</si>
  <si>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</si>
  <si>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</si>
  <si>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</si>
  <si>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</si>
  <si>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</si>
  <si>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</si>
  <si>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</si>
  <si>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</si>
  <si>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</si>
  <si>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</si>
  <si>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</si>
  <si>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</si>
  <si>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</si>
  <si>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</si>
  <si>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</si>
  <si>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</si>
  <si>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</si>
  <si>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</si>
  <si>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</si>
  <si>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</si>
  <si>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</si>
  <si>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</si>
  <si>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</si>
  <si>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</si>
  <si>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</si>
  <si>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</si>
  <si>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</si>
  <si>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</si>
  <si>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</si>
  <si>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</si>
  <si>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</si>
  <si>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</si>
  <si>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</si>
  <si>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</si>
  <si>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</si>
  <si>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</si>
  <si>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</si>
  <si>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</si>
  <si>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</si>
  <si>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</si>
  <si>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</si>
  <si>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</si>
  <si>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</si>
  <si>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</si>
  <si>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</si>
  <si>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</si>
  <si>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</si>
  <si>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</si>
  <si>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</si>
  <si>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</si>
  <si>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</si>
  <si>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</si>
  <si>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</si>
  <si>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</si>
  <si>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</si>
  <si>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</si>
  <si>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</si>
  <si>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</si>
  <si>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</si>
  <si>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</si>
  <si>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</si>
  <si>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</si>
  <si>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</si>
  <si>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</si>
  <si>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</si>
  <si>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</si>
  <si>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</si>
  <si>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</si>
  <si>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</si>
  <si>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</si>
  <si>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</si>
  <si>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</si>
  <si>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</si>
  <si>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</si>
  <si>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</si>
  <si>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</si>
  <si>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</si>
  <si>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</si>
  <si>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</si>
  <si>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</si>
  <si>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</si>
  <si>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</si>
  <si>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</si>
  <si>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</si>
  <si>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</si>
  <si>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</si>
  <si>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</si>
  <si>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</si>
  <si>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</si>
  <si>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</si>
  <si>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</si>
  <si>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</si>
  <si>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</si>
  <si>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</si>
  <si>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</si>
  <si>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</si>
  <si>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</si>
  <si>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</si>
  <si>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</si>
  <si>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</si>
  <si>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</si>
  <si>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</si>
  <si>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</si>
  <si>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</si>
  <si>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</si>
  <si>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</si>
  <si>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</si>
  <si>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</si>
  <si>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</si>
  <si>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</si>
  <si>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</si>
  <si>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</si>
  <si>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</si>
  <si>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</si>
  <si>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</si>
  <si>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</si>
  <si>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</si>
  <si>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</si>
  <si>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</si>
  <si>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</si>
  <si>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</si>
  <si>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</si>
  <si>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</si>
  <si>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</si>
  <si>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</si>
  <si>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</si>
  <si>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</si>
  <si>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</si>
  <si>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</si>
  <si>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</si>
  <si>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</si>
  <si>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</si>
  <si>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</si>
  <si>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</si>
  <si>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</si>
  <si>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</si>
  <si>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</si>
  <si>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</si>
  <si>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</si>
  <si>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</si>
  <si>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</si>
  <si>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</si>
  <si>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</si>
  <si>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</si>
  <si>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</si>
  <si>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</si>
  <si>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</si>
  <si>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</si>
  <si>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</si>
  <si>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</si>
  <si>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</si>
  <si>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</si>
  <si>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</si>
  <si>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</si>
  <si>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</si>
  <si>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</si>
  <si>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</si>
  <si>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</si>
  <si>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</si>
  <si>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</si>
  <si>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</si>
  <si>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</si>
  <si>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</si>
  <si>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</si>
  <si>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</si>
  <si>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</si>
  <si>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</si>
  <si>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</si>
  <si>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</si>
  <si>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</si>
  <si>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</si>
  <si>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</si>
  <si>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</si>
  <si>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</si>
  <si>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</si>
  <si>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</si>
  <si>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</si>
  <si>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</si>
  <si>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</si>
  <si>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</si>
  <si>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</si>
  <si>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</si>
  <si>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</si>
  <si>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</si>
  <si>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</si>
  <si>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</si>
  <si>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</si>
  <si>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</si>
  <si>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</si>
  <si>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</si>
  <si>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</si>
  <si>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</si>
  <si>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</si>
  <si>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</si>
  <si>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</si>
  <si>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</si>
  <si>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</si>
  <si>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</si>
  <si>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</si>
  <si>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</si>
  <si>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</si>
  <si>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</si>
  <si>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</si>
  <si>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</si>
  <si>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</si>
  <si>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</si>
  <si>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</si>
  <si>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</si>
  <si>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</si>
  <si>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</si>
  <si>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</si>
  <si>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</si>
  <si>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</si>
  <si>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</si>
  <si>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</si>
  <si>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</si>
  <si>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</si>
  <si>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</si>
  <si>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</si>
  <si>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</si>
  <si>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</si>
  <si>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</si>
  <si>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</si>
  <si>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</si>
  <si>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</si>
  <si>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</si>
  <si>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</si>
  <si>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</si>
  <si>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</si>
  <si>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</si>
  <si>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</si>
  <si>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</si>
  <si>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</si>
  <si>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</si>
  <si>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</si>
  <si>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</si>
  <si>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</si>
  <si>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</si>
  <si>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</si>
  <si>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</si>
  <si>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</si>
  <si>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</si>
  <si>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</si>
  <si>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</si>
  <si>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</si>
  <si>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</si>
  <si>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</si>
  <si>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</si>
  <si>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</si>
  <si>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</si>
  <si>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</si>
  <si>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</si>
  <si>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</si>
  <si>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</si>
  <si>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</si>
  <si>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</si>
  <si>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</si>
  <si>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</si>
  <si>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</si>
  <si>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</si>
  <si>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</si>
  <si>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</si>
  <si>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</si>
  <si>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</si>
  <si>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</si>
  <si>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</si>
  <si>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</si>
  <si>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</si>
  <si>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</si>
  <si>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</si>
  <si>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</si>
  <si>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</si>
  <si>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</si>
  <si>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</si>
  <si>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</si>
  <si>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</si>
  <si>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</si>
  <si>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</si>
  <si>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</si>
  <si>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</si>
  <si>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</si>
  <si>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</si>
  <si>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</si>
  <si>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</si>
  <si>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</si>
  <si>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</si>
  <si>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</si>
  <si>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</si>
  <si>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</si>
  <si>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</si>
  <si>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</si>
  <si>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</si>
  <si>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</si>
  <si>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</si>
  <si>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</si>
  <si>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</si>
  <si>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</si>
  <si>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</si>
  <si>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</si>
  <si>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</si>
  <si>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</si>
  <si>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</si>
  <si>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</si>
  <si>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</si>
  <si>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</si>
  <si>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</si>
  <si>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</si>
  <si>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</si>
  <si>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</si>
  <si>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</si>
  <si>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</si>
  <si>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</si>
  <si>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</si>
  <si>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</si>
  <si>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</si>
  <si>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</si>
  <si>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</si>
  <si>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</si>
  <si>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</si>
  <si>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</si>
  <si>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</si>
  <si>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</si>
  <si>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</si>
  <si>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</si>
  <si>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</si>
  <si>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</si>
  <si>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</si>
  <si>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</si>
  <si>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</si>
  <si>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</si>
  <si>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</si>
  <si>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</si>
  <si>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</si>
  <si>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</si>
  <si>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</si>
  <si>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</si>
  <si>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</si>
  <si>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</si>
  <si>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</si>
  <si>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</si>
  <si>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</si>
  <si>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</si>
  <si>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</si>
  <si>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</si>
  <si>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</si>
  <si>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</si>
  <si>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</si>
  <si>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</si>
  <si>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</si>
  <si>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</si>
  <si>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</si>
  <si>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</si>
  <si>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</si>
  <si>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</si>
  <si>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</si>
  <si>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</si>
  <si>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</si>
  <si>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</si>
  <si>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</si>
  <si>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</si>
  <si>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</si>
  <si>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</si>
  <si>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</si>
  <si>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</si>
  <si>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</si>
  <si>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</si>
  <si>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</si>
  <si>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</si>
  <si>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</si>
  <si>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</si>
  <si>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</si>
  <si>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</si>
  <si>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</si>
  <si>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</si>
  <si>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</si>
  <si>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</si>
  <si>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</si>
  <si>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</si>
  <si>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</si>
  <si>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</si>
  <si>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</si>
  <si>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</si>
  <si>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</si>
  <si>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</si>
  <si>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</si>
  <si>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</si>
  <si>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</si>
  <si>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</si>
  <si>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</si>
  <si>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</si>
  <si>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</si>
  <si>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</si>
  <si>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</si>
  <si>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</si>
  <si>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</si>
  <si>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</si>
  <si>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</si>
  <si>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</si>
  <si>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</si>
  <si>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</si>
  <si>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</si>
  <si>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</si>
  <si>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</si>
  <si>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</si>
  <si>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</si>
  <si>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</si>
  <si>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</si>
  <si>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</si>
  <si>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</si>
  <si>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</si>
  <si>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</si>
  <si>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</si>
  <si>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</si>
  <si>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</si>
  <si>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</si>
  <si>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</si>
  <si>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</si>
  <si>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</si>
  <si>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</si>
  <si>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</si>
  <si>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</si>
  <si>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</si>
  <si>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</si>
  <si>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</si>
  <si>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</si>
  <si>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</si>
  <si>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</si>
  <si>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</si>
  <si>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</si>
  <si>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</si>
  <si>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</si>
  <si>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</si>
  <si>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</si>
  <si>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</si>
  <si>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</si>
  <si>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</si>
  <si>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</si>
  <si>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</si>
  <si>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</si>
  <si>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</si>
  <si>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</si>
  <si>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</si>
  <si>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</si>
  <si>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</si>
  <si>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</si>
  <si>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</si>
  <si>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</si>
  <si>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</si>
  <si>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</si>
  <si>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</si>
  <si>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</si>
  <si>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</si>
  <si>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</si>
  <si>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</si>
  <si>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</si>
  <si>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</si>
  <si>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</si>
  <si>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</si>
  <si>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</si>
  <si>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</si>
  <si>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</si>
  <si>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</si>
  <si>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</si>
  <si>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</si>
  <si>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</si>
  <si>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</si>
  <si>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</si>
  <si>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</si>
  <si>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</si>
  <si>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</si>
  <si>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</si>
  <si>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</si>
  <si>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</si>
  <si>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</si>
  <si>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</si>
  <si>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</si>
  <si>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</si>
  <si>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</si>
  <si>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</si>
  <si>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</si>
  <si>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</si>
  <si>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</si>
  <si>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</si>
  <si>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</si>
  <si>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</si>
  <si>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</si>
  <si>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</si>
  <si>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</si>
  <si>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</si>
  <si>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</si>
  <si>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</si>
  <si>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</si>
  <si>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</si>
  <si>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</si>
  <si>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</si>
  <si>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</si>
  <si>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</si>
  <si>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</si>
  <si>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</si>
  <si>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</si>
  <si>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</si>
  <si>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</si>
  <si>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</si>
  <si>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</si>
  <si>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</si>
  <si>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</si>
  <si>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</si>
  <si>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</si>
  <si>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</si>
  <si>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</si>
  <si>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</si>
  <si>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</si>
  <si>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</si>
  <si>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</si>
  <si>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</si>
  <si>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</si>
  <si>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</si>
  <si>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</si>
  <si>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</si>
  <si>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</si>
  <si>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</si>
  <si>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</si>
  <si>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</si>
  <si>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</si>
  <si>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</si>
  <si>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</si>
  <si>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</si>
  <si>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</si>
  <si>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</si>
  <si>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</si>
  <si>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</si>
  <si>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</si>
  <si>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</si>
  <si>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</si>
  <si>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</si>
  <si>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</si>
  <si>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</si>
  <si>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</si>
  <si>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</si>
  <si>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</si>
  <si>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</si>
  <si>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</si>
  <si>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</si>
  <si>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</si>
  <si>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</si>
  <si>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</si>
  <si>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</si>
  <si>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</si>
  <si>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</si>
  <si>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</si>
  <si>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</si>
  <si>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</si>
  <si>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</si>
  <si>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</si>
  <si>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</si>
  <si>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</si>
  <si>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</si>
  <si>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</si>
  <si>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</si>
  <si>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</si>
  <si>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</si>
  <si>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</si>
  <si>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</si>
  <si>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</si>
  <si>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</si>
  <si>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</si>
  <si>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</si>
  <si>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</si>
  <si>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</si>
  <si>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</si>
  <si>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</si>
  <si>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</si>
  <si>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</si>
  <si>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</si>
  <si>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</si>
  <si>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</si>
  <si>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</si>
  <si>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</si>
  <si>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</si>
  <si>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</si>
  <si>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</si>
  <si>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</si>
  <si>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</si>
  <si>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</si>
  <si>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</si>
  <si>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</si>
  <si>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</si>
  <si>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</si>
  <si>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</si>
  <si>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</si>
  <si>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</si>
  <si>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</si>
  <si>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</si>
  <si>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</si>
  <si>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</si>
  <si>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</si>
  <si>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</si>
  <si>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</si>
  <si>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</si>
  <si>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</si>
  <si>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</si>
  <si>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</si>
  <si>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</si>
  <si>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</si>
  <si>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</si>
  <si>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</si>
  <si>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</si>
  <si>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</si>
  <si>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</si>
  <si>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</si>
  <si>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</si>
  <si>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</si>
  <si>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</si>
  <si>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</si>
  <si>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</si>
  <si>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</si>
  <si>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</si>
  <si>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</si>
  <si>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</si>
  <si>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</si>
  <si>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</si>
  <si>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</si>
  <si>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</si>
  <si>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</si>
  <si>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</si>
  <si>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</si>
  <si>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</si>
  <si>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</si>
  <si>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</si>
  <si>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</si>
  <si>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</si>
  <si>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</si>
  <si>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</si>
  <si>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</si>
  <si>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</si>
  <si>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</si>
  <si>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</si>
  <si>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</si>
  <si>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</si>
  <si>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</si>
  <si>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</si>
  <si>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</si>
  <si>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</si>
  <si>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</si>
  <si>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</si>
  <si>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</si>
  <si>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</si>
  <si>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</si>
  <si>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</si>
  <si>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</si>
  <si>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</si>
  <si>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</si>
  <si>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</si>
  <si>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</si>
  <si>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</si>
  <si>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</si>
  <si>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</si>
  <si>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</si>
  <si>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</si>
  <si>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</si>
  <si>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</si>
  <si>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</si>
  <si>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</si>
  <si>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</si>
  <si>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</si>
  <si>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</si>
  <si>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</si>
  <si>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</si>
  <si>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</si>
  <si>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</si>
  <si>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</si>
  <si>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</si>
  <si>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</si>
  <si>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</si>
  <si>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</si>
  <si>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</si>
  <si>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</si>
  <si>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</si>
  <si>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</si>
  <si>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</si>
  <si>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</si>
  <si>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</si>
  <si>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</si>
  <si>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</si>
  <si>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</si>
  <si>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</si>
  <si>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</si>
  <si>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</si>
  <si>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</si>
  <si>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</si>
  <si>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</si>
  <si>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</si>
  <si>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</si>
  <si>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</si>
  <si>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</si>
  <si>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</si>
  <si>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</si>
  <si>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</si>
  <si>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</si>
  <si>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</si>
  <si>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</si>
  <si>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</si>
  <si>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</si>
  <si>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</si>
  <si>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</si>
  <si>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</si>
  <si>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</si>
  <si>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</si>
  <si>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</si>
  <si>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</si>
  <si>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</si>
  <si>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</si>
  <si>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</si>
  <si>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</si>
  <si>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</si>
  <si>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</si>
  <si>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</si>
  <si>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</si>
  <si>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</si>
  <si>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</si>
  <si>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</si>
  <si>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</si>
  <si>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</si>
  <si>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</si>
  <si>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</si>
  <si>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</si>
  <si>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</si>
  <si>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</si>
  <si>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</si>
  <si>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</si>
  <si>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</si>
  <si>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</si>
  <si>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</si>
  <si>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</si>
  <si>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</si>
  <si>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</si>
  <si>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</si>
  <si>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</si>
  <si>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</si>
  <si>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</si>
  <si>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</si>
  <si>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</si>
  <si>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</si>
  <si>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</si>
  <si>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</si>
  <si>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</si>
  <si>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</si>
  <si>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</si>
  <si>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</si>
  <si>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</si>
  <si>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</si>
  <si>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</si>
  <si>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</si>
  <si>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</si>
  <si>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</si>
  <si>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</si>
  <si>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</si>
  <si>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</si>
  <si>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</si>
  <si>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</si>
  <si>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</si>
  <si>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</si>
  <si>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</si>
  <si>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</si>
  <si>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</si>
  <si>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</si>
  <si>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</si>
  <si>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</si>
  <si>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</si>
  <si>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</si>
  <si>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</si>
  <si>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</si>
  <si>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</si>
  <si>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</si>
  <si>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</si>
  <si>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</si>
  <si>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</si>
  <si>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</si>
  <si>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</si>
  <si>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</si>
  <si>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</si>
  <si>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</si>
  <si>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</si>
  <si>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</si>
  <si>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</si>
  <si>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</si>
  <si>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</si>
  <si>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</si>
  <si>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</si>
  <si>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</si>
  <si>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</si>
  <si>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</si>
  <si>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</si>
  <si>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</si>
  <si>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</si>
  <si>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</si>
  <si>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</si>
  <si>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</si>
  <si>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</si>
  <si>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</si>
  <si>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</si>
  <si>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</si>
  <si>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</si>
  <si>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</si>
  <si>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</si>
  <si>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</si>
  <si>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</si>
  <si>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</si>
  <si>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</si>
  <si>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</si>
  <si>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</si>
  <si>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</si>
  <si>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</si>
  <si>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</si>
  <si>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</si>
  <si>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</si>
  <si>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</si>
  <si>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</si>
  <si>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</si>
  <si>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</si>
  <si>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</si>
  <si>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</si>
  <si>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</si>
  <si>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</si>
  <si>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</si>
  <si>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</si>
  <si>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</si>
  <si>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</si>
  <si>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</si>
  <si>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</si>
  <si>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</si>
  <si>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</si>
  <si>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</si>
  <si>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</si>
  <si>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</si>
  <si>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</si>
  <si>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</si>
  <si>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</si>
  <si>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</si>
  <si>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</si>
  <si>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</si>
  <si>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</si>
  <si>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</si>
  <si>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</si>
  <si>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</si>
  <si>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</si>
  <si>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</si>
  <si>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</si>
  <si>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</si>
  <si>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</si>
  <si>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</si>
  <si>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</si>
  <si>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</si>
  <si>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</si>
  <si>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</si>
  <si>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</si>
  <si>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</si>
  <si>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</si>
  <si>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</si>
  <si>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</si>
  <si>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</si>
  <si>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</si>
  <si>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</si>
  <si>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</si>
  <si>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</si>
  <si>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</si>
  <si>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</si>
  <si>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</si>
  <si>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</si>
  <si>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</si>
  <si>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</si>
  <si>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</si>
  <si>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</si>
  <si>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</si>
  <si>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</si>
  <si>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</si>
  <si>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</si>
  <si>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</si>
  <si>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</si>
  <si>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</si>
  <si>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</si>
  <si>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</si>
  <si>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</si>
  <si>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</si>
  <si>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</si>
  <si>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</si>
  <si>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</si>
  <si>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</si>
  <si>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</si>
  <si>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</si>
  <si>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</si>
  <si>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</si>
  <si>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</si>
  <si>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</si>
  <si>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</si>
  <si>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</si>
  <si>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</si>
  <si>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</si>
  <si>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</si>
  <si>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</si>
  <si>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</si>
  <si>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</si>
  <si>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</si>
  <si>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</si>
  <si>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</si>
  <si>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</si>
  <si>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</si>
  <si>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</si>
  <si>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</si>
  <si>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</si>
  <si>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</si>
  <si>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</si>
  <si>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</si>
  <si>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</si>
  <si>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</si>
  <si>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</si>
  <si>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</si>
  <si>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</si>
  <si>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</si>
  <si>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</si>
  <si>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</si>
  <si>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</si>
  <si>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</si>
  <si>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</si>
  <si>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</si>
  <si>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</si>
  <si>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</si>
  <si>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</si>
  <si>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</si>
  <si>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</si>
  <si>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</si>
  <si>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</si>
  <si>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</si>
  <si>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</si>
  <si>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</si>
  <si>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</si>
  <si>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</si>
  <si>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</si>
  <si>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</si>
  <si>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</si>
  <si>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</si>
  <si>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</si>
  <si>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</si>
  <si>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</si>
  <si>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</si>
  <si>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</si>
  <si>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</si>
  <si>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</si>
  <si>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</si>
  <si>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</si>
  <si>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</si>
  <si>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</si>
  <si>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</si>
  <si>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</si>
  <si>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</si>
  <si>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</si>
  <si>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</si>
  <si>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</si>
  <si>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</si>
  <si>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</si>
  <si>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</si>
  <si>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</si>
  <si>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</si>
  <si>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</si>
  <si>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</si>
  <si>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</si>
  <si>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</si>
  <si>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</si>
  <si>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</si>
  <si>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</si>
  <si>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</si>
  <si>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</si>
  <si>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</si>
  <si>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</si>
  <si>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</si>
  <si>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</si>
  <si>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</si>
  <si>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</si>
  <si>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</si>
  <si>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</si>
  <si>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</si>
  <si>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</si>
  <si>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</si>
  <si>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</si>
  <si>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</si>
  <si>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</si>
  <si>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</si>
  <si>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</si>
  <si>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</si>
  <si>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</si>
  <si>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</si>
  <si>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</si>
  <si>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</si>
  <si>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</si>
  <si>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</si>
  <si>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</si>
  <si>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</si>
  <si>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</si>
  <si>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</si>
  <si>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</si>
  <si>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</si>
  <si>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</si>
  <si>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</si>
  <si>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</si>
  <si>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</si>
  <si>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</si>
  <si>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</si>
  <si>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</si>
  <si>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</si>
  <si>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</si>
  <si>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</si>
  <si>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</si>
  <si>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</si>
  <si>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</si>
  <si>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</si>
  <si>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</si>
  <si>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</si>
  <si>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</si>
  <si>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</si>
  <si>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</si>
  <si>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</si>
  <si>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</si>
  <si>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</si>
  <si>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</si>
  <si>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</si>
  <si>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</si>
  <si>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</si>
  <si>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</si>
  <si>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</si>
  <si>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</si>
  <si>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</si>
  <si>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</si>
  <si>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</si>
  <si>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</si>
  <si>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</si>
  <si>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</si>
  <si>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</si>
  <si>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</si>
  <si>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</si>
  <si>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</si>
  <si>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</si>
  <si>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</si>
  <si>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</si>
  <si>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</si>
  <si>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</si>
  <si>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</si>
  <si>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</si>
  <si>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</si>
  <si>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</si>
  <si>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</si>
  <si>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</si>
  <si>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</si>
  <si>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</si>
  <si>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</si>
  <si>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</si>
  <si>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</si>
  <si>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</si>
  <si>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</si>
  <si>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</si>
  <si>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</si>
  <si>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</si>
  <si>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</si>
  <si>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</si>
  <si>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</si>
  <si>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</si>
  <si>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</si>
  <si>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</si>
  <si>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</si>
  <si>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</si>
  <si>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</si>
  <si>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</si>
  <si>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</si>
  <si>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</si>
  <si>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</si>
  <si>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</si>
  <si>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</si>
  <si>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</si>
  <si>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</si>
  <si>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</si>
  <si>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</si>
  <si>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</si>
  <si>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</si>
  <si>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</si>
  <si>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</si>
  <si>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</si>
  <si>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</si>
  <si>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</si>
  <si>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</si>
  <si>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</si>
  <si>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</si>
  <si>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</si>
  <si>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</si>
  <si>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</si>
  <si>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</si>
  <si>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</si>
  <si>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</si>
  <si>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</si>
  <si>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</si>
  <si>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</si>
  <si>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</si>
  <si>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</si>
  <si>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</si>
  <si>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</si>
  <si>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</si>
  <si>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</si>
  <si>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</si>
  <si>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</si>
  <si>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</si>
  <si>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</si>
  <si>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</si>
  <si>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</si>
  <si>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</si>
  <si>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</si>
  <si>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</si>
  <si>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</si>
  <si>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</si>
  <si>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</si>
  <si>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</si>
  <si>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</si>
  <si>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</si>
  <si>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</si>
  <si>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</si>
  <si>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</si>
  <si>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</si>
  <si>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</si>
  <si>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</si>
  <si>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</si>
  <si>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</si>
  <si>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</si>
  <si>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</si>
  <si>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</si>
  <si>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</si>
  <si>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</si>
  <si>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</si>
  <si>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</si>
  <si>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</si>
  <si>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</si>
  <si>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</si>
  <si>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</si>
  <si>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</si>
  <si>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</si>
  <si>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</si>
  <si>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</si>
  <si>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</si>
  <si>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</si>
  <si>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</si>
  <si>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</si>
  <si>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</si>
  <si>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</si>
  <si>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</si>
  <si>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</si>
  <si>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</si>
  <si>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</si>
  <si>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</si>
  <si>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</si>
  <si>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</si>
  <si>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</si>
  <si>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</si>
  <si>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</si>
  <si>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</si>
  <si>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</si>
  <si>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</si>
  <si>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</si>
  <si>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</si>
  <si>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</si>
  <si>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</si>
  <si>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</si>
  <si>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</si>
  <si>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</si>
  <si>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</si>
  <si>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</si>
  <si>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</si>
  <si>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</si>
  <si>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</si>
  <si>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</si>
  <si>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</si>
  <si>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</si>
  <si>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</si>
  <si>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</si>
  <si>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</si>
  <si>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</si>
  <si>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</si>
  <si>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</si>
  <si>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</si>
  <si>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</si>
  <si>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</si>
  <si>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</si>
  <si>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</si>
  <si>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</si>
  <si>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</si>
  <si>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</si>
  <si>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</si>
  <si>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</si>
  <si>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</si>
  <si>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</si>
  <si>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</si>
  <si>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</si>
  <si>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</si>
  <si>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</si>
  <si>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</si>
  <si>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</si>
  <si>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</si>
  <si>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</si>
  <si>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</si>
  <si>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</si>
  <si>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</si>
  <si>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</si>
  <si>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</si>
  <si>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</si>
  <si>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</si>
  <si>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</si>
  <si>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</si>
  <si>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</si>
  <si>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</si>
  <si>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</si>
  <si>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</si>
  <si>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</si>
  <si>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</si>
  <si>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</si>
  <si>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</si>
  <si>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</si>
  <si>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</si>
  <si>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</si>
  <si>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</si>
  <si>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</si>
  <si>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</si>
  <si>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</si>
  <si>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</si>
  <si>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</si>
  <si>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</si>
  <si>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</si>
  <si>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</si>
  <si>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</si>
  <si>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</si>
  <si>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</si>
  <si>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</si>
  <si>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</si>
  <si>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</si>
  <si>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</si>
  <si>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</si>
  <si>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</si>
  <si>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</si>
  <si>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</si>
  <si>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</si>
  <si>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</si>
  <si>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</si>
  <si>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</si>
  <si>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</si>
  <si>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</si>
  <si>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</si>
  <si>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</si>
  <si>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</si>
  <si>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</si>
  <si>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</si>
  <si>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</si>
  <si>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</si>
  <si>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</si>
  <si>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</si>
  <si>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</si>
  <si>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</si>
  <si>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</si>
  <si>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</si>
  <si>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</si>
  <si>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</si>
  <si>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</si>
  <si>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</si>
  <si>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</si>
  <si>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</si>
  <si>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</si>
  <si>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</si>
  <si>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</si>
  <si>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</si>
  <si>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</si>
  <si>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</si>
  <si>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</si>
  <si>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</si>
  <si>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</si>
  <si>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</si>
  <si>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</si>
  <si>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</si>
  <si>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</si>
  <si>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</si>
  <si>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</si>
  <si>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</si>
  <si>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</si>
  <si>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</si>
  <si>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</si>
  <si>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</si>
  <si>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</si>
  <si>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</si>
  <si>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</si>
  <si>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</si>
  <si>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</si>
  <si>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</si>
  <si>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</si>
  <si>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</si>
  <si>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</si>
  <si>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</si>
  <si>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</si>
  <si>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</si>
  <si>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</si>
  <si>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</si>
  <si>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</si>
  <si>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</si>
  <si>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</si>
  <si>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</si>
  <si>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</si>
  <si>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</si>
  <si>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</si>
  <si>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</si>
  <si>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</si>
  <si>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</si>
  <si>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</si>
  <si>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</si>
  <si>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</si>
  <si>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</si>
  <si>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</si>
  <si>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</si>
  <si>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</si>
  <si>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</si>
  <si>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</si>
  <si>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</si>
  <si>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</si>
  <si>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</si>
  <si>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</si>
  <si>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</si>
  <si>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</si>
  <si>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</si>
  <si>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</si>
  <si>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</si>
  <si>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</si>
  <si>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</si>
  <si>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</si>
  <si>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</si>
  <si>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</si>
  <si>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</si>
  <si>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</si>
  <si>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</si>
  <si>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</si>
  <si>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</si>
  <si>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</si>
  <si>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</si>
  <si>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</si>
  <si>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</si>
  <si>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</si>
  <si>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</si>
  <si>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</si>
  <si>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</si>
  <si>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</si>
  <si>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</si>
  <si>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</si>
  <si>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</si>
  <si>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</si>
  <si>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</si>
  <si>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</si>
  <si>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</si>
  <si>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</si>
  <si>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</si>
  <si>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</si>
  <si>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</si>
  <si>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</si>
  <si>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</si>
  <si>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</si>
  <si>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</si>
  <si>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</si>
  <si>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</si>
  <si>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</si>
  <si>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</si>
  <si>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</si>
  <si>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</si>
  <si>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</si>
  <si>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</si>
  <si>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</si>
  <si>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</si>
  <si>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</si>
  <si>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</si>
  <si>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</si>
  <si>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</si>
  <si>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</si>
  <si>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</si>
  <si>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</si>
  <si>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</si>
  <si>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</si>
  <si>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</si>
  <si>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</si>
  <si>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</si>
  <si>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</si>
  <si>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</si>
  <si>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</si>
  <si>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</si>
  <si>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</si>
  <si>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</si>
  <si>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</si>
  <si>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</si>
  <si>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</si>
  <si>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</si>
  <si>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</si>
  <si>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</si>
  <si>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</si>
  <si>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</si>
  <si>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</si>
  <si>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</si>
  <si>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</si>
  <si>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</si>
  <si>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</si>
  <si>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</si>
  <si>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</si>
  <si>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</si>
  <si>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</si>
  <si>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</si>
  <si>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</si>
  <si>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</si>
  <si>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</si>
  <si>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</si>
  <si>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</si>
  <si>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</si>
  <si>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</si>
  <si>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</si>
  <si>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</si>
  <si>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</si>
  <si>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</si>
  <si>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</si>
  <si>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</si>
  <si>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</si>
  <si>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</si>
  <si>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</si>
  <si>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</si>
  <si>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</si>
  <si>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</si>
  <si>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</si>
  <si>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</si>
  <si>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</si>
  <si>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</si>
  <si>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</si>
  <si>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</si>
  <si>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</si>
  <si>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</si>
  <si>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</si>
  <si>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</si>
  <si>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</si>
  <si>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</si>
  <si>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</si>
  <si>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</si>
  <si>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</si>
  <si>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</si>
  <si>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</si>
  <si>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</si>
  <si>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</si>
  <si>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</si>
  <si>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</si>
  <si>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</si>
  <si>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</si>
  <si>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</si>
  <si>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</si>
  <si>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</si>
  <si>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</si>
  <si>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</si>
  <si>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</si>
  <si>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</si>
  <si>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</si>
  <si>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</si>
  <si>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</si>
  <si>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</si>
  <si>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</si>
  <si>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</si>
  <si>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</si>
  <si>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</si>
  <si>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</si>
  <si>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</si>
  <si>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</si>
  <si>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</si>
  <si>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</si>
  <si>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</si>
  <si>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</si>
  <si>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</si>
  <si>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</si>
  <si>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</si>
  <si>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</si>
  <si>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</si>
  <si>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</si>
  <si>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</si>
  <si>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</si>
  <si>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</si>
  <si>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</si>
  <si>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</si>
  <si>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</si>
  <si>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</si>
  <si>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</si>
  <si>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</si>
  <si>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</si>
  <si>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</si>
  <si>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</si>
  <si>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</si>
  <si>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</si>
  <si>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</si>
  <si>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</si>
  <si>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</si>
  <si>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</si>
  <si>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</si>
  <si>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</si>
  <si>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</si>
  <si>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</si>
  <si>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</si>
  <si>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</si>
  <si>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</si>
  <si>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</si>
  <si>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</si>
  <si>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</si>
  <si>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</si>
  <si>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</si>
  <si>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</si>
  <si>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</si>
  <si>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</si>
  <si>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</si>
  <si>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</si>
  <si>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</si>
  <si>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</si>
  <si>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</si>
  <si>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</si>
  <si>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</si>
  <si>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</si>
  <si>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</si>
  <si>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</si>
  <si>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</si>
  <si>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</si>
  <si>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</si>
  <si>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</si>
  <si>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</si>
  <si>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</si>
  <si>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</si>
  <si>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</si>
  <si>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</si>
  <si>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</si>
  <si>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</si>
  <si>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</si>
  <si>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</si>
  <si>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</si>
  <si>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</si>
  <si>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</si>
  <si>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</si>
  <si>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</si>
  <si>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</si>
  <si>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</si>
  <si>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</si>
  <si>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</si>
  <si>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</si>
  <si>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</si>
  <si>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</si>
  <si>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</si>
  <si>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</si>
  <si>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</si>
  <si>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</si>
  <si>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</si>
  <si>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</si>
  <si>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</si>
  <si>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</si>
  <si>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</si>
  <si>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</si>
  <si>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</si>
  <si>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</si>
  <si>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</si>
  <si>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</si>
  <si>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</si>
  <si>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</si>
  <si>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</si>
  <si>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</si>
  <si>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</si>
  <si>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</si>
  <si>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</si>
  <si>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</si>
  <si>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</si>
  <si>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</si>
  <si>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</si>
  <si>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</si>
  <si>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</si>
  <si>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</si>
  <si>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</si>
  <si>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</si>
  <si>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</si>
  <si>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</si>
  <si>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</si>
  <si>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</si>
  <si>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</si>
  <si>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</si>
  <si>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</si>
  <si>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</si>
  <si>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</si>
  <si>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</si>
  <si>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</si>
  <si>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</si>
  <si>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</si>
  <si>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</si>
  <si>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</si>
  <si>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</si>
  <si>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</si>
  <si>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</si>
  <si>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</si>
  <si>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</si>
  <si>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</si>
  <si>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</si>
  <si>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</si>
  <si>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</si>
  <si>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</si>
  <si>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</si>
  <si>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</si>
  <si>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</si>
  <si>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</si>
  <si>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</si>
  <si>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</si>
  <si>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</si>
  <si>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</si>
  <si>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</si>
  <si>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</si>
  <si>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</si>
  <si>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</si>
  <si>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</si>
  <si>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</si>
  <si>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</si>
  <si>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</si>
  <si>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</si>
  <si>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</si>
  <si>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</si>
  <si>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</si>
  <si>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</si>
  <si>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</si>
  <si>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</si>
  <si>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</si>
  <si>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</si>
  <si>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</si>
  <si>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</si>
  <si>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</si>
  <si>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</si>
  <si>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</si>
  <si>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</si>
  <si>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</si>
  <si>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</si>
  <si>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</si>
  <si>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</si>
  <si>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</si>
  <si>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</si>
  <si>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</si>
  <si>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</si>
  <si>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</si>
  <si>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</si>
  <si>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</si>
  <si>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</si>
  <si>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</si>
  <si>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</si>
  <si>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</si>
  <si>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</si>
  <si>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</si>
  <si>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</si>
  <si>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</si>
  <si>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</si>
  <si>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</si>
  <si>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</si>
  <si>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</si>
  <si>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</si>
  <si>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</si>
  <si>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</si>
  <si>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</si>
  <si>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</si>
  <si>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</si>
  <si>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</si>
  <si>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</si>
  <si>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</si>
  <si>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</si>
  <si>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</si>
  <si>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</si>
  <si>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</si>
  <si>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</si>
  <si>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</si>
  <si>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</si>
  <si>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</si>
  <si>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</si>
  <si>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</si>
  <si>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</si>
  <si>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</si>
  <si>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</si>
  <si>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</si>
  <si>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</si>
  <si>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</si>
  <si>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</si>
  <si>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</si>
  <si>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</si>
  <si>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</si>
  <si>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</si>
  <si>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</si>
  <si>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</si>
  <si>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</si>
  <si>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</si>
  <si>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</si>
  <si>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</si>
  <si>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</si>
  <si>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</si>
  <si>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</si>
  <si>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</si>
  <si>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</si>
  <si>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</si>
  <si>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</si>
  <si>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</si>
  <si>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</si>
  <si>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</si>
  <si>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</si>
  <si>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</si>
  <si>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</si>
  <si>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</si>
  <si>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</si>
  <si>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</si>
  <si>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</si>
  <si>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</si>
  <si>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</si>
  <si>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</si>
  <si>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</si>
  <si>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</si>
  <si>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</si>
  <si>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</si>
  <si>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</si>
  <si>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</si>
  <si>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</si>
  <si>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</si>
  <si>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</si>
  <si>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</si>
  <si>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</si>
  <si>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</si>
  <si>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</si>
  <si>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</si>
  <si>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</si>
  <si>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</si>
  <si>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</si>
  <si>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</si>
  <si>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</si>
  <si>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</si>
  <si>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</si>
  <si>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</si>
  <si>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</si>
  <si>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</si>
  <si>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</si>
  <si>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</si>
  <si>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</si>
  <si>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</si>
  <si>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</si>
  <si>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</si>
  <si>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</si>
  <si>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</si>
  <si>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</si>
  <si>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</si>
  <si>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</si>
  <si>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</si>
  <si>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</si>
  <si>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</si>
  <si>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</si>
  <si>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</si>
  <si>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</si>
  <si>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</si>
  <si>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</si>
  <si>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</si>
  <si>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</si>
  <si>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</si>
  <si>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</si>
  <si>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</si>
  <si>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</si>
  <si>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</si>
  <si>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</si>
  <si>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</si>
  <si>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</si>
  <si>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</si>
  <si>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</si>
  <si>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</si>
  <si>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</si>
  <si>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</si>
  <si>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</si>
  <si>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</si>
  <si>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</si>
  <si>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</si>
  <si>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</si>
  <si>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</si>
  <si>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</si>
  <si>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</si>
  <si>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</si>
  <si>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</si>
  <si>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</si>
  <si>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</si>
  <si>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</si>
  <si>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</si>
  <si>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</si>
  <si>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</si>
  <si>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</si>
  <si>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</si>
  <si>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</si>
  <si>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</si>
  <si>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</si>
  <si>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</si>
  <si>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</si>
  <si>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</si>
  <si>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</si>
  <si>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</si>
  <si>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</si>
  <si>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</si>
  <si>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</si>
  <si>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</si>
  <si>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</si>
  <si>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</si>
  <si>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</si>
  <si>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</si>
  <si>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</si>
  <si>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</si>
  <si>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</si>
  <si>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</si>
  <si>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</si>
  <si>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</si>
  <si>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</si>
  <si>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</si>
  <si>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</si>
  <si>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</si>
  <si>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</si>
  <si>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</si>
  <si>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</si>
  <si>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</si>
  <si>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</si>
  <si>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</si>
  <si>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</si>
  <si>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</si>
  <si>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</si>
  <si>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</si>
  <si>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</si>
  <si>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</si>
  <si>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</si>
  <si>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</si>
  <si>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</si>
  <si>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</si>
  <si>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</si>
  <si>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</si>
  <si>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</si>
  <si>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</si>
  <si>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</si>
  <si>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</si>
  <si>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</si>
  <si>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</si>
  <si>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</si>
  <si>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</si>
  <si>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</si>
  <si>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</si>
  <si>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</si>
  <si>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</si>
  <si>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</si>
  <si>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</si>
  <si>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</si>
  <si>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</si>
  <si>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</si>
  <si>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</si>
  <si>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</si>
  <si>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</si>
  <si>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</si>
  <si>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</si>
  <si>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</si>
  <si>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</si>
  <si>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</si>
  <si>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</si>
  <si>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</si>
  <si>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</si>
  <si>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</si>
  <si>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</si>
  <si>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</si>
  <si>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</si>
  <si>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</si>
  <si>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</si>
  <si>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</si>
  <si>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</si>
  <si>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</si>
  <si>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</si>
  <si>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</si>
  <si>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</si>
  <si>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</si>
  <si>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</si>
  <si>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</si>
  <si>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</si>
  <si>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</si>
  <si>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</si>
  <si>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</si>
  <si>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</si>
  <si>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</si>
  <si>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</si>
  <si>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</si>
  <si>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</si>
  <si>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</si>
  <si>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</si>
  <si>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</si>
  <si>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</si>
  <si>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</si>
  <si>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</si>
  <si>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</si>
  <si>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</si>
  <si>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</si>
  <si>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</si>
  <si>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</si>
  <si>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</si>
  <si>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</si>
  <si>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</si>
  <si>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</si>
  <si>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</si>
  <si>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</si>
  <si>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</si>
  <si>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</si>
  <si>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</si>
  <si>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</si>
  <si>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</si>
  <si>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</si>
  <si>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</si>
  <si>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</si>
  <si>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</si>
  <si>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</si>
  <si>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</si>
  <si>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</si>
  <si>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</si>
  <si>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</si>
  <si>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</si>
  <si>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</si>
  <si>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</si>
  <si>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</si>
  <si>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</si>
  <si>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</si>
  <si>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</si>
  <si>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</si>
  <si>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</si>
  <si>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</si>
  <si>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</si>
  <si>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</si>
  <si>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</si>
  <si>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</si>
  <si>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</si>
  <si>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</si>
  <si>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</si>
  <si>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</si>
  <si>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</si>
  <si>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</si>
  <si>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</si>
  <si>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</si>
  <si>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</si>
  <si>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</si>
  <si>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</si>
  <si>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</si>
  <si>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</si>
  <si>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</si>
  <si>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</si>
  <si>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</si>
  <si>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</si>
  <si>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</si>
  <si>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</si>
  <si>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</si>
  <si>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</si>
  <si>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</si>
  <si>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</si>
  <si>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</si>
  <si>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</si>
  <si>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</si>
  <si>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</si>
  <si>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</si>
  <si>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</si>
  <si>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</si>
  <si>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</si>
  <si>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</si>
  <si>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</si>
  <si>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</si>
  <si>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</si>
  <si>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</si>
  <si>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</si>
  <si>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</si>
  <si>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</si>
  <si>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</si>
  <si>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</si>
  <si>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</si>
  <si>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</si>
  <si>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</si>
  <si>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</si>
  <si>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</si>
  <si>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</si>
  <si>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</si>
  <si>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</si>
  <si>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</si>
  <si>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</si>
  <si>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</si>
  <si>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</si>
  <si>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</si>
  <si>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</si>
  <si>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</si>
  <si>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</si>
  <si>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</si>
  <si>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</si>
  <si>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</si>
  <si>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</si>
  <si>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</si>
  <si>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</si>
  <si>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</si>
  <si>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</si>
  <si>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</si>
  <si>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</si>
  <si>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</si>
  <si>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</si>
  <si>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</si>
  <si>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</si>
  <si>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</si>
  <si>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</si>
  <si>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</si>
  <si>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</si>
  <si>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</si>
  <si>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</si>
  <si>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</si>
  <si>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</si>
  <si>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</si>
  <si>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</si>
  <si>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</si>
  <si>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</si>
  <si>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</si>
  <si>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</si>
  <si>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</si>
  <si>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</si>
  <si>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</si>
  <si>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</si>
  <si>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</si>
  <si>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</si>
  <si>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</si>
  <si>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</si>
  <si>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</si>
  <si>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</si>
  <si>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</si>
  <si>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</si>
  <si>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</si>
  <si>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</si>
  <si>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</si>
  <si>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</si>
  <si>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</si>
  <si>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</si>
  <si>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</si>
  <si>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</si>
  <si>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</si>
  <si>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</si>
  <si>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</si>
  <si>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</si>
  <si>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</si>
  <si>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</si>
  <si>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</si>
  <si>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</si>
  <si>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</si>
  <si>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</si>
  <si>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</si>
  <si>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</si>
  <si>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</si>
  <si>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</si>
  <si>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</si>
  <si>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</si>
  <si>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</si>
  <si>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</si>
  <si>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</si>
  <si>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</si>
  <si>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</si>
  <si>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</si>
  <si>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</si>
  <si>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</si>
  <si>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</si>
  <si>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</si>
  <si>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</si>
  <si>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</si>
  <si>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</si>
  <si>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</si>
  <si>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</si>
  <si>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</si>
  <si>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</si>
  <si>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</si>
  <si>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</si>
  <si>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</si>
  <si>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</si>
  <si>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</si>
  <si>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</si>
  <si>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</si>
  <si>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</si>
  <si>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</si>
  <si>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</si>
  <si>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</si>
  <si>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</si>
  <si>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</si>
  <si>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</si>
  <si>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</si>
  <si>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</si>
  <si>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</si>
  <si>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</si>
  <si>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</si>
  <si>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</si>
  <si>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</si>
  <si>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</si>
  <si>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</si>
  <si>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</si>
  <si>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</si>
  <si>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</si>
  <si>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</si>
  <si>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</si>
  <si>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</si>
  <si>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</si>
  <si>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</si>
  <si>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</si>
  <si>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</si>
  <si>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</si>
  <si>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</si>
  <si>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</si>
  <si>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</si>
  <si>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</si>
  <si>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</si>
  <si>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</si>
  <si>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</si>
  <si>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</si>
  <si>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</si>
  <si>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</si>
  <si>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</si>
  <si>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</si>
  <si>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</si>
  <si>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</si>
  <si>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</si>
  <si>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</si>
  <si>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</si>
  <si>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</si>
  <si>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</si>
  <si>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</si>
  <si>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</si>
  <si>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</si>
  <si>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</si>
  <si>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</si>
  <si>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</si>
  <si>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</si>
  <si>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</si>
  <si>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</si>
  <si>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</si>
  <si>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</si>
  <si>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</si>
  <si>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</si>
  <si>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</si>
  <si>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</si>
  <si>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</si>
  <si>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</si>
  <si>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</si>
  <si>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</si>
  <si>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</si>
  <si>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</si>
  <si>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</si>
  <si>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</si>
  <si>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</si>
  <si>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</si>
  <si>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</si>
  <si>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</si>
  <si>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</si>
  <si>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</si>
  <si>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</si>
  <si>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</si>
  <si>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</si>
  <si>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</si>
  <si>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</si>
  <si>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</si>
  <si>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</si>
  <si>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</si>
  <si>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</si>
  <si>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</si>
  <si>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</si>
  <si>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</si>
  <si>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</si>
  <si>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</si>
  <si>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</si>
  <si>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</si>
  <si>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</si>
  <si>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</si>
  <si>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</si>
  <si>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</si>
  <si>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</si>
  <si>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</si>
  <si>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</si>
  <si>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</si>
  <si>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</si>
  <si>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</si>
  <si>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</si>
  <si>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</si>
  <si>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</si>
  <si>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</si>
  <si>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</si>
  <si>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</si>
  <si>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</si>
  <si>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</si>
  <si>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</si>
  <si>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</si>
  <si>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</si>
  <si>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</si>
  <si>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</si>
  <si>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</si>
  <si>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</si>
  <si>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</si>
  <si>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</si>
  <si>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</si>
  <si>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</si>
  <si>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</si>
  <si>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</si>
  <si>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</si>
  <si>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</si>
  <si>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</si>
  <si>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</si>
  <si>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</si>
  <si>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</si>
  <si>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</si>
  <si>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</si>
  <si>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</si>
  <si>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</si>
  <si>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</si>
  <si>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</si>
  <si>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</si>
  <si>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</si>
  <si>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</si>
  <si>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</si>
  <si>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</si>
  <si>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</si>
  <si>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</si>
  <si>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</si>
  <si>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</si>
  <si>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</si>
  <si>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</si>
  <si>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</si>
  <si>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</si>
  <si>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</si>
  <si>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</si>
  <si>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</si>
  <si>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</si>
  <si>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</si>
  <si>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</si>
  <si>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</si>
  <si>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</si>
  <si>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</si>
  <si>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</si>
  <si>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</si>
  <si>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</si>
  <si>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</si>
  <si>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</si>
  <si>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</si>
  <si>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</si>
  <si>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</si>
  <si>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</si>
  <si>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</si>
  <si>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</si>
  <si>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</si>
  <si>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</si>
  <si>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</si>
  <si>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</si>
  <si>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</si>
  <si>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</si>
  <si>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</si>
  <si>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</si>
  <si>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</si>
  <si>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</si>
  <si>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</si>
  <si>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</si>
  <si>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</si>
  <si>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</si>
  <si>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</si>
  <si>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</si>
  <si>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</si>
  <si>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</si>
  <si>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</si>
  <si>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</si>
  <si>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</si>
  <si>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</si>
  <si>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</si>
  <si>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</si>
  <si>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</si>
  <si>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</si>
  <si>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</si>
  <si>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</si>
  <si>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</si>
  <si>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</si>
  <si>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</si>
  <si>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</si>
  <si>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</si>
  <si>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</si>
  <si>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</si>
  <si>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</si>
  <si>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</si>
  <si>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</si>
  <si>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</si>
  <si>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</si>
  <si>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</si>
  <si>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</si>
  <si>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</si>
  <si>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</si>
  <si>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</si>
  <si>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</si>
  <si>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</si>
  <si>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</si>
  <si>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</si>
  <si>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</si>
  <si>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</si>
  <si>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</si>
  <si>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</si>
  <si>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</si>
  <si>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</si>
  <si>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</si>
  <si>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</si>
  <si>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</si>
  <si>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</si>
  <si>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</si>
  <si>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</si>
  <si>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</si>
  <si>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</si>
  <si>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</si>
  <si>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</si>
  <si>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</si>
  <si>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</si>
  <si>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</si>
  <si>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</si>
  <si>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</si>
  <si>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</si>
  <si>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</si>
  <si>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</si>
  <si>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</si>
  <si>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</si>
  <si>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</si>
  <si>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</si>
  <si>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</si>
  <si>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</si>
  <si>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</si>
  <si>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</si>
  <si>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</si>
  <si>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</si>
  <si>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</si>
  <si>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</si>
  <si>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</si>
  <si>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</si>
  <si>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</si>
  <si>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</si>
  <si>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</si>
  <si>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</si>
  <si>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</si>
  <si>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</si>
  <si>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</si>
  <si>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</si>
  <si>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</si>
  <si>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</si>
  <si>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</si>
  <si>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</si>
  <si>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</si>
  <si>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</si>
  <si>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</si>
  <si>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</si>
  <si>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</si>
  <si>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</si>
  <si>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</si>
  <si>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</si>
  <si>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</si>
  <si>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</si>
  <si>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</si>
  <si>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</si>
  <si>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</si>
  <si>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</si>
  <si>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</si>
  <si>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</si>
  <si>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</si>
  <si>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</si>
  <si>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</si>
  <si>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</si>
  <si>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</si>
  <si>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</si>
  <si>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</si>
  <si>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</si>
  <si>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</si>
  <si>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</si>
  <si>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</si>
  <si>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</si>
  <si>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</si>
  <si>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</si>
  <si>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</si>
  <si>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</si>
  <si>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</si>
  <si>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</si>
  <si>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</si>
  <si>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</si>
  <si>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</si>
  <si>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</si>
  <si>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</si>
  <si>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</si>
  <si>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</si>
  <si>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</si>
  <si>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</si>
  <si>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</si>
  <si>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</si>
  <si>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</si>
  <si>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</si>
  <si>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</si>
  <si>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</si>
  <si>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</si>
  <si>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</si>
  <si>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</si>
  <si>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</si>
  <si>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</si>
  <si>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</si>
  <si>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</si>
  <si>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</si>
  <si>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</si>
  <si>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</si>
  <si>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</si>
  <si>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</si>
  <si>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</si>
  <si>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</si>
  <si>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</si>
  <si>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</si>
  <si>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</si>
  <si>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</si>
  <si>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</si>
  <si>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</si>
  <si>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</si>
  <si>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</si>
  <si>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</si>
  <si>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</si>
  <si>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</si>
  <si>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</si>
  <si>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</si>
  <si>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</si>
  <si>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</si>
  <si>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</si>
  <si>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</si>
  <si>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</si>
  <si>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</si>
  <si>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</si>
  <si>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</si>
  <si>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</si>
  <si>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</si>
  <si>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</si>
  <si>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</si>
  <si>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</si>
  <si>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</si>
  <si>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</si>
  <si>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</si>
  <si>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</si>
  <si>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</si>
  <si>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</si>
  <si>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</si>
  <si>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</si>
  <si>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</si>
  <si>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</si>
  <si>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</si>
  <si>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</si>
  <si>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</si>
  <si>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</si>
  <si>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</si>
  <si>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</si>
  <si>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</si>
  <si>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</si>
  <si>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</si>
  <si>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</si>
  <si>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</si>
  <si>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</si>
  <si>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</si>
  <si>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</si>
  <si>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</si>
  <si>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</si>
  <si>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</si>
  <si>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</si>
  <si>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</si>
  <si>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</si>
  <si>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</si>
  <si>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</si>
  <si>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</si>
  <si>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</si>
  <si>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</si>
  <si>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</si>
  <si>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</si>
  <si>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</si>
  <si>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</si>
  <si>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</si>
  <si>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</si>
  <si>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</si>
  <si>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</si>
  <si>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</si>
  <si>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</si>
  <si>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</si>
  <si>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</si>
  <si>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</si>
  <si>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</si>
  <si>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</si>
  <si>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</si>
  <si>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</si>
  <si>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</si>
  <si>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</si>
  <si>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</si>
  <si>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</si>
  <si>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</si>
  <si>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</si>
  <si>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</si>
  <si>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</si>
  <si>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</si>
  <si>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</si>
  <si>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</si>
  <si>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</si>
  <si>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</si>
  <si>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</si>
  <si>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</si>
  <si>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</si>
  <si>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</si>
  <si>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</si>
  <si>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</si>
  <si>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</si>
  <si>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</si>
  <si>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</si>
  <si>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</si>
  <si>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</si>
  <si>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</si>
  <si>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</si>
  <si>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</si>
  <si>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</si>
  <si>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</si>
  <si>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</si>
  <si>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</si>
  <si>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</si>
  <si>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</si>
  <si>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</si>
  <si>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</si>
  <si>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</si>
  <si>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</si>
  <si>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</si>
  <si>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</si>
  <si>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</si>
  <si>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</si>
  <si>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</si>
  <si>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</si>
  <si>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</si>
  <si>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</si>
  <si>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</si>
  <si>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</si>
  <si>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</si>
  <si>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</si>
  <si>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</si>
  <si>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</si>
  <si>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</si>
  <si>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</si>
  <si>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</si>
  <si>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</si>
  <si>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</si>
  <si>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</si>
  <si>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</si>
  <si>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</si>
  <si>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</si>
  <si>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</si>
  <si>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</si>
  <si>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</si>
  <si>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</si>
  <si>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</si>
  <si>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</si>
  <si>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</si>
  <si>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</si>
  <si>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2023-3</t>
    <phoneticPr fontId="3" type="noConversion"/>
  </si>
  <si>
    <t>2024-1</t>
    <phoneticPr fontId="3" type="noConversion"/>
  </si>
  <si>
    <t>2023-4</t>
    <phoneticPr fontId="3" type="noConversion"/>
  </si>
  <si>
    <t>2023-4</t>
    <phoneticPr fontId="3" type="noConversion"/>
  </si>
  <si>
    <t>2024-3</t>
    <phoneticPr fontId="3" type="noConversion"/>
  </si>
  <si>
    <t>郑燚</t>
  </si>
  <si>
    <t>吴薇</t>
  </si>
  <si>
    <t>是</t>
  </si>
  <si>
    <t>序号</t>
  </si>
  <si>
    <t>房号</t>
  </si>
  <si>
    <t>建筑面积</t>
  </si>
  <si>
    <t>分摊土地面积</t>
  </si>
  <si>
    <t>2单元107</t>
  </si>
  <si>
    <t>2单元109</t>
  </si>
  <si>
    <t>2单元115</t>
  </si>
  <si>
    <t>2单元116</t>
  </si>
  <si>
    <t>2单元120</t>
  </si>
  <si>
    <t>2单元121</t>
  </si>
  <si>
    <t>2单元122</t>
  </si>
  <si>
    <t>2单元123</t>
  </si>
  <si>
    <t>2单元126</t>
  </si>
  <si>
    <t>2单元127</t>
  </si>
  <si>
    <t>2单元128</t>
  </si>
  <si>
    <t>2单元129</t>
  </si>
  <si>
    <t>2单元130</t>
  </si>
  <si>
    <t>2单元131</t>
  </si>
  <si>
    <t>2单元132</t>
  </si>
  <si>
    <t>2单元133</t>
  </si>
  <si>
    <t>2单元134</t>
  </si>
  <si>
    <t>2单元150</t>
  </si>
  <si>
    <t>3单元102</t>
  </si>
  <si>
    <t>2单元301</t>
  </si>
  <si>
    <t>2单元302</t>
  </si>
  <si>
    <t>2单元303</t>
  </si>
  <si>
    <t>2单元321</t>
  </si>
  <si>
    <t>2单元322</t>
  </si>
  <si>
    <t>2单元323</t>
  </si>
  <si>
    <t>2单元325</t>
  </si>
  <si>
    <t>2单元326</t>
  </si>
  <si>
    <t>建筑物单价</t>
    <phoneticPr fontId="134" type="noConversion"/>
  </si>
  <si>
    <t>商业2单元107建筑物价值</t>
    <phoneticPr fontId="134" type="noConversion"/>
  </si>
  <si>
    <t>办公2单元301建筑物价值</t>
    <phoneticPr fontId="134" type="noConversion"/>
  </si>
  <si>
    <t>2022年价值</t>
    <phoneticPr fontId="134" type="noConversion"/>
  </si>
  <si>
    <t>出让国有建设用地使用权价值</t>
    <phoneticPr fontId="134" type="noConversion"/>
  </si>
  <si>
    <t>建筑物价值</t>
    <phoneticPr fontId="134" type="noConversion"/>
  </si>
  <si>
    <t>房地产价值（万元）</t>
    <phoneticPr fontId="134" type="noConversion"/>
  </si>
  <si>
    <t>现状用途</t>
    <phoneticPr fontId="134" type="noConversion"/>
  </si>
  <si>
    <t>2022年</t>
    <phoneticPr fontId="134" type="noConversion"/>
  </si>
  <si>
    <t>2023年</t>
    <phoneticPr fontId="134" type="noConversion"/>
  </si>
  <si>
    <t>8米</t>
    <phoneticPr fontId="134" type="noConversion"/>
  </si>
  <si>
    <t>外，朝北</t>
    <phoneticPr fontId="134" type="noConversion"/>
  </si>
  <si>
    <t>通道</t>
    <phoneticPr fontId="134" type="noConversion"/>
  </si>
  <si>
    <t>空置</t>
    <phoneticPr fontId="134" type="noConversion"/>
  </si>
  <si>
    <t>同仁堂</t>
    <phoneticPr fontId="134" type="noConversion"/>
  </si>
  <si>
    <t>6米</t>
    <phoneticPr fontId="134" type="noConversion"/>
  </si>
  <si>
    <t>内</t>
    <phoneticPr fontId="134" type="noConversion"/>
  </si>
  <si>
    <t>人寿</t>
    <phoneticPr fontId="134" type="noConversion"/>
  </si>
  <si>
    <t>御见美</t>
    <phoneticPr fontId="134" type="noConversion"/>
  </si>
  <si>
    <t>名庐</t>
    <phoneticPr fontId="134" type="noConversion"/>
  </si>
  <si>
    <t>福奈特</t>
    <phoneticPr fontId="134" type="noConversion"/>
  </si>
  <si>
    <t>外，朝南</t>
    <phoneticPr fontId="134" type="noConversion"/>
  </si>
  <si>
    <t>浙商银行</t>
    <phoneticPr fontId="134" type="noConversion"/>
  </si>
  <si>
    <t>合计</t>
    <phoneticPr fontId="134" type="noConversion"/>
  </si>
  <si>
    <t>星巴克、二友居</t>
    <phoneticPr fontId="134" type="noConversion"/>
  </si>
  <si>
    <t>外，星巴克朝北、二友居通道</t>
    <phoneticPr fontId="134" type="noConversion"/>
  </si>
  <si>
    <t>优优、二嫂、老诚一锅</t>
    <phoneticPr fontId="134" type="noConversion"/>
  </si>
  <si>
    <t>2.44米</t>
    <phoneticPr fontId="134" type="noConversion"/>
  </si>
  <si>
    <t>打通改造为办公</t>
    <phoneticPr fontId="134" type="noConversion"/>
  </si>
  <si>
    <t>原始公寓状态</t>
    <phoneticPr fontId="134" type="noConversion"/>
  </si>
  <si>
    <t>强卢嘉</t>
    <phoneticPr fontId="134" type="noConversion"/>
  </si>
  <si>
    <t>全家康美</t>
    <phoneticPr fontId="134" type="noConversion"/>
  </si>
  <si>
    <t>空置，马上签合同</t>
    <phoneticPr fontId="134" type="noConversion"/>
  </si>
  <si>
    <t>否</t>
  </si>
  <si>
    <t>地上</t>
  </si>
  <si>
    <t>商业</t>
    <phoneticPr fontId="3" type="noConversion"/>
  </si>
  <si>
    <t>办公</t>
    <phoneticPr fontId="3" type="noConversion"/>
  </si>
  <si>
    <t>成新度</t>
  </si>
  <si>
    <t>建安取值</t>
  </si>
  <si>
    <t>单方建安</t>
  </si>
  <si>
    <t>合计</t>
  </si>
  <si>
    <t>工程进度</t>
  </si>
  <si>
    <t>主体</t>
  </si>
  <si>
    <t>地下</t>
  </si>
  <si>
    <t>装修</t>
  </si>
  <si>
    <t>设备</t>
  </si>
  <si>
    <t>人防</t>
  </si>
  <si>
    <t>综合平均</t>
  </si>
  <si>
    <t>建成年代</t>
  </si>
  <si>
    <t>砖混</t>
  </si>
  <si>
    <t>钢混</t>
  </si>
  <si>
    <t>残值率</t>
  </si>
  <si>
    <t>直线折旧</t>
  </si>
  <si>
    <t>观察成新</t>
  </si>
  <si>
    <t>可租赁</t>
  </si>
  <si>
    <t>单套模式</t>
  </si>
  <si>
    <t>售价</t>
  </si>
  <si>
    <t>挂牌</t>
    <phoneticPr fontId="3" type="noConversion"/>
  </si>
  <si>
    <t>60-70（含）</t>
  </si>
  <si>
    <t>50-60（含）</t>
  </si>
  <si>
    <t>40-50（含）</t>
  </si>
  <si>
    <t>30-40（含）</t>
  </si>
  <si>
    <t>20-30（含）</t>
  </si>
  <si>
    <t>10-20（含）</t>
  </si>
  <si>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</si>
  <si>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</si>
  <si>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</si>
  <si>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</si>
  <si>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</si>
  <si>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</si>
  <si>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</si>
  <si>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</si>
  <si>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标准写字楼</t>
    <phoneticPr fontId="3" type="noConversion"/>
  </si>
  <si>
    <t>高层建筑</t>
    <phoneticPr fontId="3" type="noConversion"/>
  </si>
  <si>
    <t>钢混</t>
    <phoneticPr fontId="3" type="noConversion"/>
  </si>
  <si>
    <t>精装修</t>
    <phoneticPr fontId="3" type="noConversion"/>
  </si>
  <si>
    <t>普装</t>
    <phoneticPr fontId="3" type="noConversion"/>
  </si>
  <si>
    <t>简装</t>
    <phoneticPr fontId="3" type="noConversion"/>
  </si>
  <si>
    <t>毛坯</t>
    <phoneticPr fontId="3" type="noConversion"/>
  </si>
  <si>
    <t>甲级</t>
    <phoneticPr fontId="3" type="noConversion"/>
  </si>
  <si>
    <t>乙级</t>
    <phoneticPr fontId="3" type="noConversion"/>
  </si>
  <si>
    <t>专业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</si>
  <si>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</si>
  <si>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</si>
  <si>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</si>
  <si>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</si>
  <si>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</si>
  <si>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标准</t>
    <phoneticPr fontId="3" type="noConversion"/>
  </si>
  <si>
    <t>西环广场</t>
  </si>
  <si>
    <t>主语国际中心</t>
    <phoneticPr fontId="3" type="noConversion"/>
  </si>
  <si>
    <t>正常</t>
  </si>
  <si>
    <t>办公</t>
    <phoneticPr fontId="31" type="noConversion"/>
  </si>
  <si>
    <t>挂牌</t>
  </si>
  <si>
    <t>估价对象位于西直门商圈，周边商业氛围成熟，有凯德MALL、华联购物中心等，人流量较大，商业繁华度较好</t>
    <phoneticPr fontId="3" type="noConversion"/>
  </si>
  <si>
    <t>估价对象周边办公楼项目较多，有金泰鑫侨大厦、阳光大厦、德宝大厦，入驻率较高，办公集聚程度较好</t>
    <phoneticPr fontId="3" type="noConversion"/>
  </si>
  <si>
    <t>估价对象周边道路状况较好、有7、16、105等公交线路及地铁2、4号线经过，公共交通通达情况较好、停车便捷程度一般，综合评价交通便捷度较好</t>
    <phoneticPr fontId="3" type="noConversion"/>
  </si>
  <si>
    <t>估价对象所在区域公共配套设施齐备情况较好</t>
    <phoneticPr fontId="3" type="noConversion"/>
  </si>
  <si>
    <t>估价对象所在区域基础设施水平七通</t>
    <phoneticPr fontId="3" type="noConversion"/>
  </si>
  <si>
    <t>区域自然环境：北京动物园、官园公园；人文环境：北京天文馆、北京建筑大学；综合评价环境状况较好</t>
    <phoneticPr fontId="3" type="noConversion"/>
  </si>
  <si>
    <r>
      <rPr>
        <sz val="11"/>
        <color theme="9" tint="-0.249977111117893"/>
        <rFont val="宋体"/>
        <family val="3"/>
        <charset val="134"/>
      </rPr>
      <t>主干道</t>
    </r>
    <r>
      <rPr>
        <sz val="11"/>
        <color theme="9" tint="-0.249977111117893"/>
        <rFont val="Arial"/>
        <family val="2"/>
      </rPr>
      <t>-</t>
    </r>
    <r>
      <rPr>
        <sz val="11"/>
        <color theme="9" tint="-0.249977111117893"/>
        <rFont val="宋体"/>
        <family val="3"/>
        <charset val="134"/>
      </rPr>
      <t>西直门外大街</t>
    </r>
    <phoneticPr fontId="3" type="noConversion"/>
  </si>
  <si>
    <t>较好</t>
  </si>
  <si>
    <t>七通</t>
  </si>
  <si>
    <t>主干道</t>
  </si>
  <si>
    <t>西直门外大街</t>
    <phoneticPr fontId="3" type="noConversion"/>
  </si>
  <si>
    <t>首都体育馆南路</t>
    <phoneticPr fontId="31" type="noConversion"/>
  </si>
  <si>
    <t>高层建筑</t>
  </si>
  <si>
    <t>精装修</t>
  </si>
  <si>
    <t>专业</t>
  </si>
  <si>
    <t>五通</t>
  </si>
  <si>
    <t>标准</t>
  </si>
  <si>
    <t>普装</t>
  </si>
  <si>
    <t>标准写字楼</t>
  </si>
  <si>
    <t>押一</t>
  </si>
  <si>
    <t>非生产用房</t>
  </si>
  <si>
    <t>收益法 (元)</t>
  </si>
  <si>
    <t>现房</t>
  </si>
  <si>
    <t>项目局部</t>
  </si>
  <si>
    <t>比较法-办公</t>
  </si>
  <si>
    <t>低区</t>
  </si>
  <si>
    <t>中区</t>
  </si>
  <si>
    <t>高区</t>
  </si>
  <si>
    <t>街角地</t>
    <phoneticPr fontId="3" type="noConversion"/>
  </si>
  <si>
    <t>多面临街</t>
    <phoneticPr fontId="3" type="noConversion"/>
  </si>
  <si>
    <t>双面临街</t>
    <phoneticPr fontId="3" type="noConversion"/>
  </si>
  <si>
    <t>单面临街</t>
    <phoneticPr fontId="3" type="noConversion"/>
  </si>
  <si>
    <t>不临街</t>
    <phoneticPr fontId="3" type="noConversion"/>
  </si>
  <si>
    <t>好</t>
  </si>
  <si>
    <t>一般</t>
  </si>
  <si>
    <t>较差</t>
  </si>
  <si>
    <t>差</t>
  </si>
  <si>
    <t>大</t>
    <phoneticPr fontId="3" type="noConversion"/>
  </si>
  <si>
    <t>较大</t>
    <phoneticPr fontId="3" type="noConversion"/>
  </si>
  <si>
    <t>一般</t>
    <phoneticPr fontId="3" type="noConversion"/>
  </si>
  <si>
    <t>一般</t>
    <phoneticPr fontId="3" type="noConversion"/>
  </si>
  <si>
    <t>较小</t>
    <phoneticPr fontId="3" type="noConversion"/>
  </si>
  <si>
    <t>小</t>
    <phoneticPr fontId="3" type="noConversion"/>
  </si>
  <si>
    <t>配套商业</t>
    <phoneticPr fontId="3" type="noConversion"/>
  </si>
  <si>
    <t>普通装修</t>
    <phoneticPr fontId="3" type="noConversion"/>
  </si>
  <si>
    <t>可餐饮</t>
    <phoneticPr fontId="3" type="noConversion"/>
  </si>
  <si>
    <t>不可餐饮</t>
    <phoneticPr fontId="3" type="noConversion"/>
  </si>
  <si>
    <t>超高</t>
    <phoneticPr fontId="3" type="noConversion"/>
  </si>
  <si>
    <t>标准</t>
    <phoneticPr fontId="3" type="noConversion"/>
  </si>
  <si>
    <t>商业</t>
    <phoneticPr fontId="30" type="noConversion"/>
  </si>
  <si>
    <t>单面临街</t>
  </si>
  <si>
    <t>较好</t>
    <phoneticPr fontId="3" type="noConversion"/>
  </si>
  <si>
    <t>较大</t>
  </si>
  <si>
    <t>配套商业</t>
  </si>
  <si>
    <t>六通</t>
  </si>
  <si>
    <t>可餐饮</t>
  </si>
  <si>
    <t>超高</t>
  </si>
  <si>
    <t>普通装修</t>
  </si>
  <si>
    <t>比较法-商业</t>
  </si>
  <si>
    <t>收益法商</t>
  </si>
  <si>
    <t>收益法商</t>
    <phoneticPr fontId="16" type="noConversion"/>
  </si>
  <si>
    <t>可视性</t>
  </si>
  <si>
    <t>人流量</t>
  </si>
  <si>
    <t>大</t>
  </si>
  <si>
    <t>较小</t>
  </si>
  <si>
    <t>小</t>
  </si>
  <si>
    <t>装修情况</t>
  </si>
  <si>
    <t>简装</t>
  </si>
  <si>
    <t>毛坯</t>
  </si>
  <si>
    <t>层高</t>
  </si>
  <si>
    <t>办公</t>
    <phoneticPr fontId="134" type="noConversion"/>
  </si>
  <si>
    <t>商业</t>
    <phoneticPr fontId="134" type="noConversion"/>
  </si>
  <si>
    <t>楼面单价</t>
  </si>
  <si>
    <t>收益比率</t>
  </si>
  <si>
    <t>2023年</t>
    <phoneticPr fontId="134" type="noConversion"/>
  </si>
  <si>
    <t>玫瑰御园</t>
    <phoneticPr fontId="3" type="noConversion"/>
  </si>
  <si>
    <t>长河湾</t>
    <phoneticPr fontId="3" type="noConversion"/>
  </si>
  <si>
    <t>新街口西里一区</t>
    <phoneticPr fontId="3" type="noConversion"/>
  </si>
  <si>
    <t>金茂中心</t>
    <phoneticPr fontId="31" type="noConversion"/>
  </si>
  <si>
    <t>抵押</t>
  </si>
  <si>
    <t>房地产抵押价值</t>
  </si>
  <si>
    <t>北京市</t>
  </si>
  <si>
    <t>企业</t>
  </si>
  <si>
    <t>2024年</t>
    <phoneticPr fontId="134" type="noConversion"/>
  </si>
  <si>
    <r>
      <t>35-40</t>
    </r>
    <r>
      <rPr>
        <sz val="11"/>
        <rFont val="宋体"/>
        <family val="3"/>
        <charset val="134"/>
      </rPr>
      <t>（含）</t>
    </r>
    <phoneticPr fontId="30" type="noConversion"/>
  </si>
  <si>
    <r>
      <t>30-35</t>
    </r>
    <r>
      <rPr>
        <sz val="11"/>
        <rFont val="宋体"/>
        <family val="3"/>
        <charset val="134"/>
      </rPr>
      <t>（含）</t>
    </r>
    <phoneticPr fontId="30" type="noConversion"/>
  </si>
  <si>
    <r>
      <t>25-30</t>
    </r>
    <r>
      <rPr>
        <sz val="11"/>
        <rFont val="宋体"/>
        <family val="3"/>
        <charset val="134"/>
      </rPr>
      <t>（含）</t>
    </r>
    <phoneticPr fontId="30" type="noConversion"/>
  </si>
  <si>
    <r>
      <t>20-25</t>
    </r>
    <r>
      <rPr>
        <sz val="11"/>
        <rFont val="宋体"/>
        <family val="3"/>
        <charset val="134"/>
      </rPr>
      <t>（含）</t>
    </r>
    <phoneticPr fontId="30" type="noConversion"/>
  </si>
  <si>
    <r>
      <t>20</t>
    </r>
    <r>
      <rPr>
        <sz val="11"/>
        <rFont val="宋体"/>
        <family val="3"/>
        <charset val="134"/>
      </rPr>
      <t>以内</t>
    </r>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</si>
</sst>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0"/>
      <name val="宋体"/>
      <family val="3"/>
      <charset val="134"/>
      <scheme val="minor"/>
    </font>
    <font>
      <sz val="10"/>
      <name val="宋体"/>
      <family val="3"/>
      <charset val="134"/>
      <scheme val="minor"/>
    </font>
    <font>
      <sz val="9"/>
      <name val="Palatino Linotype"/>
      <family val="1"/>
    </font>
    <font>
      <sz val="10"/>
      <color rgb="FF000000"/>
      <name val="Times New Roman"/>
      <family val="1"/>
    </font>
    <font>
      <sz val="11"/>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5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36" fillId="0" borderId="0">
      <alignment vertical="center"/>
    </xf>
    <xf numFmtId="9"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191" fontId="36" fillId="0" borderId="0"/>
    <xf numFmtId="191" fontId="36" fillId="0" borderId="0"/>
    <xf numFmtId="191" fontId="271" fillId="0" borderId="0"/>
    <xf numFmtId="191" fontId="95" fillId="0" borderId="0">
      <alignment vertical="center"/>
    </xf>
    <xf numFmtId="191" fontId="95" fillId="0" borderId="0">
      <alignment vertical="center"/>
    </xf>
    <xf numFmtId="191" fontId="95" fillId="0" borderId="0"/>
    <xf numFmtId="191" fontId="53" fillId="0" borderId="0"/>
    <xf numFmtId="0" fontId="221" fillId="0" borderId="0"/>
    <xf numFmtId="0" fontId="272" fillId="0" borderId="0"/>
    <xf numFmtId="0" fontId="95" fillId="0" borderId="0">
      <alignment vertical="center"/>
    </xf>
    <xf numFmtId="0" fontId="95" fillId="0" borderId="0">
      <alignment vertical="center"/>
    </xf>
    <xf numFmtId="191" fontId="95" fillId="0" borderId="0"/>
    <xf numFmtId="191" fontId="95" fillId="0" borderId="0">
      <alignment vertical="center"/>
    </xf>
    <xf numFmtId="0" fontId="95" fillId="0" borderId="0"/>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cellStyleXfs>
  <cellXfs count="386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179" fontId="269" fillId="0" borderId="1" xfId="8" applyNumberFormat="1" applyFont="1" applyFill="1" applyBorder="1" applyAlignment="1">
      <alignment horizontal="center" vertical="center"/>
    </xf>
    <xf numFmtId="0" fontId="269" fillId="0" borderId="1" xfId="19" applyFont="1" applyFill="1" applyBorder="1" applyAlignment="1">
      <alignment horizontal="center" vertical="center"/>
    </xf>
    <xf numFmtId="0" fontId="270" fillId="0" borderId="1" xfId="19" applyFont="1" applyFill="1" applyBorder="1" applyAlignment="1">
      <alignment horizontal="center" vertical="center"/>
    </xf>
    <xf numFmtId="0" fontId="270" fillId="0" borderId="1" xfId="19" applyFont="1" applyFill="1" applyBorder="1">
      <alignment vertical="center"/>
    </xf>
    <xf numFmtId="179" fontId="270" fillId="0" borderId="1" xfId="8" applyNumberFormat="1" applyFont="1" applyFill="1" applyBorder="1">
      <alignment vertical="center"/>
    </xf>
    <xf numFmtId="177" fontId="270" fillId="0" borderId="1" xfId="8" applyNumberFormat="1" applyFont="1" applyFill="1" applyBorder="1" applyAlignment="1">
      <alignment horizontal="center" vertical="center"/>
    </xf>
    <xf numFmtId="0" fontId="95" fillId="0" borderId="0" xfId="10" applyFill="1">
      <alignment vertical="center"/>
    </xf>
    <xf numFmtId="179" fontId="269" fillId="0" borderId="1" xfId="8" applyNumberFormat="1" applyFont="1" applyFill="1" applyBorder="1">
      <alignment vertical="center"/>
    </xf>
    <xf numFmtId="0" fontId="96" fillId="0" borderId="0" xfId="10" applyFont="1" applyFill="1">
      <alignment vertical="center"/>
    </xf>
    <xf numFmtId="177" fontId="95" fillId="0" borderId="0" xfId="10" applyNumberFormat="1" applyFill="1" applyAlignment="1">
      <alignment horizontal="left" vertical="center"/>
    </xf>
    <xf numFmtId="2" fontId="95" fillId="0" borderId="0" xfId="10" applyNumberFormat="1" applyFill="1">
      <alignment vertical="center"/>
    </xf>
    <xf numFmtId="1" fontId="95" fillId="0" borderId="0" xfId="10" applyNumberFormat="1" applyFill="1" applyAlignment="1">
      <alignment horizontal="left" vertical="center"/>
    </xf>
    <xf numFmtId="0" fontId="95" fillId="0" borderId="0" xfId="10">
      <alignment vertical="center"/>
    </xf>
    <xf numFmtId="0" fontId="47" fillId="12" borderId="1" xfId="10" applyFont="1" applyFill="1" applyBorder="1" applyAlignment="1" applyProtection="1">
      <alignment horizontal="left" vertical="center"/>
      <protection locked="0"/>
    </xf>
    <xf numFmtId="0" fontId="77" fillId="12" borderId="1" xfId="10" applyFont="1" applyFill="1" applyBorder="1" applyAlignment="1" applyProtection="1">
      <alignment horizontal="left" vertical="center"/>
      <protection locked="0"/>
    </xf>
    <xf numFmtId="0" fontId="77" fillId="0" borderId="1" xfId="10" applyFont="1" applyBorder="1" applyAlignment="1" applyProtection="1">
      <alignment horizontal="left" vertical="center"/>
      <protection locked="0"/>
    </xf>
    <xf numFmtId="0" fontId="79" fillId="12" borderId="1" xfId="10" applyFont="1" applyFill="1" applyBorder="1" applyAlignment="1" applyProtection="1">
      <alignment horizontal="left" vertical="center"/>
      <protection locked="0"/>
    </xf>
    <xf numFmtId="0" fontId="52" fillId="12" borderId="1" xfId="10" applyFont="1" applyFill="1" applyBorder="1" applyAlignment="1" applyProtection="1">
      <alignment horizontal="left" vertical="center"/>
      <protection locked="0"/>
    </xf>
    <xf numFmtId="9" fontId="47" fillId="12" borderId="1" xfId="10" applyNumberFormat="1" applyFont="1" applyFill="1" applyBorder="1" applyAlignment="1" applyProtection="1">
      <alignment horizontal="left" vertical="center"/>
      <protection locked="0"/>
    </xf>
    <xf numFmtId="176" fontId="47" fillId="12" borderId="1" xfId="10" applyNumberFormat="1" applyFont="1" applyFill="1" applyBorder="1" applyAlignment="1" applyProtection="1">
      <alignment horizontal="left" vertical="center"/>
      <protection locked="0"/>
    </xf>
    <xf numFmtId="9" fontId="47" fillId="12" borderId="1" xfId="20" applyFont="1" applyFill="1" applyBorder="1" applyAlignment="1" applyProtection="1">
      <alignment horizontal="left" vertical="center"/>
      <protection locked="0"/>
    </xf>
    <xf numFmtId="181" fontId="47" fillId="12" borderId="1" xfId="20" applyNumberFormat="1" applyFont="1" applyFill="1" applyBorder="1" applyAlignment="1" applyProtection="1">
      <alignment horizontal="left" vertical="center"/>
      <protection locked="0"/>
    </xf>
    <xf numFmtId="43" fontId="0" fillId="0" borderId="1" xfId="21" applyFont="1" applyBorder="1">
      <alignment vertical="center"/>
    </xf>
    <xf numFmtId="14" fontId="95" fillId="0" borderId="1" xfId="10" applyNumberFormat="1" applyBorder="1">
      <alignment vertical="center"/>
    </xf>
    <xf numFmtId="0" fontId="95" fillId="0" borderId="1" xfId="10" applyBorder="1">
      <alignment vertical="center"/>
    </xf>
    <xf numFmtId="43" fontId="95" fillId="0" borderId="1" xfId="10" applyNumberFormat="1" applyBorder="1">
      <alignment vertical="center"/>
    </xf>
    <xf numFmtId="43" fontId="95" fillId="0" borderId="1" xfId="10" applyNumberFormat="1" applyBorder="1" applyAlignment="1">
      <alignment horizontal="right" vertical="center"/>
    </xf>
    <xf numFmtId="0" fontId="95" fillId="0" borderId="1" xfId="10" applyBorder="1" applyAlignment="1">
      <alignment horizontal="right" vertical="center"/>
    </xf>
    <xf numFmtId="0" fontId="95" fillId="0" borderId="13" xfId="10" applyBorder="1" applyAlignment="1">
      <alignment horizontal="right" vertical="center"/>
    </xf>
    <xf numFmtId="0" fontId="95" fillId="0" borderId="13" xfId="10" applyBorder="1">
      <alignment vertical="center"/>
    </xf>
    <xf numFmtId="43" fontId="0" fillId="0" borderId="0" xfId="21" applyFont="1">
      <alignment vertical="center"/>
    </xf>
    <xf numFmtId="43" fontId="95" fillId="0" borderId="0" xfId="10" applyNumberFormat="1">
      <alignment vertical="center"/>
    </xf>
    <xf numFmtId="10" fontId="47" fillId="8" borderId="61" xfId="0" applyNumberFormat="1" applyFont="1" applyFill="1" applyBorder="1" applyAlignment="1" applyProtection="1">
      <alignment horizontal="center" vertical="center"/>
    </xf>
    <xf numFmtId="0" fontId="128" fillId="0" borderId="2"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273"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49" fontId="222" fillId="0" borderId="24" xfId="0" applyNumberFormat="1" applyFont="1" applyFill="1" applyBorder="1" applyAlignment="1" applyProtection="1">
      <alignment vertical="center" wrapText="1"/>
      <protection locked="0"/>
    </xf>
    <xf numFmtId="0" fontId="94" fillId="0" borderId="5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10" fontId="44" fillId="0" borderId="37" xfId="0" applyNumberFormat="1" applyFont="1" applyFill="1" applyBorder="1" applyAlignment="1" applyProtection="1">
      <alignment horizontal="center" vertical="center" wrapText="1"/>
      <protection locked="0"/>
    </xf>
    <xf numFmtId="0" fontId="22" fillId="0" borderId="44" xfId="0" applyFont="1" applyBorder="1" applyAlignment="1" applyProtection="1">
      <alignment horizontal="center" vertical="center" wrapText="1"/>
      <protection locked="0"/>
    </xf>
    <xf numFmtId="0" fontId="273" fillId="0" borderId="44" xfId="0" applyFont="1" applyBorder="1" applyAlignment="1" applyProtection="1">
      <alignment horizontal="center" vertical="center" wrapText="1"/>
      <protection locked="0"/>
    </xf>
    <xf numFmtId="0" fontId="70" fillId="0" borderId="51" xfId="0" applyNumberFormat="1" applyFont="1" applyFill="1" applyBorder="1" applyAlignment="1" applyProtection="1">
      <alignment vertical="center" wrapText="1"/>
      <protection locked="0"/>
    </xf>
    <xf numFmtId="179" fontId="44" fillId="16" borderId="23"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269" fillId="0" borderId="5" xfId="19" applyFont="1" applyFill="1" applyBorder="1" applyAlignment="1">
      <alignment horizontal="center" vertical="center"/>
    </xf>
    <xf numFmtId="0" fontId="269" fillId="0" borderId="3" xfId="19" applyFont="1" applyFill="1" applyBorder="1" applyAlignment="1">
      <alignment horizontal="center" vertical="center"/>
    </xf>
    <xf numFmtId="177" fontId="270" fillId="0" borderId="13" xfId="8" applyNumberFormat="1" applyFont="1" applyFill="1" applyBorder="1" applyAlignment="1">
      <alignment horizontal="center" vertical="center"/>
    </xf>
    <xf numFmtId="177" fontId="270" fillId="0" borderId="2" xfId="8" applyNumberFormat="1" applyFont="1" applyFill="1" applyBorder="1" applyAlignment="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50">
    <cellStyle name="Comma 2" xfId="22"/>
    <cellStyle name="Comma 2 2" xfId="23"/>
    <cellStyle name="Comma 2 2 2" xfId="24"/>
    <cellStyle name="Comma 2 2 2 2" xfId="25"/>
    <cellStyle name="Comma 2 2 3" xfId="26"/>
    <cellStyle name="Comma 2 3" xfId="27"/>
    <cellStyle name="Comma 2 3 2" xfId="28"/>
    <cellStyle name="Comma 2 4" xfId="29"/>
    <cellStyle name="Normal 2" xfId="30"/>
    <cellStyle name="Normal 2 2 2" xfId="31"/>
    <cellStyle name="Normal 2 8" xfId="32"/>
    <cellStyle name="Normal 3" xfId="33"/>
    <cellStyle name="Normal 4" xfId="34"/>
    <cellStyle name="Normal 5" xfId="35"/>
    <cellStyle name="Normal_Shangri-La Offices Rental Schedule by 8 units--elevator060803_Shangri-La Offices - Rental Guideline &amp; Leasing Policy 060913draft 2" xfId="36"/>
    <cellStyle name="百分比" xfId="17" builtinId="5"/>
    <cellStyle name="百分比 2" xfId="14"/>
    <cellStyle name="百分比 3" xfId="20"/>
    <cellStyle name="常规" xfId="0" builtinId="0"/>
    <cellStyle name="常规 10" xfId="37"/>
    <cellStyle name="常规 11" xfId="18"/>
    <cellStyle name="常规 12" xfId="38"/>
    <cellStyle name="常规 13" xfId="39"/>
    <cellStyle name="常规 14" xfId="40"/>
    <cellStyle name="常规 16" xfId="10"/>
    <cellStyle name="常规 2" xfId="1"/>
    <cellStyle name="常规 2 2" xfId="8"/>
    <cellStyle name="常规 2 2 2 2 3" xfId="15"/>
    <cellStyle name="常规 2 3" xfId="19"/>
    <cellStyle name="常规 3" xfId="2"/>
    <cellStyle name="常规 3 2" xfId="3"/>
    <cellStyle name="常规 3 2 2" xfId="41"/>
    <cellStyle name="常规 3 3" xfId="42"/>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43"/>
    <cellStyle name="千位分隔 2" xfId="21"/>
    <cellStyle name="千位分隔 2 2" xfId="44"/>
    <cellStyle name="千位分隔 2 2 2" xfId="45"/>
    <cellStyle name="千位分隔 2 3" xfId="46"/>
    <cellStyle name="千位分隔 3" xfId="47"/>
    <cellStyle name="千位分隔 3 2" xfId="48"/>
    <cellStyle name="千位分隔 4" xfId="49"/>
  </cellStyles>
  <dxfs count="248">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6.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23&#26368;&#32456;/2022&#24180;/2022-1-0491-F03&#8212;&#30005;&#31639;&#34920;-&#35199;&#30452;&#38376;&#37329;&#36152;&#20013;&#24515;0915-&#29579;&#26342;20220915-1440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5780;&#20272;/2024-1-0585-&#26085;&#22363;&#36152;&#26131;&#20013;&#24515;/2024-1-0141-&#27979;&#31639;&#34920;-&#21512;&#29983;&#27719;&#21150;&#20844;-&#20928;&#2054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3&#26368;&#32456;/2023-1-0594-F01&#35199;&#30452;&#38376;&#37329;&#36152;&#22823;&#21414;&#24314;&#34892;&#25253;&#21578;2023-&#19968;&#2345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1608;&#24420;/&#25253;&#21578;/2024&#24180;/2024-1-0585-&#26085;&#22363;&#36152;&#26131;&#20013;&#24515;/P01/&#26368;&#32456;/2024-1-0575-&#26085;&#22363;&#22269;&#38469;&#36152;&#26131;&#20013;&#24515;-&#20027;&#34920;-&#20108;&#23457;&#35843;-&#21608;&#24420;20240723-12585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分套价值"/>
      <sheetName val="结果表"/>
      <sheetName val="成本法"/>
      <sheetName val="成本法 (元)"/>
      <sheetName val="假设开发法"/>
      <sheetName val="比较法-办公"/>
      <sheetName val="收益法"/>
      <sheetName val="收益法 (元)"/>
      <sheetName val="收益法-酒店模型"/>
      <sheetName val="收益法（汇总）"/>
      <sheetName val="比较法-住宅"/>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典型户型修正"/>
      <sheetName val="结果表商"/>
      <sheetName val="比较法-商业"/>
      <sheetName val="收益法商"/>
      <sheetName val="典型户型修正商"/>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H8">
            <v>0</v>
          </cell>
          <cell r="I8" t="str">
            <v>0-10（含）</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收益法商</v>
          </cell>
        </row>
        <row r="20">
          <cell r="A20" t="str">
            <v>食堂</v>
          </cell>
          <cell r="B20" t="str">
            <v>基准地价修正商</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8">
          <cell r="C18">
            <v>0</v>
          </cell>
        </row>
        <row r="19">
          <cell r="C19" t="str">
            <v>商业</v>
          </cell>
        </row>
        <row r="20">
          <cell r="C20" t="str">
            <v>办公</v>
          </cell>
        </row>
        <row r="21">
          <cell r="C21">
            <v>0</v>
          </cell>
        </row>
        <row r="22">
          <cell r="C22">
            <v>0</v>
          </cell>
        </row>
        <row r="23">
          <cell r="C23">
            <v>0</v>
          </cell>
        </row>
        <row r="24">
          <cell r="C24">
            <v>0</v>
          </cell>
        </row>
        <row r="25">
          <cell r="C25">
            <v>0</v>
          </cell>
        </row>
        <row r="26">
          <cell r="C26">
            <v>0</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t="str">
            <v>办公</v>
          </cell>
          <cell r="D64">
            <v>0</v>
          </cell>
          <cell r="E64">
            <v>0</v>
          </cell>
          <cell r="F64">
            <v>0</v>
          </cell>
          <cell r="G64">
            <v>0</v>
          </cell>
          <cell r="H64">
            <v>0</v>
          </cell>
          <cell r="I64">
            <v>0</v>
          </cell>
          <cell r="J64">
            <v>0</v>
          </cell>
          <cell r="K64">
            <v>0</v>
          </cell>
          <cell r="L64">
            <v>0</v>
          </cell>
          <cell r="M64">
            <v>0</v>
          </cell>
        </row>
        <row r="87">
          <cell r="B87" t="str">
            <v>毗邻道路的类型与等级</v>
          </cell>
          <cell r="C87" t="str">
            <v>高速路</v>
          </cell>
          <cell r="D87" t="str">
            <v>快速路</v>
          </cell>
          <cell r="E87" t="str">
            <v>主干道</v>
          </cell>
          <cell r="F87" t="str">
            <v>次干道</v>
          </cell>
          <cell r="G87" t="str">
            <v>支路</v>
          </cell>
          <cell r="H87">
            <v>0</v>
          </cell>
          <cell r="I87">
            <v>0</v>
          </cell>
          <cell r="J87">
            <v>0</v>
          </cell>
          <cell r="K87">
            <v>0</v>
          </cell>
          <cell r="L87">
            <v>0</v>
          </cell>
          <cell r="M87">
            <v>0</v>
          </cell>
        </row>
        <row r="89">
          <cell r="B89" t="str">
            <v>楼层</v>
          </cell>
          <cell r="C89" t="str">
            <v>高区</v>
          </cell>
          <cell r="D89" t="str">
            <v>中区</v>
          </cell>
          <cell r="E89" t="str">
            <v>低区</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t="str">
            <v>标准写字楼</v>
          </cell>
          <cell r="D101" t="str">
            <v>高层建筑</v>
          </cell>
          <cell r="E101">
            <v>0</v>
          </cell>
          <cell r="F101">
            <v>0</v>
          </cell>
          <cell r="G101">
            <v>0</v>
          </cell>
          <cell r="H101">
            <v>0</v>
          </cell>
          <cell r="I101">
            <v>0</v>
          </cell>
          <cell r="J101">
            <v>0</v>
          </cell>
          <cell r="K101">
            <v>0</v>
          </cell>
          <cell r="L101">
            <v>0</v>
          </cell>
          <cell r="M101">
            <v>0</v>
          </cell>
        </row>
        <row r="106">
          <cell r="B106" t="str">
            <v>建筑结构</v>
          </cell>
          <cell r="C106" t="str">
            <v>钢混</v>
          </cell>
          <cell r="D106">
            <v>0</v>
          </cell>
          <cell r="E106">
            <v>0</v>
          </cell>
          <cell r="F106">
            <v>0</v>
          </cell>
          <cell r="G106">
            <v>0</v>
          </cell>
          <cell r="H106">
            <v>0</v>
          </cell>
          <cell r="I106">
            <v>0</v>
          </cell>
          <cell r="J106">
            <v>0</v>
          </cell>
          <cell r="K106">
            <v>0</v>
          </cell>
          <cell r="L106">
            <v>0</v>
          </cell>
          <cell r="M106">
            <v>0</v>
          </cell>
        </row>
        <row r="108">
          <cell r="B108" t="str">
            <v>公共部分装修</v>
          </cell>
          <cell r="C108" t="str">
            <v>精装修</v>
          </cell>
          <cell r="D108" t="str">
            <v>普装</v>
          </cell>
          <cell r="E108" t="str">
            <v>简装</v>
          </cell>
          <cell r="F108" t="str">
            <v>毛坯</v>
          </cell>
          <cell r="G108">
            <v>0</v>
          </cell>
          <cell r="H108">
            <v>0</v>
          </cell>
          <cell r="I108">
            <v>0</v>
          </cell>
          <cell r="J108">
            <v>0</v>
          </cell>
          <cell r="K108">
            <v>0</v>
          </cell>
          <cell r="L108">
            <v>0</v>
          </cell>
          <cell r="M108">
            <v>0</v>
          </cell>
        </row>
        <row r="113">
          <cell r="B113" t="str">
            <v>写字楼等级</v>
          </cell>
          <cell r="C113" t="str">
            <v>甲级</v>
          </cell>
          <cell r="D113" t="str">
            <v>乙级</v>
          </cell>
          <cell r="E113">
            <v>0</v>
          </cell>
          <cell r="F113">
            <v>0</v>
          </cell>
          <cell r="G113">
            <v>0</v>
          </cell>
          <cell r="H113">
            <v>0</v>
          </cell>
          <cell r="I113">
            <v>0</v>
          </cell>
          <cell r="J113">
            <v>0</v>
          </cell>
          <cell r="K113">
            <v>0</v>
          </cell>
          <cell r="L113">
            <v>0</v>
          </cell>
          <cell r="M113">
            <v>0</v>
          </cell>
        </row>
        <row r="115">
          <cell r="B115" t="str">
            <v>物业管理</v>
          </cell>
          <cell r="C115" t="str">
            <v>专业</v>
          </cell>
          <cell r="D115">
            <v>0</v>
          </cell>
          <cell r="E115">
            <v>0</v>
          </cell>
          <cell r="F115">
            <v>0</v>
          </cell>
          <cell r="G115">
            <v>0</v>
          </cell>
          <cell r="H115">
            <v>0</v>
          </cell>
          <cell r="I115">
            <v>0</v>
          </cell>
          <cell r="J115">
            <v>0</v>
          </cell>
          <cell r="K115">
            <v>0</v>
          </cell>
          <cell r="L115">
            <v>0</v>
          </cell>
          <cell r="M115">
            <v>0</v>
          </cell>
        </row>
        <row r="117">
          <cell r="B117" t="str">
            <v>市政基础设施</v>
          </cell>
          <cell r="C117" t="str">
            <v>七通</v>
          </cell>
          <cell r="D117" t="str">
            <v>六通</v>
          </cell>
          <cell r="E117" t="str">
            <v>五通</v>
          </cell>
          <cell r="F117" t="str">
            <v>四通</v>
          </cell>
          <cell r="G117" t="str">
            <v>三通</v>
          </cell>
          <cell r="H117">
            <v>0</v>
          </cell>
          <cell r="I117">
            <v>0</v>
          </cell>
          <cell r="J117">
            <v>0</v>
          </cell>
          <cell r="K117">
            <v>0</v>
          </cell>
          <cell r="L117">
            <v>0</v>
          </cell>
          <cell r="M117">
            <v>0</v>
          </cell>
        </row>
        <row r="119">
          <cell r="B119" t="str">
            <v>层高</v>
          </cell>
          <cell r="C119" t="str">
            <v>标准</v>
          </cell>
          <cell r="D119">
            <v>0</v>
          </cell>
          <cell r="E119">
            <v>0</v>
          </cell>
          <cell r="F119">
            <v>0</v>
          </cell>
          <cell r="G119">
            <v>0</v>
          </cell>
          <cell r="H119">
            <v>0</v>
          </cell>
          <cell r="I119">
            <v>0</v>
          </cell>
          <cell r="J119">
            <v>0</v>
          </cell>
          <cell r="K119">
            <v>0</v>
          </cell>
          <cell r="L119">
            <v>0</v>
          </cell>
          <cell r="M119">
            <v>0</v>
          </cell>
        </row>
        <row r="123">
          <cell r="B123" t="str">
            <v>内部装修</v>
          </cell>
          <cell r="C123" t="str">
            <v>精装修</v>
          </cell>
          <cell r="D123" t="str">
            <v>普装</v>
          </cell>
          <cell r="E123" t="str">
            <v>简装</v>
          </cell>
          <cell r="F123" t="str">
            <v>毛坯</v>
          </cell>
          <cell r="G123">
            <v>0</v>
          </cell>
          <cell r="H123">
            <v>0</v>
          </cell>
          <cell r="I123">
            <v>0</v>
          </cell>
          <cell r="J123">
            <v>0</v>
          </cell>
          <cell r="K123">
            <v>0</v>
          </cell>
          <cell r="L123">
            <v>0</v>
          </cell>
          <cell r="M123">
            <v>0</v>
          </cell>
        </row>
      </sheetData>
      <sheetData sheetId="23"/>
      <sheetData sheetId="24"/>
      <sheetData sheetId="25"/>
      <sheetData sheetId="26"/>
      <sheetData sheetId="27">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8">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29">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0">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1">
        <row r="72">
          <cell r="A72" t="str">
            <v>交易情况</v>
          </cell>
          <cell r="B72">
            <v>0</v>
          </cell>
          <cell r="C72" t="str">
            <v>正常</v>
          </cell>
          <cell r="D72">
            <v>0</v>
          </cell>
          <cell r="E72">
            <v>0</v>
          </cell>
          <cell r="F72">
            <v>0</v>
          </cell>
          <cell r="G72">
            <v>0</v>
          </cell>
          <cell r="H72">
            <v>0</v>
          </cell>
          <cell r="I72">
            <v>0</v>
          </cell>
          <cell r="J72">
            <v>0</v>
          </cell>
          <cell r="K72">
            <v>0</v>
          </cell>
          <cell r="L72">
            <v>0</v>
          </cell>
          <cell r="M72">
            <v>0</v>
          </cell>
        </row>
        <row r="74">
          <cell r="B74" t="str">
            <v>用途</v>
          </cell>
          <cell r="C74">
            <v>0</v>
          </cell>
          <cell r="D74">
            <v>0</v>
          </cell>
          <cell r="E74">
            <v>0</v>
          </cell>
          <cell r="F74">
            <v>0</v>
          </cell>
          <cell r="G74">
            <v>0</v>
          </cell>
          <cell r="H74">
            <v>0</v>
          </cell>
          <cell r="I74">
            <v>0</v>
          </cell>
          <cell r="J74">
            <v>0</v>
          </cell>
          <cell r="K74">
            <v>0</v>
          </cell>
          <cell r="L74">
            <v>0</v>
          </cell>
          <cell r="M74">
            <v>0</v>
          </cell>
        </row>
        <row r="105">
          <cell r="B105" t="str">
            <v>毗邻道路的类型与等级</v>
          </cell>
          <cell r="C105">
            <v>0</v>
          </cell>
          <cell r="D105">
            <v>0</v>
          </cell>
          <cell r="E105">
            <v>0</v>
          </cell>
          <cell r="F105">
            <v>0</v>
          </cell>
          <cell r="G105">
            <v>0</v>
          </cell>
          <cell r="H105">
            <v>0</v>
          </cell>
          <cell r="I105">
            <v>0</v>
          </cell>
          <cell r="J105">
            <v>0</v>
          </cell>
          <cell r="K105">
            <v>0</v>
          </cell>
          <cell r="L105">
            <v>0</v>
          </cell>
          <cell r="M105">
            <v>0</v>
          </cell>
        </row>
        <row r="107">
          <cell r="B107" t="str">
            <v>土地级别</v>
          </cell>
          <cell r="C107">
            <v>0</v>
          </cell>
          <cell r="D107">
            <v>0</v>
          </cell>
          <cell r="E107">
            <v>0</v>
          </cell>
          <cell r="F107">
            <v>0</v>
          </cell>
          <cell r="G107">
            <v>0</v>
          </cell>
          <cell r="H107">
            <v>0</v>
          </cell>
          <cell r="I107">
            <v>0</v>
          </cell>
          <cell r="J107">
            <v>0</v>
          </cell>
          <cell r="K107">
            <v>0</v>
          </cell>
          <cell r="L107">
            <v>0</v>
          </cell>
          <cell r="M107">
            <v>0</v>
          </cell>
        </row>
        <row r="118">
          <cell r="B118" t="str">
            <v>宗地形状</v>
          </cell>
          <cell r="C118">
            <v>0</v>
          </cell>
          <cell r="D118">
            <v>0</v>
          </cell>
          <cell r="E118">
            <v>0</v>
          </cell>
          <cell r="F118">
            <v>0</v>
          </cell>
          <cell r="G118">
            <v>0</v>
          </cell>
          <cell r="H118">
            <v>0</v>
          </cell>
          <cell r="I118">
            <v>0</v>
          </cell>
          <cell r="J118">
            <v>0</v>
          </cell>
          <cell r="K118">
            <v>0</v>
          </cell>
          <cell r="L118">
            <v>0</v>
          </cell>
          <cell r="M118">
            <v>0</v>
          </cell>
        </row>
        <row r="120">
          <cell r="B120" t="str">
            <v>临街宽度及深度</v>
          </cell>
          <cell r="C120">
            <v>0</v>
          </cell>
          <cell r="D120">
            <v>0</v>
          </cell>
          <cell r="E120">
            <v>0</v>
          </cell>
          <cell r="F120">
            <v>0</v>
          </cell>
          <cell r="G120">
            <v>0</v>
          </cell>
          <cell r="H120">
            <v>0</v>
          </cell>
          <cell r="I120">
            <v>0</v>
          </cell>
          <cell r="J120">
            <v>0</v>
          </cell>
          <cell r="K120">
            <v>0</v>
          </cell>
          <cell r="L120">
            <v>0</v>
          </cell>
          <cell r="M120">
            <v>0</v>
          </cell>
        </row>
        <row r="122">
          <cell r="B122" t="str">
            <v>宗地开发程度</v>
          </cell>
          <cell r="C122">
            <v>0</v>
          </cell>
          <cell r="D122">
            <v>0</v>
          </cell>
          <cell r="E122">
            <v>0</v>
          </cell>
          <cell r="F122">
            <v>0</v>
          </cell>
          <cell r="G122">
            <v>0</v>
          </cell>
          <cell r="H122">
            <v>0</v>
          </cell>
          <cell r="I122">
            <v>0</v>
          </cell>
          <cell r="J122">
            <v>0</v>
          </cell>
          <cell r="K122">
            <v>0</v>
          </cell>
          <cell r="L122">
            <v>0</v>
          </cell>
          <cell r="M122">
            <v>0</v>
          </cell>
        </row>
        <row r="124">
          <cell r="B124" t="str">
            <v>工程地质条件</v>
          </cell>
          <cell r="C124">
            <v>0</v>
          </cell>
          <cell r="D124">
            <v>0</v>
          </cell>
          <cell r="E124">
            <v>0</v>
          </cell>
          <cell r="F124">
            <v>0</v>
          </cell>
          <cell r="G124">
            <v>0</v>
          </cell>
          <cell r="H124">
            <v>0</v>
          </cell>
          <cell r="I124">
            <v>0</v>
          </cell>
          <cell r="J124">
            <v>0</v>
          </cell>
          <cell r="K124">
            <v>0</v>
          </cell>
          <cell r="L124">
            <v>0</v>
          </cell>
          <cell r="M124">
            <v>0</v>
          </cell>
        </row>
      </sheetData>
      <sheetData sheetId="32">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3"/>
      <sheetData sheetId="34">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sheetData>
      <sheetData sheetId="35"/>
      <sheetData sheetId="36"/>
      <sheetData sheetId="37">
        <row r="5">
          <cell r="A5">
            <v>0</v>
          </cell>
          <cell r="B5" t="str">
            <v>建筑类型</v>
          </cell>
          <cell r="C5" t="str">
            <v>标准写字楼</v>
          </cell>
          <cell r="D5" t="str">
            <v>高层建筑</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3</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装修情况</v>
          </cell>
          <cell r="C7" t="str">
            <v>精装修</v>
          </cell>
          <cell r="D7" t="str">
            <v>普装</v>
          </cell>
          <cell r="E7" t="str">
            <v>简装</v>
          </cell>
          <cell r="F7" t="str">
            <v>毛坯</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t="str">
            <v>高区</v>
          </cell>
          <cell r="D17" t="str">
            <v>中区</v>
          </cell>
          <cell r="E17" t="str">
            <v>低区</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8"/>
      <sheetData sheetId="39">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t="str">
            <v>商业</v>
          </cell>
          <cell r="D63">
            <v>0</v>
          </cell>
          <cell r="E63">
            <v>0</v>
          </cell>
          <cell r="F63">
            <v>0</v>
          </cell>
          <cell r="G63">
            <v>0</v>
          </cell>
          <cell r="H63">
            <v>0</v>
          </cell>
          <cell r="I63">
            <v>0</v>
          </cell>
          <cell r="J63">
            <v>0</v>
          </cell>
          <cell r="K63">
            <v>0</v>
          </cell>
          <cell r="L63">
            <v>0</v>
          </cell>
          <cell r="M63">
            <v>0</v>
          </cell>
        </row>
        <row r="86">
          <cell r="B86" t="str">
            <v>临街状况</v>
          </cell>
          <cell r="C86" t="str">
            <v>街角地</v>
          </cell>
          <cell r="D86" t="str">
            <v>多面临街</v>
          </cell>
          <cell r="E86" t="str">
            <v>双面临街</v>
          </cell>
          <cell r="F86" t="str">
            <v>单面临街</v>
          </cell>
          <cell r="G86" t="str">
            <v>不临街</v>
          </cell>
          <cell r="H86">
            <v>0</v>
          </cell>
          <cell r="I86">
            <v>0</v>
          </cell>
          <cell r="J86">
            <v>0</v>
          </cell>
          <cell r="K86">
            <v>0</v>
          </cell>
          <cell r="L86">
            <v>0</v>
          </cell>
          <cell r="M86">
            <v>0</v>
          </cell>
        </row>
        <row r="90">
          <cell r="B90" t="str">
            <v>人流量</v>
          </cell>
          <cell r="C90" t="str">
            <v>大</v>
          </cell>
          <cell r="D90" t="str">
            <v>较大</v>
          </cell>
          <cell r="E90" t="str">
            <v>一般</v>
          </cell>
          <cell r="F90" t="str">
            <v>较小</v>
          </cell>
          <cell r="G90" t="str">
            <v>小</v>
          </cell>
          <cell r="H90">
            <v>0</v>
          </cell>
          <cell r="I90">
            <v>0</v>
          </cell>
          <cell r="J90">
            <v>0</v>
          </cell>
          <cell r="K90">
            <v>0</v>
          </cell>
          <cell r="L90">
            <v>0</v>
          </cell>
          <cell r="M90">
            <v>0</v>
          </cell>
        </row>
        <row r="92">
          <cell r="B92" t="str">
            <v>楼层</v>
          </cell>
          <cell r="C92">
            <v>1</v>
          </cell>
          <cell r="D92">
            <v>0</v>
          </cell>
          <cell r="E92">
            <v>0</v>
          </cell>
          <cell r="F92">
            <v>0</v>
          </cell>
          <cell r="G92">
            <v>0</v>
          </cell>
          <cell r="H92">
            <v>0</v>
          </cell>
          <cell r="I92">
            <v>0</v>
          </cell>
          <cell r="J92">
            <v>0</v>
          </cell>
          <cell r="K92">
            <v>0</v>
          </cell>
          <cell r="L92">
            <v>0</v>
          </cell>
          <cell r="M92">
            <v>0</v>
          </cell>
        </row>
        <row r="100">
          <cell r="B100" t="str">
            <v>商业类型</v>
          </cell>
          <cell r="C100" t="str">
            <v>配套商业</v>
          </cell>
          <cell r="D100">
            <v>0</v>
          </cell>
          <cell r="E100">
            <v>0</v>
          </cell>
          <cell r="F100">
            <v>0</v>
          </cell>
          <cell r="G100">
            <v>0</v>
          </cell>
          <cell r="H100">
            <v>0</v>
          </cell>
          <cell r="I100">
            <v>0</v>
          </cell>
          <cell r="J100">
            <v>0</v>
          </cell>
          <cell r="K100">
            <v>0</v>
          </cell>
          <cell r="L100">
            <v>0</v>
          </cell>
          <cell r="M100">
            <v>0</v>
          </cell>
        </row>
        <row r="105">
          <cell r="B105" t="str">
            <v>建筑结构</v>
          </cell>
          <cell r="C105" t="str">
            <v>钢混</v>
          </cell>
          <cell r="D105">
            <v>0</v>
          </cell>
          <cell r="E105">
            <v>0</v>
          </cell>
          <cell r="F105">
            <v>0</v>
          </cell>
          <cell r="G105">
            <v>0</v>
          </cell>
          <cell r="H105">
            <v>0</v>
          </cell>
          <cell r="I105">
            <v>0</v>
          </cell>
          <cell r="J105">
            <v>0</v>
          </cell>
          <cell r="K105">
            <v>0</v>
          </cell>
          <cell r="L105">
            <v>0</v>
          </cell>
          <cell r="M105">
            <v>0</v>
          </cell>
        </row>
        <row r="107">
          <cell r="B107" t="str">
            <v>公共部分装修</v>
          </cell>
          <cell r="C107" t="str">
            <v>精装修</v>
          </cell>
          <cell r="D107" t="str">
            <v>普通装修</v>
          </cell>
          <cell r="E107" t="str">
            <v>简装</v>
          </cell>
          <cell r="F107" t="str">
            <v>毛坯</v>
          </cell>
          <cell r="G107">
            <v>0</v>
          </cell>
          <cell r="H107">
            <v>0</v>
          </cell>
          <cell r="I107">
            <v>0</v>
          </cell>
          <cell r="J107">
            <v>0</v>
          </cell>
          <cell r="K107">
            <v>0</v>
          </cell>
          <cell r="L107">
            <v>0</v>
          </cell>
          <cell r="M107">
            <v>0</v>
          </cell>
        </row>
        <row r="112">
          <cell r="B112" t="str">
            <v>市政基础设施</v>
          </cell>
          <cell r="C112" t="str">
            <v>六通</v>
          </cell>
          <cell r="D112">
            <v>0</v>
          </cell>
          <cell r="E112">
            <v>0</v>
          </cell>
          <cell r="F112">
            <v>0</v>
          </cell>
          <cell r="G112">
            <v>0</v>
          </cell>
          <cell r="H112">
            <v>0</v>
          </cell>
          <cell r="I112">
            <v>0</v>
          </cell>
          <cell r="J112">
            <v>0</v>
          </cell>
          <cell r="K112">
            <v>0</v>
          </cell>
          <cell r="L112">
            <v>0</v>
          </cell>
          <cell r="M112">
            <v>0</v>
          </cell>
        </row>
        <row r="114">
          <cell r="B114" t="str">
            <v>业态</v>
          </cell>
          <cell r="C114" t="str">
            <v>可餐饮</v>
          </cell>
          <cell r="D114" t="str">
            <v>不可餐饮</v>
          </cell>
          <cell r="E114">
            <v>0</v>
          </cell>
          <cell r="F114">
            <v>0</v>
          </cell>
          <cell r="G114">
            <v>0</v>
          </cell>
          <cell r="H114">
            <v>0</v>
          </cell>
          <cell r="I114">
            <v>0</v>
          </cell>
          <cell r="J114">
            <v>0</v>
          </cell>
          <cell r="K114">
            <v>0</v>
          </cell>
          <cell r="L114">
            <v>0</v>
          </cell>
          <cell r="M114">
            <v>0</v>
          </cell>
        </row>
        <row r="116">
          <cell r="B116" t="str">
            <v>层高</v>
          </cell>
          <cell r="C116" t="str">
            <v>超高层高</v>
          </cell>
          <cell r="D116" t="str">
            <v>标准层高</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t="str">
            <v>精装修</v>
          </cell>
          <cell r="D122" t="str">
            <v>普通装修</v>
          </cell>
          <cell r="E122" t="str">
            <v>简装</v>
          </cell>
          <cell r="F122" t="str">
            <v>毛坯</v>
          </cell>
          <cell r="G122">
            <v>0</v>
          </cell>
          <cell r="H122">
            <v>0</v>
          </cell>
          <cell r="I122">
            <v>0</v>
          </cell>
          <cell r="J122">
            <v>0</v>
          </cell>
          <cell r="K122">
            <v>0</v>
          </cell>
          <cell r="L122">
            <v>0</v>
          </cell>
          <cell r="M122">
            <v>0</v>
          </cell>
        </row>
      </sheetData>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数据-基础表"/>
      <sheetName val="数据-汇总表"/>
      <sheetName val="数据-取费表"/>
      <sheetName val="估价对象房地状况"/>
      <sheetName val="系统读取表"/>
      <sheetName val="结果表"/>
      <sheetName val="成本法 (元)"/>
      <sheetName val="假设开发法"/>
      <sheetName val="收益法 (元)"/>
      <sheetName val="比较法-办公"/>
      <sheetName val="比较法-住宅"/>
      <sheetName val="比较法-商业"/>
      <sheetName val="比较法-工业"/>
      <sheetName val="比较法-车位"/>
      <sheetName val="比较法-仓储"/>
      <sheetName val="土地比较法-工业"/>
      <sheetName val="收益法-地下"/>
      <sheetName val="修正"/>
      <sheetName val="容积率修正"/>
      <sheetName val="成本法（废）"/>
      <sheetName val="区片价"/>
      <sheetName val="因素修正幅度"/>
      <sheetName val="区片价（范围）"/>
      <sheetName val="地价-分区"/>
      <sheetName val="地价"/>
      <sheetName val="存贷款利率"/>
      <sheetName val="比较法-办公（大宗）"/>
      <sheetName val="典型户型修正"/>
      <sheetName val="土地比较法-住宅、综合"/>
      <sheetName val="土地案例"/>
      <sheetName val="收益法（汇总）"/>
      <sheetName val="收益法-酒店模型"/>
      <sheetName val="收益法"/>
      <sheetName val="收益法办"/>
      <sheetName val="租金"/>
      <sheetName val="收益法车"/>
      <sheetName val="基准地价修正"/>
      <sheetName val="基准地价修正办"/>
      <sheetName val="基准地价（汇总）"/>
      <sheetName val="成本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efreshError="1"/>
      <sheetData sheetId="10" refreshError="1"/>
      <sheetData sheetId="11" refreshError="1"/>
      <sheetData sheetId="12" refreshError="1"/>
      <sheetData sheetId="13" refreshError="1"/>
      <sheetData sheetId="14" refreshError="1">
        <row r="17">
          <cell r="C17" t="str">
            <v>项目类型</v>
          </cell>
        </row>
        <row r="19">
          <cell r="C19" t="str">
            <v>办公</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分套价值"/>
      <sheetName val="系统读取表"/>
      <sheetName val="结果表"/>
      <sheetName val="成本法"/>
      <sheetName val="成本法 (元)"/>
      <sheetName val="假设开发法"/>
      <sheetName val="比较法-办公"/>
      <sheetName val="收益法"/>
      <sheetName val="收益法 (元)"/>
      <sheetName val="典型户型修正"/>
      <sheetName val="结果表商"/>
      <sheetName val="比较法-商业"/>
      <sheetName val="收益法-酒店模型"/>
      <sheetName val="收益法（汇总）"/>
      <sheetName val="比较法-住宅"/>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案例"/>
      <sheetName val="收益法商"/>
      <sheetName val="典型户型修正商"/>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row r="1">
          <cell r="D1" t="str">
            <v>估价范围判定</v>
          </cell>
        </row>
        <row r="2">
          <cell r="D2" t="str">
            <v>是</v>
          </cell>
        </row>
        <row r="3">
          <cell r="D3" t="str">
            <v>否</v>
          </cell>
        </row>
        <row r="4">
          <cell r="D4" t="str">
            <v>——</v>
          </cell>
        </row>
      </sheetData>
      <sheetData sheetId="10"/>
      <sheetData sheetId="11"/>
      <sheetData sheetId="12">
        <row r="13">
          <cell r="I13">
            <v>410.74</v>
          </cell>
        </row>
        <row r="32">
          <cell r="K32">
            <v>206.15</v>
          </cell>
        </row>
      </sheetData>
      <sheetData sheetId="13">
        <row r="20">
          <cell r="F20">
            <v>206.15</v>
          </cell>
        </row>
      </sheetData>
      <sheetData sheetId="14"/>
      <sheetData sheetId="15"/>
      <sheetData sheetId="16">
        <row r="5">
          <cell r="B5" t="str">
            <v>2单元107</v>
          </cell>
          <cell r="C5">
            <v>410.74</v>
          </cell>
        </row>
        <row r="6">
          <cell r="B6" t="str">
            <v>2单元109</v>
          </cell>
        </row>
        <row r="7">
          <cell r="B7" t="str">
            <v>2单元115</v>
          </cell>
        </row>
        <row r="8">
          <cell r="B8" t="str">
            <v>2单元116</v>
          </cell>
        </row>
        <row r="9">
          <cell r="B9" t="str">
            <v>2单元120</v>
          </cell>
        </row>
        <row r="10">
          <cell r="B10" t="str">
            <v>2单元121</v>
          </cell>
        </row>
        <row r="11">
          <cell r="B11" t="str">
            <v>2单元122</v>
          </cell>
        </row>
        <row r="12">
          <cell r="B12" t="str">
            <v>2单元123</v>
          </cell>
        </row>
        <row r="13">
          <cell r="B13" t="str">
            <v>2单元126</v>
          </cell>
        </row>
        <row r="14">
          <cell r="B14" t="str">
            <v>2单元127</v>
          </cell>
        </row>
        <row r="15">
          <cell r="B15" t="str">
            <v>2单元128</v>
          </cell>
        </row>
        <row r="16">
          <cell r="B16" t="str">
            <v>2单元129</v>
          </cell>
        </row>
        <row r="17">
          <cell r="B17" t="str">
            <v>2单元130</v>
          </cell>
        </row>
        <row r="18">
          <cell r="B18" t="str">
            <v>2单元131</v>
          </cell>
        </row>
        <row r="19">
          <cell r="B19" t="str">
            <v>2单元132</v>
          </cell>
        </row>
        <row r="20">
          <cell r="B20" t="str">
            <v>2单元133</v>
          </cell>
        </row>
        <row r="21">
          <cell r="B21" t="str">
            <v>2单元134</v>
          </cell>
        </row>
        <row r="22">
          <cell r="B22" t="str">
            <v>2单元150</v>
          </cell>
        </row>
        <row r="23">
          <cell r="B23" t="str">
            <v>3单元102</v>
          </cell>
        </row>
        <row r="24">
          <cell r="B24" t="str">
            <v>2单元301</v>
          </cell>
        </row>
        <row r="25">
          <cell r="B25" t="str">
            <v>2单元302</v>
          </cell>
        </row>
        <row r="26">
          <cell r="B26" t="str">
            <v>2单元303</v>
          </cell>
        </row>
        <row r="27">
          <cell r="B27" t="str">
            <v>2单元321</v>
          </cell>
        </row>
        <row r="28">
          <cell r="B28" t="str">
            <v>2单元322</v>
          </cell>
        </row>
        <row r="29">
          <cell r="B29" t="str">
            <v>2单元323</v>
          </cell>
        </row>
        <row r="30">
          <cell r="B30" t="str">
            <v>2单元325</v>
          </cell>
        </row>
        <row r="31">
          <cell r="B31" t="str">
            <v>2单元326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取值过程"/>
      <sheetName val="面积清单"/>
      <sheetName val="数据-汇总表"/>
      <sheetName val="数据-取费表"/>
      <sheetName val="估价对象房地状况"/>
      <sheetName val="系统读取表"/>
      <sheetName val="结果表"/>
      <sheetName val="基准地价修正"/>
      <sheetName val="基准地价（汇总）"/>
      <sheetName val="成本法"/>
      <sheetName val="成本法 (元)"/>
      <sheetName val="假设开发法"/>
      <sheetName val="收益法（汇总）"/>
      <sheetName val="收益法"/>
      <sheetName val="收益法 (元)"/>
      <sheetName val="收益法-酒店模型"/>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修正"/>
      <sheetName val="容积率修正"/>
      <sheetName val="成本法（废）"/>
      <sheetName val="收益法车"/>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3">
          <cell r="I13">
            <v>1316.46</v>
          </cell>
        </row>
        <row r="14">
          <cell r="I14">
            <v>4967.6099999999997</v>
          </cell>
        </row>
      </sheetData>
      <sheetData sheetId="13"/>
      <sheetData sheetId="14">
        <row r="3">
          <cell r="D3">
            <v>4129.8999999999996</v>
          </cell>
        </row>
        <row r="5">
          <cell r="C5">
            <v>5028.5</v>
          </cell>
          <cell r="D5">
            <v>11475.050000000099</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北京市房地产抵押价值预评估</v>
      </c>
    </row>
    <row r="3" spans="1:2" s="1201" customFormat="1">
      <c r="A3" s="1199" t="s">
        <v>523</v>
      </c>
      <c r="B3" s="1200">
        <f>'预评函-封皮'!B40</f>
        <v>0</v>
      </c>
    </row>
    <row r="4" spans="1:2" s="1201" customFormat="1">
      <c r="A4" s="1199" t="s">
        <v>524</v>
      </c>
      <c r="B4" s="1200" t="str">
        <f ca="1">'预评函-封皮'!B46</f>
        <v>郑燚（注册号：1120070131)、吴薇（注册号：1419970001)</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受贵公司委托，我公司对北京市房地产抵押价值进行了预评估。</v>
      </c>
    </row>
    <row r="7" spans="1:2" s="1201" customFormat="1">
      <c r="A7" s="1199" t="s">
        <v>566</v>
      </c>
      <c r="B7" s="1200" t="str">
        <f>'预评函-1'!A7</f>
        <v>估价对象为北京市房地产，为所有。根据《国有土地使用证》[]，估价对象（分摊）出让国有建设用地使用权面积为69.53平方米，建筑面积为616.89平方米。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估价对象为北京市房地产,属开发建设的，该项目尚在开发建设中。根据《国有土地使用证》[]，估价对象（分摊）出让国有建设用地使用权面积为69.53平方米，规划建筑面积为616.89平方米。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2024年7月25日（评估专业人员实地查勘之日）</v>
      </c>
    </row>
    <row r="13" spans="1:2" s="1201" customFormat="1">
      <c r="A13" s="1199" t="s">
        <v>529</v>
      </c>
      <c r="B13" s="1200" t="str">
        <f>'预评函-1'!A18</f>
        <v>本次估价的“房地产价值”是指在正常市场情况下，在价值时点2024年7月25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855</v>
      </c>
    </row>
    <row r="21" spans="1:2" s="1201" customFormat="1">
      <c r="A21" s="1199" t="s">
        <v>537</v>
      </c>
      <c r="B21" s="1200">
        <f ca="1">'预评函-2'!D7</f>
        <v>41490</v>
      </c>
    </row>
    <row r="22" spans="1:2" s="1201" customFormat="1">
      <c r="A22" s="1199" t="s">
        <v>538</v>
      </c>
      <c r="B22" s="1200" t="str">
        <f ca="1">'预评函-2'!D6</f>
        <v>捌佰伍拾伍万元整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855</v>
      </c>
    </row>
    <row r="31" spans="1:2" s="1201" customFormat="1">
      <c r="A31" s="1199" t="s">
        <v>576</v>
      </c>
      <c r="B31" s="1200">
        <f ca="1">'预评函-2'!D15</f>
        <v>41490</v>
      </c>
    </row>
    <row r="32" spans="1:2" s="1201" customFormat="1">
      <c r="A32" s="1199" t="s">
        <v>543</v>
      </c>
      <c r="B32" s="1200" t="str">
        <f ca="1">'预评函-2'!D14</f>
        <v>捌佰伍拾伍万元整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616.89</v>
      </c>
    </row>
    <row r="44" spans="1:2" s="1201" customFormat="1">
      <c r="A44" s="1199" t="s">
        <v>575</v>
      </c>
      <c r="B44" s="1200" t="str">
        <f>'预评函-3'!C2</f>
        <v>(分摊)土地面积</v>
      </c>
    </row>
    <row r="45" spans="1:2" s="1201" customFormat="1">
      <c r="A45" s="1199" t="s">
        <v>547</v>
      </c>
      <c r="B45" s="1200">
        <f>'预评函-3'!C4</f>
        <v>69.53</v>
      </c>
    </row>
    <row r="46" spans="1:2" s="1201" customFormat="1">
      <c r="A46" s="1199" t="s">
        <v>573</v>
      </c>
      <c r="B46" s="1200" t="str">
        <f>'预评函-3'!D2</f>
        <v>出让国有建设用地使用权价值</v>
      </c>
    </row>
    <row r="47" spans="1:2" s="1201" customFormat="1">
      <c r="A47" s="1199" t="s">
        <v>548</v>
      </c>
      <c r="B47" s="1200">
        <f ca="1">'预评函-3'!D4</f>
        <v>662</v>
      </c>
    </row>
    <row r="48" spans="1:2" s="1201" customFormat="1">
      <c r="A48" s="1199" t="s">
        <v>549</v>
      </c>
      <c r="B48" s="1200">
        <f ca="1">'预评函-3'!E4</f>
        <v>32113</v>
      </c>
    </row>
    <row r="49" spans="1:2" s="1201" customFormat="1">
      <c r="A49" s="1199" t="s">
        <v>550</v>
      </c>
      <c r="B49" s="1200" t="str">
        <f ca="1">'预评函-3'!D5</f>
        <v>陆佰陆拾贰万元整</v>
      </c>
    </row>
    <row r="50" spans="1:2" s="1201" customFormat="1">
      <c r="A50" s="1199" t="s">
        <v>574</v>
      </c>
      <c r="B50" s="1200" t="str">
        <f>'预评函-3'!F2</f>
        <v>在建建筑物价值</v>
      </c>
    </row>
    <row r="51" spans="1:2" s="1201" customFormat="1">
      <c r="A51" s="1199" t="s">
        <v>551</v>
      </c>
      <c r="B51" s="1200">
        <f ca="1">'预评函-3'!F4</f>
        <v>193</v>
      </c>
    </row>
    <row r="52" spans="1:2" s="1201" customFormat="1">
      <c r="A52" s="1199" t="s">
        <v>552</v>
      </c>
      <c r="B52" s="1200">
        <f ca="1">'预评函-3'!G4</f>
        <v>9377</v>
      </c>
    </row>
    <row r="53" spans="1:2" s="1201" customFormat="1">
      <c r="A53" s="1199" t="s">
        <v>580</v>
      </c>
      <c r="B53" s="1200" t="str">
        <f ca="1">'预评函-3'!F5</f>
        <v>壹佰玖拾叁万元整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v>
      </c>
    </row>
    <row r="67" spans="1:2" s="1201" customFormat="1">
      <c r="A67" s="1199" t="s">
        <v>571</v>
      </c>
      <c r="B67" s="1200" t="str">
        <f>'预评函-4'!A21</f>
        <v>——</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t="str">
        <f>'预评函-4'!A4</f>
        <v>郑燚</v>
      </c>
    </row>
    <row r="71" spans="1:2">
      <c r="A71" s="1199" t="s">
        <v>563</v>
      </c>
      <c r="B71" s="1200">
        <f ca="1">'预评函-4'!B4</f>
        <v>1120070131</v>
      </c>
    </row>
    <row r="72" spans="1:2">
      <c r="A72" s="1199" t="s">
        <v>564</v>
      </c>
      <c r="B72" s="1208" t="str">
        <f>'预评函-4'!A5</f>
        <v>吴薇</v>
      </c>
    </row>
    <row r="73" spans="1:2" s="1195" customFormat="1" ht="15" thickBot="1">
      <c r="A73" s="1202" t="s">
        <v>565</v>
      </c>
      <c r="B73" s="1203">
        <f ca="1">'预评函-4'!B5</f>
        <v>1419970001</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975</v>
      </c>
      <c r="C1" s="1539" t="s">
        <v>314</v>
      </c>
      <c r="D1" s="1541" t="s">
        <v>3348</v>
      </c>
      <c r="E1" s="1540" t="s">
        <v>976</v>
      </c>
      <c r="F1" s="1540" t="s">
        <v>977</v>
      </c>
      <c r="G1" s="1540" t="s">
        <v>978</v>
      </c>
      <c r="H1" s="1540" t="s">
        <v>979</v>
      </c>
      <c r="I1" s="1540" t="s">
        <v>980</v>
      </c>
      <c r="J1" s="1540" t="s">
        <v>981</v>
      </c>
      <c r="K1" s="1540" t="s">
        <v>982</v>
      </c>
      <c r="L1" s="1540" t="s">
        <v>983</v>
      </c>
      <c r="M1" s="1540" t="s">
        <v>984</v>
      </c>
      <c r="N1" s="1540" t="s">
        <v>985</v>
      </c>
      <c r="O1" s="1540" t="s">
        <v>986</v>
      </c>
      <c r="P1" s="1541" t="s">
        <v>309</v>
      </c>
      <c r="Q1" s="1541" t="s">
        <v>447</v>
      </c>
      <c r="R1" s="1540" t="s">
        <v>441</v>
      </c>
      <c r="S1" s="1540" t="s">
        <v>987</v>
      </c>
      <c r="T1" s="1542" t="s">
        <v>988</v>
      </c>
      <c r="U1" s="1540" t="s">
        <v>989</v>
      </c>
      <c r="V1" s="1540" t="s">
        <v>990</v>
      </c>
      <c r="W1" s="1540" t="s">
        <v>311</v>
      </c>
    </row>
    <row r="2" spans="1:23">
      <c r="A2" s="1544" t="s">
        <v>19</v>
      </c>
      <c r="B2" s="1544" t="s">
        <v>991</v>
      </c>
      <c r="C2" s="1545" t="s">
        <v>315</v>
      </c>
      <c r="D2" s="1546" t="s">
        <v>992</v>
      </c>
      <c r="E2" s="1546" t="s">
        <v>993</v>
      </c>
      <c r="F2" s="1546" t="s">
        <v>994</v>
      </c>
      <c r="G2" s="1546">
        <v>20</v>
      </c>
      <c r="H2" s="1546" t="s">
        <v>994</v>
      </c>
      <c r="I2" s="1546" t="s">
        <v>3334</v>
      </c>
      <c r="J2" s="1546" t="s">
        <v>995</v>
      </c>
      <c r="K2" s="1546" t="s">
        <v>996</v>
      </c>
      <c r="L2" s="1546" t="s">
        <v>996</v>
      </c>
      <c r="M2" s="1546" t="s">
        <v>996</v>
      </c>
      <c r="N2" s="1546" t="s">
        <v>996</v>
      </c>
      <c r="O2" s="1546" t="s">
        <v>996</v>
      </c>
      <c r="P2" s="1546" t="s">
        <v>996</v>
      </c>
      <c r="Q2" s="1546" t="s">
        <v>996</v>
      </c>
      <c r="R2" s="1546" t="s">
        <v>443</v>
      </c>
      <c r="S2" s="1546" t="s">
        <v>996</v>
      </c>
      <c r="T2" s="1546" t="s">
        <v>997</v>
      </c>
      <c r="U2" s="1546" t="s">
        <v>996</v>
      </c>
      <c r="V2" s="1546" t="s">
        <v>998</v>
      </c>
      <c r="W2" s="1546" t="s">
        <v>996</v>
      </c>
    </row>
    <row r="3" spans="1:23">
      <c r="A3" s="1544" t="s">
        <v>999</v>
      </c>
      <c r="B3" s="1547" t="s">
        <v>448</v>
      </c>
      <c r="C3" s="1548" t="s">
        <v>316</v>
      </c>
      <c r="D3" s="1546" t="s">
        <v>1000</v>
      </c>
      <c r="E3" s="1546" t="s">
        <v>13</v>
      </c>
      <c r="F3" s="1546" t="s">
        <v>1001</v>
      </c>
      <c r="G3" s="1546">
        <v>40</v>
      </c>
      <c r="H3" s="1546" t="s">
        <v>1001</v>
      </c>
      <c r="I3" s="1546" t="s">
        <v>3335</v>
      </c>
      <c r="J3" s="1546" t="s">
        <v>1002</v>
      </c>
      <c r="K3" s="1546" t="s">
        <v>1003</v>
      </c>
      <c r="L3" s="1546" t="s">
        <v>1003</v>
      </c>
      <c r="M3" s="1546" t="s">
        <v>1003</v>
      </c>
      <c r="N3" s="1546" t="s">
        <v>1003</v>
      </c>
      <c r="O3" s="1546" t="s">
        <v>1003</v>
      </c>
      <c r="P3" s="1546" t="s">
        <v>1003</v>
      </c>
      <c r="Q3" s="1546" t="s">
        <v>1003</v>
      </c>
      <c r="R3" s="1546" t="s">
        <v>442</v>
      </c>
      <c r="S3" s="1546" t="s">
        <v>1003</v>
      </c>
      <c r="T3" s="1546" t="s">
        <v>1004</v>
      </c>
      <c r="U3" s="1546" t="s">
        <v>1003</v>
      </c>
      <c r="V3" s="1546" t="s">
        <v>1005</v>
      </c>
      <c r="W3" s="1546" t="s">
        <v>1003</v>
      </c>
    </row>
    <row r="4" spans="1:23">
      <c r="A4" s="1544" t="s">
        <v>1006</v>
      </c>
      <c r="B4" s="1544" t="s">
        <v>1007</v>
      </c>
      <c r="C4" s="1545" t="s">
        <v>317</v>
      </c>
      <c r="D4" s="1546" t="s">
        <v>389</v>
      </c>
      <c r="E4" s="1546" t="s">
        <v>1008</v>
      </c>
      <c r="F4" s="1546" t="s">
        <v>1009</v>
      </c>
      <c r="G4" s="1546">
        <v>50</v>
      </c>
      <c r="H4" s="1546" t="s">
        <v>1009</v>
      </c>
      <c r="I4" s="1546" t="s">
        <v>3336</v>
      </c>
      <c r="K4" s="1546" t="s">
        <v>1010</v>
      </c>
      <c r="L4" s="1546" t="s">
        <v>1010</v>
      </c>
      <c r="M4" s="1546" t="s">
        <v>1010</v>
      </c>
      <c r="N4" s="1546" t="s">
        <v>1010</v>
      </c>
      <c r="O4" s="1546" t="s">
        <v>1010</v>
      </c>
      <c r="P4" s="1546" t="s">
        <v>1010</v>
      </c>
      <c r="Q4" s="1546" t="s">
        <v>1010</v>
      </c>
      <c r="R4" s="1546" t="s">
        <v>444</v>
      </c>
      <c r="S4" s="1546" t="s">
        <v>1010</v>
      </c>
      <c r="T4" s="1546" t="s">
        <v>1011</v>
      </c>
      <c r="U4" s="1546" t="s">
        <v>1010</v>
      </c>
      <c r="W4" s="1546" t="s">
        <v>1010</v>
      </c>
    </row>
    <row r="5" spans="1:23">
      <c r="A5" s="1544" t="s">
        <v>1012</v>
      </c>
      <c r="B5" s="1544" t="s">
        <v>1013</v>
      </c>
      <c r="C5" s="1545" t="s">
        <v>318</v>
      </c>
      <c r="F5" s="1546" t="s">
        <v>1014</v>
      </c>
      <c r="G5" s="1546">
        <v>70</v>
      </c>
      <c r="H5" s="1546" t="s">
        <v>1015</v>
      </c>
      <c r="I5" s="1546" t="s">
        <v>3337</v>
      </c>
      <c r="K5" s="1546" t="s">
        <v>1016</v>
      </c>
      <c r="L5" s="1546" t="s">
        <v>1016</v>
      </c>
      <c r="M5" s="1546" t="s">
        <v>1016</v>
      </c>
      <c r="N5" s="1546" t="s">
        <v>1016</v>
      </c>
      <c r="O5" s="1546" t="s">
        <v>1016</v>
      </c>
      <c r="P5" s="1546" t="s">
        <v>1016</v>
      </c>
      <c r="Q5" s="1546" t="s">
        <v>1016</v>
      </c>
      <c r="R5" s="1546" t="s">
        <v>445</v>
      </c>
      <c r="S5" s="1546" t="s">
        <v>1016</v>
      </c>
      <c r="T5" s="1546" t="s">
        <v>1017</v>
      </c>
      <c r="U5" s="1546" t="s">
        <v>1016</v>
      </c>
      <c r="W5" s="1546" t="s">
        <v>1016</v>
      </c>
    </row>
    <row r="6" spans="1:23">
      <c r="A6" s="1544" t="s">
        <v>1018</v>
      </c>
      <c r="B6" s="1547" t="s">
        <v>449</v>
      </c>
      <c r="C6" s="1550" t="s">
        <v>24</v>
      </c>
      <c r="F6" s="1546" t="s">
        <v>1015</v>
      </c>
      <c r="H6" s="1546" t="s">
        <v>1019</v>
      </c>
      <c r="I6" s="1546" t="s">
        <v>3338</v>
      </c>
      <c r="K6" s="1546" t="s">
        <v>1020</v>
      </c>
      <c r="L6" s="1546" t="s">
        <v>1020</v>
      </c>
      <c r="M6" s="1546" t="s">
        <v>1020</v>
      </c>
      <c r="N6" s="1546" t="s">
        <v>1020</v>
      </c>
      <c r="O6" s="1546" t="s">
        <v>1020</v>
      </c>
      <c r="P6" s="1546" t="s">
        <v>1020</v>
      </c>
      <c r="Q6" s="1546" t="s">
        <v>1020</v>
      </c>
      <c r="R6" s="1546" t="s">
        <v>446</v>
      </c>
      <c r="S6" s="1546" t="s">
        <v>1020</v>
      </c>
      <c r="T6" s="1546"/>
      <c r="U6" s="1546" t="s">
        <v>1020</v>
      </c>
      <c r="W6" s="1546" t="s">
        <v>1020</v>
      </c>
    </row>
    <row r="7" spans="1:23">
      <c r="A7" s="1544" t="s">
        <v>1021</v>
      </c>
      <c r="B7" s="1547" t="s">
        <v>450</v>
      </c>
      <c r="C7" s="1545" t="s">
        <v>25</v>
      </c>
      <c r="F7" s="1546" t="s">
        <v>1022</v>
      </c>
      <c r="H7" s="1546" t="s">
        <v>1023</v>
      </c>
      <c r="I7" s="1546" t="s">
        <v>3339</v>
      </c>
    </row>
    <row r="8" spans="1:23">
      <c r="A8" s="1544" t="s">
        <v>1024</v>
      </c>
      <c r="B8" s="1544" t="s">
        <v>1025</v>
      </c>
      <c r="C8" s="1545" t="s">
        <v>319</v>
      </c>
      <c r="F8" s="1546" t="s">
        <v>1026</v>
      </c>
      <c r="H8" s="1546" t="s">
        <v>2574</v>
      </c>
      <c r="I8" s="1546" t="s">
        <v>3340</v>
      </c>
    </row>
    <row r="9" spans="1:23">
      <c r="A9" s="1544" t="s">
        <v>1027</v>
      </c>
      <c r="B9" s="1544" t="s">
        <v>1028</v>
      </c>
      <c r="C9" s="1545" t="s">
        <v>320</v>
      </c>
      <c r="F9" s="1546" t="s">
        <v>1029</v>
      </c>
      <c r="H9" s="1546"/>
      <c r="I9" s="1549" t="s">
        <v>3341</v>
      </c>
    </row>
    <row r="10" spans="1:23">
      <c r="A10" s="1544" t="s">
        <v>1030</v>
      </c>
      <c r="B10" s="1544" t="s">
        <v>1031</v>
      </c>
      <c r="C10" s="1545" t="s">
        <v>321</v>
      </c>
      <c r="F10" s="1546" t="s">
        <v>2575</v>
      </c>
      <c r="I10" s="1549" t="s">
        <v>3342</v>
      </c>
    </row>
    <row r="11" spans="1:23">
      <c r="A11" s="1544" t="s">
        <v>1032</v>
      </c>
      <c r="B11" s="1544" t="s">
        <v>1033</v>
      </c>
      <c r="C11" s="1545" t="s">
        <v>322</v>
      </c>
      <c r="F11" s="1546" t="s">
        <v>13</v>
      </c>
      <c r="I11" s="1549" t="s">
        <v>3343</v>
      </c>
    </row>
    <row r="12" spans="1:23">
      <c r="A12" s="1544" t="s">
        <v>1034</v>
      </c>
      <c r="B12" s="1544" t="s">
        <v>1035</v>
      </c>
      <c r="C12" s="1545" t="s">
        <v>323</v>
      </c>
      <c r="I12" s="1549" t="s">
        <v>3344</v>
      </c>
    </row>
    <row r="13" spans="1:23">
      <c r="A13" s="1544" t="s">
        <v>1036</v>
      </c>
      <c r="B13" s="1544" t="s">
        <v>1037</v>
      </c>
      <c r="C13" s="1545" t="s">
        <v>324</v>
      </c>
      <c r="I13" s="1549" t="s">
        <v>3345</v>
      </c>
    </row>
    <row r="14" spans="1:23">
      <c r="A14" s="1544" t="s">
        <v>1038</v>
      </c>
      <c r="B14" s="1544" t="s">
        <v>1039</v>
      </c>
      <c r="C14" s="1546" t="s">
        <v>13</v>
      </c>
      <c r="I14" s="1549" t="s">
        <v>3346</v>
      </c>
    </row>
    <row r="15" spans="1:23">
      <c r="A15" s="1544" t="s">
        <v>1040</v>
      </c>
      <c r="B15" s="1544" t="s">
        <v>1041</v>
      </c>
      <c r="C15" s="1545"/>
      <c r="I15" s="1549" t="s">
        <v>3347</v>
      </c>
    </row>
    <row r="16" spans="1:23">
      <c r="A16" s="1544" t="s">
        <v>1042</v>
      </c>
      <c r="B16" s="1544" t="s">
        <v>312</v>
      </c>
      <c r="C16" s="1545"/>
    </row>
    <row r="17" spans="1:3">
      <c r="A17" s="1544" t="s">
        <v>1043</v>
      </c>
      <c r="B17" s="1544" t="s">
        <v>2286</v>
      </c>
      <c r="C17" s="1545"/>
    </row>
    <row r="18" spans="1:3">
      <c r="A18" s="1544" t="s">
        <v>1044</v>
      </c>
      <c r="B18" s="1544" t="s">
        <v>2430</v>
      </c>
      <c r="C18" s="1545"/>
    </row>
    <row r="19" spans="1:3">
      <c r="A19" s="1544" t="s">
        <v>1045</v>
      </c>
      <c r="B19" s="1544" t="s">
        <v>3564</v>
      </c>
      <c r="C19" s="1545"/>
    </row>
    <row r="20" spans="1:3">
      <c r="A20" s="1544" t="s">
        <v>1046</v>
      </c>
      <c r="B20" s="1544" t="s">
        <v>313</v>
      </c>
      <c r="C20" s="1545"/>
    </row>
    <row r="21" spans="1:3">
      <c r="A21" s="1544" t="s">
        <v>1047</v>
      </c>
      <c r="B21" s="1544" t="s">
        <v>313</v>
      </c>
      <c r="C21" s="1545"/>
    </row>
    <row r="22" spans="1:3">
      <c r="A22" s="1544" t="s">
        <v>1048</v>
      </c>
      <c r="B22" s="1544" t="s">
        <v>313</v>
      </c>
      <c r="C22" s="1545"/>
    </row>
    <row r="23" spans="1:3">
      <c r="A23" s="1544" t="s">
        <v>1049</v>
      </c>
      <c r="B23" s="1544" t="s">
        <v>313</v>
      </c>
      <c r="C23" s="1545"/>
    </row>
    <row r="24" spans="1:3">
      <c r="A24" s="1544" t="s">
        <v>1050</v>
      </c>
      <c r="B24" s="1544" t="s">
        <v>313</v>
      </c>
      <c r="C24" s="1545"/>
    </row>
    <row r="25" spans="1:3">
      <c r="A25" s="1544" t="s">
        <v>1051</v>
      </c>
      <c r="B25" s="1544" t="s">
        <v>313</v>
      </c>
      <c r="C25" s="1545"/>
    </row>
    <row r="26" spans="1:3">
      <c r="A26" s="1544" t="s">
        <v>1052</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58"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8"/>
      <c r="B54" s="1552" t="s">
        <v>385</v>
      </c>
      <c r="C54" s="1549" t="s">
        <v>583</v>
      </c>
    </row>
    <row r="55" spans="1:4">
      <c r="A55" s="3558"/>
      <c r="B55" s="1552" t="s">
        <v>386</v>
      </c>
      <c r="C55" s="1549" t="s">
        <v>584</v>
      </c>
    </row>
    <row r="56" spans="1:4">
      <c r="A56" s="3558"/>
      <c r="B56" s="1552" t="s">
        <v>387</v>
      </c>
      <c r="C56" s="1549" t="s">
        <v>588</v>
      </c>
    </row>
    <row r="57" spans="1:4">
      <c r="A57" s="3558"/>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2497</v>
      </c>
      <c r="B1" s="3010"/>
      <c r="C1" s="3010"/>
      <c r="D1" s="3010"/>
      <c r="E1" s="3010"/>
      <c r="F1" s="3011"/>
      <c r="I1" s="3433" t="s">
        <v>2590</v>
      </c>
      <c r="J1" s="3222"/>
      <c r="K1" s="3222"/>
      <c r="L1" s="3222"/>
      <c r="M1" s="3222"/>
      <c r="N1" s="3434"/>
      <c r="O1" s="3434"/>
      <c r="P1" s="3434"/>
      <c r="Q1" s="3434"/>
      <c r="R1" s="3434"/>
    </row>
    <row r="2" spans="1:18">
      <c r="A2" s="3013"/>
      <c r="B2" s="3014"/>
      <c r="C2" s="3014"/>
      <c r="D2" s="3014"/>
      <c r="E2" s="3014"/>
      <c r="F2" s="3015"/>
      <c r="I2" s="3559" t="s">
        <v>2577</v>
      </c>
      <c r="J2" s="3559"/>
      <c r="K2" s="3559"/>
      <c r="L2" s="3559"/>
      <c r="M2" s="3559"/>
      <c r="N2" s="3559"/>
      <c r="O2" s="3559"/>
      <c r="P2" s="3559"/>
      <c r="Q2" s="3559"/>
      <c r="R2" s="3559"/>
    </row>
    <row r="3" spans="1:18">
      <c r="A3" s="3016" t="s">
        <v>2498</v>
      </c>
      <c r="B3" s="3017">
        <f>项目基本情况!D3</f>
        <v>45498</v>
      </c>
      <c r="C3" s="3019"/>
      <c r="D3" s="3019"/>
      <c r="E3" s="3019"/>
      <c r="F3" s="3015"/>
      <c r="I3" s="3435"/>
      <c r="J3" s="3435" t="s">
        <v>2581</v>
      </c>
      <c r="K3" s="3435" t="s">
        <v>2582</v>
      </c>
      <c r="L3" s="3435" t="s">
        <v>2583</v>
      </c>
      <c r="M3" s="3435" t="s">
        <v>2584</v>
      </c>
      <c r="N3" s="3436" t="s">
        <v>2585</v>
      </c>
      <c r="O3" s="3436" t="s">
        <v>2586</v>
      </c>
      <c r="P3" s="3436" t="s">
        <v>2587</v>
      </c>
      <c r="Q3" s="3436" t="s">
        <v>2588</v>
      </c>
      <c r="R3" s="3436" t="s">
        <v>2589</v>
      </c>
    </row>
    <row r="4" spans="1:18">
      <c r="A4" s="3016" t="s">
        <v>2499</v>
      </c>
      <c r="B4" s="3019" t="s">
        <v>2500</v>
      </c>
      <c r="C4" s="3019" t="s">
        <v>2501</v>
      </c>
      <c r="D4" s="3019" t="s">
        <v>2502</v>
      </c>
      <c r="E4" s="3019" t="s">
        <v>2503</v>
      </c>
      <c r="F4" s="3015"/>
      <c r="I4" s="3435" t="s">
        <v>2578</v>
      </c>
      <c r="J4" s="3435">
        <v>80</v>
      </c>
      <c r="K4" s="3435">
        <v>70</v>
      </c>
      <c r="L4" s="3435">
        <v>20</v>
      </c>
      <c r="M4" s="3435">
        <v>30</v>
      </c>
      <c r="N4" s="3019">
        <v>45</v>
      </c>
      <c r="O4" s="3019">
        <v>60</v>
      </c>
      <c r="P4" s="3019">
        <v>50</v>
      </c>
      <c r="Q4" s="3019">
        <v>20</v>
      </c>
      <c r="R4" s="3019">
        <v>375</v>
      </c>
    </row>
    <row r="5" spans="1:18">
      <c r="A5" s="3020">
        <v>40</v>
      </c>
      <c r="B5" s="3017">
        <v>46375</v>
      </c>
      <c r="C5" s="3019">
        <f>ROUNDDOWN(MIN((B5-B3)/365,A5),2)</f>
        <v>2.4</v>
      </c>
      <c r="D5" s="3021">
        <f>IF(ISERROR(ROUND(POWER(1+E5,A5-C5)*(POWER(1+E5,C5)-1)/(POWER(1+E5,A5)-1),3)),0,ROUND(POWER(1+E5,A5-C5)*(POWER(1+E5,C5)-1)/(POWER(1+E5,A5)-1),4))</f>
        <v>0.1135</v>
      </c>
      <c r="E5" s="3022">
        <v>0.04</v>
      </c>
      <c r="F5" s="3015"/>
      <c r="I5" s="3435" t="s">
        <v>2579</v>
      </c>
      <c r="J5" s="3435">
        <v>70</v>
      </c>
      <c r="K5" s="3435">
        <v>60</v>
      </c>
      <c r="L5" s="3435">
        <v>15</v>
      </c>
      <c r="M5" s="3435">
        <v>25</v>
      </c>
      <c r="N5" s="3019">
        <v>40</v>
      </c>
      <c r="O5" s="3019">
        <v>50</v>
      </c>
      <c r="P5" s="3019">
        <v>40</v>
      </c>
      <c r="Q5" s="3019">
        <v>15</v>
      </c>
      <c r="R5" s="3019">
        <v>315</v>
      </c>
    </row>
    <row r="6" spans="1:18">
      <c r="A6" s="3020">
        <v>50</v>
      </c>
      <c r="B6" s="3017">
        <v>50028</v>
      </c>
      <c r="C6" s="3019">
        <f>ROUNDDOWN(MIN((B6-B3)/365,A6),2)</f>
        <v>12.41</v>
      </c>
      <c r="D6" s="3021">
        <f>IF(ISERROR(ROUND(POWER(1+E6,A6-C6)*(POWER(1+E6,C6)-1)/(POWER(1+E6,A6)-1),3)),0,ROUND(POWER(1+E6,A6-C6)*(POWER(1+E6,C6)-1)/(POWER(1+E6,A6)-1),4))</f>
        <v>0.44850000000000001</v>
      </c>
      <c r="E6" s="3022">
        <v>0.04</v>
      </c>
      <c r="F6" s="3015"/>
      <c r="I6" s="3435" t="s">
        <v>2580</v>
      </c>
      <c r="J6" s="3435">
        <v>60</v>
      </c>
      <c r="K6" s="3435">
        <v>50</v>
      </c>
      <c r="L6" s="3435">
        <v>10</v>
      </c>
      <c r="M6" s="3435">
        <v>20</v>
      </c>
      <c r="N6" s="3019">
        <v>35</v>
      </c>
      <c r="O6" s="3019">
        <v>40</v>
      </c>
      <c r="P6" s="3019">
        <v>30</v>
      </c>
      <c r="Q6" s="3019">
        <v>10</v>
      </c>
      <c r="R6" s="3019">
        <v>255</v>
      </c>
    </row>
    <row r="7" spans="1:18">
      <c r="A7" s="3020">
        <v>70</v>
      </c>
      <c r="B7" s="3017">
        <v>57333</v>
      </c>
      <c r="C7" s="3019">
        <f>ROUNDDOWN(MIN((B7-B3)/365,A7),2)</f>
        <v>32.42</v>
      </c>
      <c r="D7" s="3021">
        <f>IF(ISERROR(ROUND(POWER(1+E7,A7-C7)*(POWER(1+E7,C7)-1)/(POWER(1+E7,A7)-1),3)),0,ROUND(POWER(1+E7,A7-C7)*(POWER(1+E7,C7)-1)/(POWER(1+E7,A7)-1),4))</f>
        <v>0.76900000000000002</v>
      </c>
      <c r="E7" s="3022">
        <v>0.04</v>
      </c>
      <c r="F7" s="3015"/>
    </row>
    <row r="8" spans="1:18">
      <c r="A8" s="3013"/>
      <c r="B8" s="3014"/>
      <c r="C8" s="3014"/>
      <c r="D8" s="3014"/>
      <c r="E8" s="3014"/>
      <c r="F8" s="3015"/>
    </row>
    <row r="9" spans="1:18">
      <c r="A9" s="3016" t="s">
        <v>2504</v>
      </c>
      <c r="B9" s="3019"/>
      <c r="C9" s="3019"/>
      <c r="D9" s="3019"/>
      <c r="E9" s="3019"/>
      <c r="F9" s="3023"/>
    </row>
    <row r="10" spans="1:18">
      <c r="A10" s="3016" t="s">
        <v>2505</v>
      </c>
      <c r="B10" s="3019"/>
      <c r="C10" s="3019"/>
      <c r="D10" s="3019" t="s">
        <v>2503</v>
      </c>
      <c r="E10" s="3019"/>
      <c r="F10" s="3023" t="s">
        <v>2502</v>
      </c>
    </row>
    <row r="11" spans="1:18">
      <c r="A11" s="3016" t="s">
        <v>2506</v>
      </c>
      <c r="B11" s="3024">
        <v>70</v>
      </c>
      <c r="C11" s="3019" t="s">
        <v>2507</v>
      </c>
      <c r="D11" s="3025">
        <v>4.4999999999999998E-2</v>
      </c>
      <c r="E11" s="3019" t="s">
        <v>2508</v>
      </c>
      <c r="F11" s="3026">
        <f>ROUND(1-(1/(POWER(1+D11,B11))),4)</f>
        <v>0.95409999999999995</v>
      </c>
    </row>
    <row r="12" spans="1:18">
      <c r="A12" s="3016" t="s">
        <v>2509</v>
      </c>
      <c r="B12" s="3024">
        <v>40</v>
      </c>
      <c r="C12" s="3019" t="s">
        <v>2510</v>
      </c>
      <c r="D12" s="3025">
        <v>4.4999999999999998E-2</v>
      </c>
      <c r="E12" s="3019" t="s">
        <v>2511</v>
      </c>
      <c r="F12" s="3026">
        <f>ROUND(1-(1/(POWER(1+D12,B12))),4)</f>
        <v>0.82809999999999995</v>
      </c>
    </row>
    <row r="13" spans="1:18">
      <c r="A13" s="3016" t="s">
        <v>2512</v>
      </c>
      <c r="B13" s="3019"/>
      <c r="C13" s="3019"/>
      <c r="D13" s="3014"/>
      <c r="E13" s="3014"/>
      <c r="F13" s="3015"/>
    </row>
    <row r="14" spans="1:18">
      <c r="A14" s="3016" t="s">
        <v>2513</v>
      </c>
      <c r="B14" s="3024">
        <v>5000</v>
      </c>
      <c r="C14" s="3018"/>
      <c r="D14" s="3014"/>
      <c r="E14" s="3014"/>
      <c r="F14" s="3015"/>
    </row>
    <row r="15" spans="1:18">
      <c r="A15" s="3016" t="s">
        <v>2514</v>
      </c>
      <c r="B15" s="3019">
        <f>ROUND(B14*F12/F11,2)</f>
        <v>4339.6899999999996</v>
      </c>
      <c r="C15" s="3019">
        <f>ROUND(F12/F11,4)</f>
        <v>0.8679</v>
      </c>
      <c r="D15" s="3014"/>
      <c r="E15" s="3014"/>
      <c r="F15" s="3015"/>
    </row>
    <row r="16" spans="1:18">
      <c r="A16" s="3016" t="s">
        <v>2515</v>
      </c>
      <c r="B16" s="3019"/>
      <c r="C16" s="3019"/>
      <c r="D16" s="3014"/>
      <c r="E16" s="3014"/>
      <c r="F16" s="3015"/>
    </row>
    <row r="17" spans="1:13">
      <c r="A17" s="3016" t="s">
        <v>2514</v>
      </c>
      <c r="B17" s="3025">
        <v>4810</v>
      </c>
      <c r="C17" s="3018"/>
      <c r="D17" s="3014"/>
      <c r="E17" s="3014"/>
      <c r="F17" s="3015"/>
    </row>
    <row r="18" spans="1:13" ht="14.25" thickBot="1">
      <c r="A18" s="3027" t="s">
        <v>2513</v>
      </c>
      <c r="B18" s="3028">
        <f>ROUND(B17*F11/F12,2)</f>
        <v>5541.87</v>
      </c>
      <c r="C18" s="3028">
        <f>ROUND(F11/F12,4)</f>
        <v>1.1521999999999999</v>
      </c>
      <c r="D18" s="3029"/>
      <c r="E18" s="3029"/>
      <c r="F18" s="3030"/>
    </row>
    <row r="19" spans="1:13" ht="14.25" thickBot="1"/>
    <row r="20" spans="1:13" s="3065" customFormat="1" ht="14.25" thickTop="1">
      <c r="A20" s="3062" t="s">
        <v>2516</v>
      </c>
      <c r="B20" s="3063"/>
      <c r="C20" s="3063"/>
      <c r="D20" s="3063"/>
      <c r="E20" s="3063"/>
      <c r="F20" s="3063"/>
      <c r="G20" s="3064"/>
      <c r="I20" s="3066" t="s">
        <v>2561</v>
      </c>
      <c r="J20" s="3066" t="s">
        <v>2566</v>
      </c>
      <c r="K20" s="3066"/>
      <c r="L20" s="3066"/>
      <c r="M20" s="3066"/>
    </row>
    <row r="21" spans="1:13">
      <c r="A21" s="3031"/>
      <c r="B21" s="3032" t="s">
        <v>2517</v>
      </c>
      <c r="C21" s="3032" t="s">
        <v>2518</v>
      </c>
      <c r="D21" s="3032" t="s">
        <v>2519</v>
      </c>
      <c r="E21" s="3032" t="s">
        <v>2520</v>
      </c>
      <c r="F21" s="3032" t="s">
        <v>2521</v>
      </c>
      <c r="G21" s="3033" t="s">
        <v>2522</v>
      </c>
      <c r="I21" s="3054">
        <v>5</v>
      </c>
      <c r="J21" s="3054">
        <v>54.2</v>
      </c>
    </row>
    <row r="22" spans="1:13">
      <c r="A22" s="3031" t="s">
        <v>2523</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2524</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2564</v>
      </c>
      <c r="M23" s="3054" t="s">
        <v>2565</v>
      </c>
    </row>
    <row r="24" spans="1:13">
      <c r="A24" s="3031" t="s">
        <v>2525</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2563</v>
      </c>
      <c r="M24" s="3054">
        <v>10</v>
      </c>
    </row>
    <row r="25" spans="1:13">
      <c r="A25" s="3031" t="s">
        <v>2526</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2567</v>
      </c>
      <c r="M25" s="3054">
        <v>8</v>
      </c>
    </row>
    <row r="26" spans="1:13">
      <c r="A26" s="3036"/>
      <c r="B26" s="3037"/>
      <c r="C26" s="3037"/>
      <c r="D26" s="3037"/>
      <c r="E26" s="3037"/>
      <c r="F26" s="3037"/>
      <c r="G26" s="3038"/>
      <c r="I26" s="3054">
        <v>30</v>
      </c>
      <c r="J26" s="3054">
        <v>90.5</v>
      </c>
      <c r="K26" s="3054">
        <f t="shared" si="2"/>
        <v>4.2000000000000028</v>
      </c>
      <c r="L26" s="3054" t="s">
        <v>2568</v>
      </c>
      <c r="M26" s="3054">
        <v>5</v>
      </c>
    </row>
    <row r="27" spans="1:13">
      <c r="A27" s="3036" t="s">
        <v>2527</v>
      </c>
      <c r="B27" s="3037"/>
      <c r="C27" s="3037"/>
      <c r="D27" s="3037"/>
      <c r="E27" s="3037"/>
      <c r="F27" s="3037"/>
      <c r="G27" s="3038"/>
      <c r="I27" s="3054">
        <v>35</v>
      </c>
      <c r="J27" s="3054">
        <v>93.8</v>
      </c>
      <c r="K27" s="3054">
        <f t="shared" si="2"/>
        <v>3.2999999999999972</v>
      </c>
      <c r="L27" s="3054" t="s">
        <v>2569</v>
      </c>
      <c r="M27" s="3054">
        <v>3</v>
      </c>
    </row>
    <row r="28" spans="1:13">
      <c r="A28" s="3036" t="s">
        <v>2528</v>
      </c>
      <c r="B28" s="3037"/>
      <c r="C28" s="3037"/>
      <c r="D28" s="3037"/>
      <c r="E28" s="3037"/>
      <c r="F28" s="3037"/>
      <c r="G28" s="3038"/>
      <c r="I28" s="3054">
        <v>40</v>
      </c>
      <c r="J28" s="3054">
        <v>96.4</v>
      </c>
      <c r="K28" s="3054">
        <f t="shared" si="2"/>
        <v>2.6000000000000085</v>
      </c>
      <c r="L28" s="3054" t="s">
        <v>2570</v>
      </c>
      <c r="M28" s="3054">
        <v>2</v>
      </c>
    </row>
    <row r="29" spans="1:13">
      <c r="A29" s="3036" t="s">
        <v>2529</v>
      </c>
      <c r="B29" s="3037"/>
      <c r="C29" s="3037"/>
      <c r="D29" s="3037"/>
      <c r="E29" s="3037"/>
      <c r="F29" s="3037"/>
      <c r="G29" s="3038"/>
      <c r="I29" s="3054">
        <v>45</v>
      </c>
      <c r="J29" s="3054">
        <v>98.4</v>
      </c>
      <c r="K29" s="3054">
        <f t="shared" si="2"/>
        <v>2</v>
      </c>
    </row>
    <row r="30" spans="1:13">
      <c r="A30" s="3036" t="s">
        <v>2530</v>
      </c>
      <c r="B30" s="3037"/>
      <c r="C30" s="3037"/>
      <c r="D30" s="3037"/>
      <c r="E30" s="3037"/>
      <c r="F30" s="3037"/>
      <c r="G30" s="3038"/>
      <c r="I30" s="3054">
        <v>50</v>
      </c>
      <c r="J30" s="3054">
        <v>100</v>
      </c>
      <c r="K30" s="3054">
        <f t="shared" si="2"/>
        <v>1.5999999999999943</v>
      </c>
    </row>
    <row r="31" spans="1:13">
      <c r="A31" s="3036" t="s">
        <v>2531</v>
      </c>
      <c r="B31" s="3037"/>
      <c r="C31" s="3037"/>
      <c r="D31" s="3037"/>
      <c r="E31" s="3037"/>
      <c r="F31" s="3037"/>
      <c r="G31" s="3038"/>
      <c r="I31" s="3054" t="s">
        <v>2562</v>
      </c>
    </row>
    <row r="32" spans="1:13">
      <c r="A32" s="3036" t="s">
        <v>2532</v>
      </c>
      <c r="B32" s="3037"/>
      <c r="C32" s="3037"/>
      <c r="D32" s="3037"/>
      <c r="E32" s="3037"/>
      <c r="F32" s="3037"/>
      <c r="G32" s="3038"/>
    </row>
    <row r="33" spans="1:13">
      <c r="A33" s="3036" t="s">
        <v>2533</v>
      </c>
      <c r="B33" s="3037"/>
      <c r="C33" s="3037"/>
      <c r="D33" s="3037"/>
      <c r="E33" s="3037"/>
      <c r="F33" s="3037"/>
      <c r="G33" s="3038"/>
      <c r="I33" s="3054" t="s">
        <v>2561</v>
      </c>
      <c r="J33" s="3054" t="s">
        <v>2571</v>
      </c>
    </row>
    <row r="34" spans="1:13">
      <c r="A34" s="3036" t="s">
        <v>2534</v>
      </c>
      <c r="B34" s="3037"/>
      <c r="C34" s="3037"/>
      <c r="D34" s="3037"/>
      <c r="E34" s="3037"/>
      <c r="F34" s="3037"/>
      <c r="G34" s="3038"/>
      <c r="I34" s="3054">
        <v>5</v>
      </c>
      <c r="J34" s="3054">
        <v>55.1</v>
      </c>
    </row>
    <row r="35" spans="1:13">
      <c r="A35" s="3036" t="s">
        <v>2535</v>
      </c>
      <c r="B35" s="3037"/>
      <c r="C35" s="3037"/>
      <c r="D35" s="3037"/>
      <c r="E35" s="3037"/>
      <c r="F35" s="3037"/>
      <c r="G35" s="3038"/>
      <c r="I35" s="3054">
        <v>10</v>
      </c>
      <c r="J35" s="3054">
        <v>67</v>
      </c>
      <c r="K35" s="3054">
        <f>J35-J34</f>
        <v>11.899999999999999</v>
      </c>
    </row>
    <row r="36" spans="1:13">
      <c r="A36" s="3036" t="s">
        <v>2536</v>
      </c>
      <c r="B36" s="3037"/>
      <c r="C36" s="3037"/>
      <c r="D36" s="3037"/>
      <c r="E36" s="3037"/>
      <c r="F36" s="3037"/>
      <c r="G36" s="3038"/>
      <c r="I36" s="3054">
        <v>15</v>
      </c>
      <c r="J36" s="3054">
        <v>76.3</v>
      </c>
      <c r="K36" s="3054">
        <f t="shared" ref="K36:K41" si="3">J36-J35</f>
        <v>9.2999999999999972</v>
      </c>
      <c r="L36" s="3054" t="s">
        <v>2564</v>
      </c>
      <c r="M36" s="3054" t="s">
        <v>2565</v>
      </c>
    </row>
    <row r="37" spans="1:13">
      <c r="A37" s="3036" t="s">
        <v>2537</v>
      </c>
      <c r="B37" s="3037"/>
      <c r="C37" s="3037"/>
      <c r="D37" s="3037"/>
      <c r="E37" s="3037"/>
      <c r="F37" s="3037"/>
      <c r="G37" s="3038"/>
      <c r="I37" s="3054">
        <v>20</v>
      </c>
      <c r="J37" s="3054">
        <v>83.6</v>
      </c>
      <c r="K37" s="3054">
        <f t="shared" si="3"/>
        <v>7.2999999999999972</v>
      </c>
      <c r="L37" s="3054" t="s">
        <v>2563</v>
      </c>
      <c r="M37" s="3054">
        <v>10</v>
      </c>
    </row>
    <row r="38" spans="1:13">
      <c r="A38" s="3036" t="s">
        <v>2538</v>
      </c>
      <c r="B38" s="3037"/>
      <c r="C38" s="3037"/>
      <c r="D38" s="3037"/>
      <c r="E38" s="3037"/>
      <c r="F38" s="3037"/>
      <c r="G38" s="3038"/>
      <c r="I38" s="3054">
        <v>25</v>
      </c>
      <c r="J38" s="3054">
        <v>89.3</v>
      </c>
      <c r="K38" s="3054">
        <f t="shared" si="3"/>
        <v>5.7000000000000028</v>
      </c>
      <c r="L38" s="3054" t="s">
        <v>2567</v>
      </c>
      <c r="M38" s="3054">
        <v>8</v>
      </c>
    </row>
    <row r="39" spans="1:13">
      <c r="A39" s="3036"/>
      <c r="B39" s="3037"/>
      <c r="C39" s="3037"/>
      <c r="D39" s="3037"/>
      <c r="E39" s="3037"/>
      <c r="F39" s="3037"/>
      <c r="G39" s="3038"/>
      <c r="I39" s="3054">
        <v>30</v>
      </c>
      <c r="J39" s="3054">
        <v>93.8</v>
      </c>
      <c r="K39" s="3054">
        <f t="shared" si="3"/>
        <v>4.5</v>
      </c>
      <c r="L39" s="3054" t="s">
        <v>2568</v>
      </c>
      <c r="M39" s="3054">
        <v>6</v>
      </c>
    </row>
    <row r="40" spans="1:13">
      <c r="A40" s="3039" t="s">
        <v>2539</v>
      </c>
      <c r="B40" s="3040"/>
      <c r="C40" s="3040"/>
      <c r="D40" s="3040"/>
      <c r="E40" s="3040"/>
      <c r="F40" s="3040"/>
      <c r="G40" s="3041"/>
      <c r="I40" s="3054">
        <v>35</v>
      </c>
      <c r="J40" s="3054">
        <v>97.2</v>
      </c>
      <c r="K40" s="3054">
        <f t="shared" si="3"/>
        <v>3.4000000000000057</v>
      </c>
      <c r="L40" s="3054" t="s">
        <v>2569</v>
      </c>
      <c r="M40" s="3054">
        <v>3</v>
      </c>
    </row>
    <row r="41" spans="1:13">
      <c r="A41" s="3042" t="s">
        <v>2540</v>
      </c>
      <c r="B41" s="3043" t="s">
        <v>2541</v>
      </c>
      <c r="C41" s="3044" t="s">
        <v>2542</v>
      </c>
      <c r="D41" s="3044" t="s">
        <v>2543</v>
      </c>
      <c r="E41" s="3045"/>
      <c r="F41" s="3046"/>
      <c r="G41" s="3047"/>
      <c r="I41" s="3054">
        <v>40</v>
      </c>
      <c r="J41" s="3054">
        <v>100</v>
      </c>
      <c r="K41" s="3054">
        <f t="shared" si="3"/>
        <v>2.7999999999999972</v>
      </c>
    </row>
    <row r="42" spans="1:13">
      <c r="A42" s="3042" t="s">
        <v>2544</v>
      </c>
      <c r="B42" s="3043" t="s">
        <v>2545</v>
      </c>
      <c r="C42" s="3044" t="s">
        <v>2546</v>
      </c>
      <c r="D42" s="3048" t="s">
        <v>2547</v>
      </c>
      <c r="E42" s="3040" t="s">
        <v>2548</v>
      </c>
      <c r="F42" s="3040"/>
      <c r="G42" s="3041"/>
    </row>
    <row r="43" spans="1:13">
      <c r="A43" s="3042" t="s">
        <v>2549</v>
      </c>
      <c r="B43" s="3043" t="s">
        <v>2550</v>
      </c>
      <c r="C43" s="3044" t="s">
        <v>2551</v>
      </c>
      <c r="D43" s="3044" t="s">
        <v>2552</v>
      </c>
      <c r="E43" s="3045" t="s">
        <v>2553</v>
      </c>
      <c r="F43" s="3046"/>
      <c r="G43" s="3047"/>
      <c r="I43" s="3054" t="s">
        <v>2561</v>
      </c>
      <c r="J43" s="3054" t="s">
        <v>2572</v>
      </c>
    </row>
    <row r="44" spans="1:13">
      <c r="A44" s="3042" t="s">
        <v>2554</v>
      </c>
      <c r="B44" s="3043" t="s">
        <v>2555</v>
      </c>
      <c r="C44" s="3044" t="s">
        <v>2556</v>
      </c>
      <c r="D44" s="3048">
        <v>0.5</v>
      </c>
      <c r="E44" s="3045" t="s">
        <v>2557</v>
      </c>
      <c r="F44" s="3046"/>
      <c r="G44" s="3047"/>
      <c r="I44" s="3054">
        <v>30</v>
      </c>
      <c r="J44" s="3054">
        <v>81.7</v>
      </c>
    </row>
    <row r="45" spans="1:13" ht="14.25" thickBot="1">
      <c r="A45" s="3049" t="s">
        <v>2558</v>
      </c>
      <c r="B45" s="3050" t="s">
        <v>2545</v>
      </c>
      <c r="C45" s="3051" t="s">
        <v>2545</v>
      </c>
      <c r="D45" s="3051" t="s">
        <v>2559</v>
      </c>
      <c r="E45" s="3052" t="s">
        <v>2560</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11" sqref="B11"/>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4" customWidth="1"/>
    <col min="12" max="13" width="10" style="2625"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2165</v>
      </c>
      <c r="B1" s="3560" t="str">
        <f>IF(B10="北京市","北京市",C10)&amp;F10&amp;IF(结果表!G1="在建","出让国有建设用地使用权及在建建筑物",IF(结果表!G1="土地","出让国有建设用地使用权",))&amp;B9&amp;"预评估"</f>
        <v>北京市房地产抵押价值预评估</v>
      </c>
      <c r="C1" s="3561"/>
      <c r="D1" s="3561"/>
      <c r="E1" s="3561"/>
      <c r="F1" s="3561"/>
      <c r="G1" s="3561"/>
      <c r="H1" s="3561"/>
      <c r="I1" s="3562"/>
      <c r="J1" s="2468"/>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北京市房地产抵押价值</v>
      </c>
      <c r="T1" s="1743"/>
      <c r="U1" s="1743"/>
      <c r="V1" s="1743"/>
      <c r="W1" s="1743"/>
      <c r="X1" s="1743"/>
      <c r="Y1" s="1743"/>
      <c r="Z1" s="1743"/>
      <c r="AA1" s="1743"/>
      <c r="AB1" s="1743"/>
    </row>
    <row r="2" spans="1:30">
      <c r="A2" s="2365" t="s">
        <v>2166</v>
      </c>
      <c r="B2" s="2369"/>
      <c r="C2" s="2370"/>
      <c r="D2" s="2666"/>
      <c r="E2" s="2658"/>
      <c r="F2" s="2658"/>
      <c r="G2" s="2659"/>
      <c r="H2" s="2659"/>
      <c r="I2" s="2659"/>
      <c r="J2" s="2468"/>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2" t="s">
        <v>2167</v>
      </c>
      <c r="B3" s="2371">
        <v>45498</v>
      </c>
      <c r="C3" s="2372" t="s">
        <v>2168</v>
      </c>
      <c r="D3" s="2371">
        <f>B3</f>
        <v>45498</v>
      </c>
      <c r="E3" s="2659"/>
      <c r="F3" s="2659"/>
      <c r="G3" s="2659"/>
      <c r="H3" s="2659"/>
      <c r="I3" s="2659"/>
      <c r="J3" s="2468"/>
      <c r="K3" s="2366"/>
      <c r="L3" s="2367"/>
      <c r="M3" s="2367"/>
      <c r="N3" s="2368"/>
      <c r="O3" s="1574"/>
      <c r="P3" s="2368"/>
      <c r="Q3" s="2368"/>
      <c r="R3" s="2368"/>
      <c r="S3" s="1680"/>
      <c r="T3" s="1743"/>
      <c r="U3" s="1743"/>
      <c r="V3" s="1743"/>
      <c r="W3" s="1743"/>
      <c r="X3" s="1743"/>
      <c r="Y3" s="1743"/>
      <c r="Z3" s="1743"/>
      <c r="AA3" s="1743"/>
      <c r="AB3" s="1743"/>
    </row>
    <row r="4" spans="1:30" ht="13.5" thickBot="1">
      <c r="A4" s="1088" t="s">
        <v>2169</v>
      </c>
      <c r="B4" s="2373" t="s">
        <v>3377</v>
      </c>
      <c r="C4" s="2374">
        <f ca="1">SUMIF(注册房地产估价师,B4,估价师及机构信息!B3:B24)</f>
        <v>1120070131</v>
      </c>
      <c r="D4" s="2373" t="s">
        <v>3378</v>
      </c>
      <c r="E4" s="2375">
        <f ca="1">SUMIF(注册房地产估价师,D4,估价师及机构信息!B3:B24)</f>
        <v>1419970001</v>
      </c>
      <c r="F4" s="2373"/>
      <c r="G4" s="2375">
        <f>SUMIF(注册房地产估价师,F4,估价师及机构信息!B3:B24)</f>
        <v>0</v>
      </c>
      <c r="H4" s="2373"/>
      <c r="I4" s="2375">
        <f>SUMIF(注册房地产估价师,H4,估价师及机构信息!B3:B24)</f>
        <v>0</v>
      </c>
      <c r="J4" s="2437"/>
      <c r="K4" s="2376" t="str">
        <f ca="1">CONCATENATE(B4,"（注册号：",C4,")、",D4,"（注册号：",E4,")")</f>
        <v>郑燚（注册号：1120070131)、吴薇（注册号：1419970001)</v>
      </c>
      <c r="L4" s="2367"/>
      <c r="M4" s="2367"/>
      <c r="N4" s="2368"/>
      <c r="O4" s="1574"/>
      <c r="P4" s="2368"/>
      <c r="Q4" s="2368"/>
      <c r="R4" s="2368"/>
      <c r="S4" s="1680"/>
      <c r="T4" s="1743"/>
      <c r="U4" s="1743"/>
      <c r="V4" s="1743"/>
      <c r="W4" s="1743"/>
      <c r="X4" s="1743"/>
      <c r="Y4" s="1743"/>
      <c r="Z4" s="1743"/>
      <c r="AA4" s="1743"/>
      <c r="AB4" s="1743"/>
    </row>
    <row r="5" spans="1:30" ht="13.5" thickTop="1">
      <c r="A5" s="2377" t="s">
        <v>2170</v>
      </c>
      <c r="B5" s="2378"/>
      <c r="C5" s="2379"/>
      <c r="D5" s="2380"/>
      <c r="E5" s="2660"/>
      <c r="F5" s="2660"/>
      <c r="G5" s="2660"/>
      <c r="H5" s="2660"/>
      <c r="I5" s="2660"/>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2171</v>
      </c>
      <c r="B6" s="2382"/>
      <c r="C6" s="2383"/>
      <c r="D6" s="2384"/>
      <c r="E6" s="2658"/>
      <c r="F6" s="2660"/>
      <c r="G6" s="2660"/>
      <c r="H6" s="2660"/>
      <c r="I6" s="2660"/>
      <c r="J6" s="2437"/>
      <c r="K6" s="2611" t="str">
        <f>IF(COUNTIF(B6,"*上海银行*"),"上海银行","")</f>
        <v/>
      </c>
      <c r="L6" s="2609"/>
      <c r="M6" s="2609"/>
      <c r="N6" s="2437"/>
      <c r="O6" s="2448"/>
      <c r="P6" s="2437"/>
      <c r="Q6" s="2437"/>
      <c r="R6" s="2437"/>
    </row>
    <row r="7" spans="1:30">
      <c r="A7" s="2381" t="s">
        <v>2172</v>
      </c>
      <c r="B7" s="2385"/>
      <c r="C7" s="2383"/>
      <c r="D7" s="2384"/>
      <c r="E7" s="2658"/>
      <c r="F7" s="2660"/>
      <c r="G7" s="2660"/>
      <c r="H7" s="2660"/>
      <c r="I7" s="2660"/>
      <c r="J7" s="2437"/>
      <c r="K7" s="2612"/>
      <c r="L7" s="2609"/>
      <c r="M7" s="2609"/>
      <c r="N7" s="2437"/>
      <c r="O7" s="2448"/>
      <c r="P7" s="2437"/>
      <c r="Q7" s="2437"/>
      <c r="R7" s="2437"/>
    </row>
    <row r="8" spans="1:30">
      <c r="A8" s="2386" t="s">
        <v>2173</v>
      </c>
      <c r="B8" s="2387" t="s">
        <v>3583</v>
      </c>
      <c r="C8" s="2388"/>
      <c r="D8" s="3563" t="s">
        <v>2174</v>
      </c>
      <c r="E8" s="2389" t="s">
        <v>3584</v>
      </c>
      <c r="F8" s="2390"/>
      <c r="G8" s="2659"/>
      <c r="H8" s="2659"/>
      <c r="I8" s="2659"/>
      <c r="J8" s="2437"/>
      <c r="K8" s="2610"/>
      <c r="L8" s="2609"/>
      <c r="M8" s="2609"/>
      <c r="N8" s="2437"/>
      <c r="O8" s="2448"/>
      <c r="P8" s="2437"/>
      <c r="Q8" s="2437"/>
      <c r="R8" s="2437"/>
    </row>
    <row r="9" spans="1:30" ht="13.5" thickBot="1">
      <c r="A9" s="2391" t="s">
        <v>2175</v>
      </c>
      <c r="B9" s="2392" t="s">
        <v>3584</v>
      </c>
      <c r="C9" s="2393"/>
      <c r="D9" s="3564"/>
      <c r="E9" s="2392"/>
      <c r="F9" s="2394"/>
      <c r="G9" s="2661"/>
      <c r="H9" s="2661"/>
      <c r="I9" s="2661"/>
      <c r="J9" s="2437"/>
      <c r="K9" s="2612"/>
      <c r="L9" s="2609"/>
      <c r="M9" s="2609"/>
      <c r="N9" s="2437"/>
      <c r="O9" s="2448"/>
      <c r="P9" s="2437"/>
      <c r="Q9" s="2437"/>
      <c r="R9" s="2437"/>
    </row>
    <row r="10" spans="1:30" ht="13.5" thickTop="1">
      <c r="A10" s="2395" t="s">
        <v>2176</v>
      </c>
      <c r="B10" s="2396" t="s">
        <v>3585</v>
      </c>
      <c r="C10" s="2397"/>
      <c r="D10" s="2380"/>
      <c r="E10" s="2398" t="s">
        <v>2177</v>
      </c>
      <c r="F10" s="2662"/>
      <c r="G10" s="2663"/>
      <c r="H10" s="2664"/>
      <c r="I10" s="2665"/>
      <c r="J10" s="2437"/>
      <c r="K10" s="2612"/>
      <c r="L10" s="2609"/>
      <c r="M10" s="2609"/>
      <c r="N10" s="2437"/>
      <c r="O10" s="2448"/>
      <c r="P10" s="2437"/>
      <c r="Q10" s="2437"/>
      <c r="R10" s="2437"/>
    </row>
    <row r="11" spans="1:30">
      <c r="A11" s="2399" t="s">
        <v>2178</v>
      </c>
      <c r="B11" s="2400" t="s">
        <v>3586</v>
      </c>
      <c r="C11" s="2401"/>
      <c r="D11" s="2402"/>
      <c r="E11" s="2368"/>
      <c r="F11" s="2368"/>
      <c r="G11" s="2368"/>
      <c r="H11" s="2368"/>
      <c r="I11" s="2368"/>
      <c r="J11" s="3057"/>
      <c r="K11" s="3056"/>
      <c r="L11" s="2609"/>
      <c r="M11" s="2609"/>
      <c r="N11" s="2437"/>
      <c r="O11" s="2448"/>
      <c r="P11" s="2437"/>
      <c r="Q11" s="2437"/>
      <c r="R11" s="2437"/>
    </row>
    <row r="12" spans="1:30">
      <c r="A12" s="2403" t="s">
        <v>2179</v>
      </c>
      <c r="B12" s="323" t="s">
        <v>2180</v>
      </c>
      <c r="C12" s="2404" t="s">
        <v>2181</v>
      </c>
      <c r="D12" s="2404" t="s">
        <v>2182</v>
      </c>
      <c r="E12" s="2404" t="s">
        <v>2183</v>
      </c>
      <c r="F12" s="2404" t="s">
        <v>2184</v>
      </c>
      <c r="G12" s="2404" t="s">
        <v>2185</v>
      </c>
      <c r="H12" s="2404" t="s">
        <v>2186</v>
      </c>
      <c r="I12" s="3055" t="s">
        <v>2573</v>
      </c>
      <c r="J12" s="3058"/>
      <c r="K12" s="2609"/>
      <c r="L12" s="2609"/>
      <c r="M12" s="2437"/>
      <c r="N12" s="2448"/>
      <c r="O12" s="2437"/>
      <c r="P12" s="2437"/>
      <c r="Q12" s="2437"/>
      <c r="AD12" s="1743"/>
    </row>
    <row r="13" spans="1:30">
      <c r="A13" s="3419" t="s">
        <v>3329</v>
      </c>
      <c r="B13" s="2405" t="s">
        <v>2187</v>
      </c>
      <c r="C13" s="855"/>
      <c r="D13" s="855">
        <v>52662</v>
      </c>
      <c r="E13" s="855">
        <v>56314</v>
      </c>
      <c r="F13" s="855"/>
      <c r="G13" s="855"/>
      <c r="H13" s="855"/>
      <c r="I13" s="855"/>
      <c r="J13" s="3058"/>
      <c r="K13" s="2609"/>
      <c r="L13" s="2609"/>
      <c r="M13" s="2437"/>
      <c r="N13" s="2448"/>
      <c r="O13" s="2437"/>
      <c r="P13" s="2437"/>
      <c r="Q13" s="2437"/>
      <c r="AD13" s="1743"/>
    </row>
    <row r="14" spans="1:30">
      <c r="A14" s="1079"/>
      <c r="B14" s="2405" t="s">
        <v>2188</v>
      </c>
      <c r="C14" s="2406"/>
      <c r="D14" s="2406">
        <v>40</v>
      </c>
      <c r="E14" s="2406">
        <v>50</v>
      </c>
      <c r="F14" s="2406"/>
      <c r="G14" s="2406"/>
      <c r="H14" s="2406"/>
      <c r="I14" s="2406"/>
      <c r="J14" s="3059"/>
      <c r="K14" s="2609"/>
      <c r="L14" s="2609"/>
      <c r="M14" s="2437"/>
      <c r="N14" s="2448"/>
      <c r="O14" s="2437"/>
      <c r="P14" s="2437"/>
      <c r="Q14" s="2437"/>
      <c r="AD14" s="1743"/>
    </row>
    <row r="15" spans="1:30">
      <c r="A15" s="320"/>
      <c r="B15" s="2407" t="s">
        <v>2189</v>
      </c>
      <c r="C15" s="2408" t="str">
        <f>IF(A13="出让",IF(C13="","",ROUNDDOWN(MIN((C13-$D$3)/365,C14),2)),C14)</f>
        <v/>
      </c>
      <c r="D15" s="2408">
        <f>IF(A13="出让",IF(D13="","",ROUNDDOWN(MIN((D13-$D$3)/365,D14),2)),D14)</f>
        <v>19.62</v>
      </c>
      <c r="E15" s="2408">
        <f>IF(A13="出让",IF(E13="","",ROUNDDOWN(MIN((E13-$D$3)/365,E14),2)),E14)</f>
        <v>29.63</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0"/>
      <c r="K15" s="2449"/>
      <c r="L15" s="2449"/>
      <c r="M15" s="2505"/>
      <c r="N15" s="2449"/>
      <c r="O15" s="2505"/>
      <c r="P15" s="2437"/>
      <c r="Q15" s="2437"/>
      <c r="AD15" s="1743"/>
    </row>
    <row r="16" spans="1:30">
      <c r="A16" s="2398" t="s">
        <v>2190</v>
      </c>
      <c r="B16" s="3570"/>
      <c r="C16" s="3571"/>
      <c r="D16" s="3572"/>
      <c r="E16" s="2411" t="s">
        <v>2191</v>
      </c>
      <c r="F16" s="3573"/>
      <c r="G16" s="3574"/>
      <c r="H16" s="3574"/>
      <c r="I16" s="3575"/>
      <c r="J16" s="2437"/>
      <c r="K16" s="2613"/>
      <c r="L16" s="2449"/>
      <c r="M16" s="2449"/>
      <c r="N16" s="2505"/>
      <c r="O16" s="2449"/>
      <c r="P16" s="2505"/>
      <c r="Q16" s="2437"/>
      <c r="R16" s="2437"/>
    </row>
    <row r="17" spans="1:28">
      <c r="A17" s="313" t="s">
        <v>2192</v>
      </c>
      <c r="B17" s="302" t="s">
        <v>2193</v>
      </c>
      <c r="C17" s="8">
        <f>'数据-汇总表'!E3</f>
        <v>616.89</v>
      </c>
      <c r="D17" s="2320" t="s">
        <v>2194</v>
      </c>
      <c r="E17" s="3576" t="s">
        <v>2195</v>
      </c>
      <c r="F17" s="3577"/>
      <c r="G17" s="3577"/>
      <c r="H17" s="3577"/>
      <c r="I17" s="3578"/>
      <c r="J17" s="2437"/>
      <c r="K17" s="2614"/>
      <c r="L17" s="2449"/>
      <c r="M17" s="2449"/>
      <c r="N17" s="2505"/>
      <c r="O17" s="2449"/>
      <c r="P17" s="2505"/>
      <c r="Q17" s="2437"/>
      <c r="R17" s="2437"/>
      <c r="S17" s="2437"/>
      <c r="T17" s="2437"/>
      <c r="U17" s="2437"/>
      <c r="V17" s="2437"/>
    </row>
    <row r="18" spans="1:28" ht="24.75" thickBot="1">
      <c r="A18" s="2412" t="s">
        <v>2196</v>
      </c>
      <c r="B18" s="1088" t="s">
        <v>2197</v>
      </c>
      <c r="C18" s="2413">
        <f>'数据-汇总表'!D3</f>
        <v>69.53</v>
      </c>
      <c r="D18" s="1090" t="s">
        <v>2198</v>
      </c>
      <c r="E18" s="3579" t="s">
        <v>2199</v>
      </c>
      <c r="F18" s="3580"/>
      <c r="G18" s="3580"/>
      <c r="H18" s="3580"/>
      <c r="I18" s="3581"/>
      <c r="J18" s="2437"/>
      <c r="K18" s="2614"/>
      <c r="L18" s="2449"/>
      <c r="M18" s="2449"/>
      <c r="N18" s="2505"/>
      <c r="O18" s="2449"/>
      <c r="P18" s="2505"/>
      <c r="Q18" s="2437"/>
      <c r="R18" s="2437"/>
      <c r="S18" s="2437"/>
      <c r="T18" s="2437"/>
      <c r="U18" s="2437"/>
      <c r="V18" s="2437"/>
    </row>
    <row r="19" spans="1:28" ht="37.5" thickTop="1" thickBot="1">
      <c r="A19" s="327" t="s">
        <v>1053</v>
      </c>
      <c r="B19" s="307" t="s">
        <v>2200</v>
      </c>
      <c r="C19" s="1561" t="s">
        <v>3379</v>
      </c>
      <c r="D19" s="1562" t="s">
        <v>2201</v>
      </c>
      <c r="E19" s="1563"/>
      <c r="F19" s="1564" t="str">
        <f>IF(AND(C19="是",E19="否"),"是否提供他项权证或相关说明","")</f>
        <v/>
      </c>
      <c r="G19" s="1565"/>
      <c r="H19" s="2660"/>
      <c r="I19" s="2660"/>
      <c r="J19" s="2437"/>
      <c r="K19" s="2612"/>
      <c r="L19" s="2609"/>
      <c r="M19" s="2609"/>
      <c r="N19" s="2505"/>
      <c r="O19" s="2449"/>
      <c r="P19" s="2505"/>
      <c r="Q19" s="2437"/>
      <c r="R19" s="2437"/>
      <c r="S19" s="2437"/>
      <c r="T19" s="2437"/>
      <c r="U19" s="2437"/>
      <c r="V19" s="2437"/>
    </row>
    <row r="20" spans="1:28">
      <c r="A20" s="2628" t="s">
        <v>2202</v>
      </c>
      <c r="B20" s="3566" t="s">
        <v>2203</v>
      </c>
      <c r="C20" s="3567"/>
      <c r="D20" s="3568" t="s">
        <v>2204</v>
      </c>
      <c r="E20" s="3569"/>
      <c r="F20" s="2643" t="s">
        <v>1054</v>
      </c>
      <c r="G20" s="2660"/>
      <c r="H20" s="2660"/>
      <c r="I20" s="2660"/>
      <c r="J20" s="2437"/>
      <c r="K20" s="3565" t="s">
        <v>2205</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7"/>
      <c r="N20" s="2410"/>
      <c r="O20" s="2409"/>
      <c r="P20" s="2410"/>
      <c r="Q20" s="2368"/>
      <c r="R20" s="2368"/>
      <c r="S20" s="2368"/>
      <c r="T20" s="2368"/>
      <c r="U20" s="2368"/>
      <c r="V20" s="2368"/>
      <c r="W20" s="1743"/>
      <c r="X20" s="1743"/>
      <c r="Y20" s="1743"/>
      <c r="Z20" s="1743"/>
      <c r="AA20" s="1743"/>
      <c r="AB20" s="1743"/>
    </row>
    <row r="21" spans="1:28" ht="24.75" thickBot="1">
      <c r="A21" s="2628"/>
      <c r="B21" s="2629" t="s">
        <v>2206</v>
      </c>
      <c r="C21" s="2630" t="s">
        <v>1055</v>
      </c>
      <c r="D21" s="1566" t="s">
        <v>2207</v>
      </c>
      <c r="E21" s="2631" t="s">
        <v>1055</v>
      </c>
      <c r="F21" s="2644"/>
      <c r="G21" s="2660"/>
      <c r="H21" s="2660"/>
      <c r="I21" s="2660"/>
      <c r="J21" s="2437"/>
      <c r="K21" s="3565"/>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28"/>
      <c r="B22" s="2632" t="s">
        <v>2208</v>
      </c>
      <c r="C22" s="2630" t="s">
        <v>1056</v>
      </c>
      <c r="D22" s="2659"/>
      <c r="E22" s="2659"/>
      <c r="F22" s="2659"/>
      <c r="G22" s="2660"/>
      <c r="H22" s="2660"/>
      <c r="I22" s="2660"/>
      <c r="J22" s="2437"/>
      <c r="K22" s="3565"/>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3" t="s">
        <v>2209</v>
      </c>
      <c r="B23" s="2498" t="s">
        <v>2210</v>
      </c>
      <c r="C23" s="2634"/>
      <c r="D23" s="2635" t="s">
        <v>2210</v>
      </c>
      <c r="E23" s="2636"/>
      <c r="F23" s="2659"/>
      <c r="G23" s="2660"/>
      <c r="H23" s="2660"/>
      <c r="I23" s="2660"/>
      <c r="J23" s="2437"/>
      <c r="K23" s="2615"/>
      <c r="L23" s="2472"/>
      <c r="M23" s="2609"/>
      <c r="N23" s="2505"/>
      <c r="O23" s="2449"/>
      <c r="P23" s="2505"/>
      <c r="Q23" s="2437"/>
      <c r="R23" s="2437"/>
      <c r="S23" s="2437"/>
      <c r="T23" s="2437"/>
      <c r="U23" s="2437"/>
      <c r="V23" s="2437"/>
    </row>
    <row r="24" spans="1:28">
      <c r="A24" s="2633"/>
      <c r="B24" s="2498" t="s">
        <v>1057</v>
      </c>
      <c r="C24" s="2637"/>
      <c r="D24" s="2633" t="s">
        <v>1057</v>
      </c>
      <c r="E24" s="2638"/>
      <c r="F24" s="2659"/>
      <c r="G24" s="2660"/>
      <c r="H24" s="2660"/>
      <c r="I24" s="2660"/>
      <c r="J24" s="2437"/>
      <c r="K24" s="2615"/>
      <c r="L24" s="2472"/>
      <c r="M24" s="2609"/>
      <c r="N24" s="2505"/>
      <c r="O24" s="2449"/>
      <c r="P24" s="2505"/>
      <c r="Q24" s="2437"/>
      <c r="R24" s="2437"/>
      <c r="S24" s="2437"/>
      <c r="T24" s="2437"/>
      <c r="U24" s="2437"/>
      <c r="V24" s="2437"/>
    </row>
    <row r="25" spans="1:28">
      <c r="A25" s="2633"/>
      <c r="B25" s="2498" t="s">
        <v>1058</v>
      </c>
      <c r="C25" s="2637"/>
      <c r="D25" s="2633" t="s">
        <v>1058</v>
      </c>
      <c r="E25" s="2638"/>
      <c r="F25" s="2659"/>
      <c r="G25" s="2660"/>
      <c r="H25" s="2660"/>
      <c r="I25" s="2660"/>
      <c r="J25" s="2437"/>
      <c r="K25" s="2612"/>
      <c r="L25" s="2609"/>
      <c r="M25" s="2609"/>
      <c r="N25" s="2505"/>
      <c r="O25" s="2449"/>
      <c r="P25" s="2505"/>
      <c r="Q25" s="2437"/>
      <c r="R25" s="2437"/>
      <c r="S25" s="2437"/>
      <c r="T25" s="2437"/>
      <c r="U25" s="2437"/>
      <c r="V25" s="2437"/>
    </row>
    <row r="26" spans="1:28" ht="13.5" thickBot="1">
      <c r="A26" s="2639"/>
      <c r="B26" s="2640" t="s">
        <v>1059</v>
      </c>
      <c r="C26" s="2641"/>
      <c r="D26" s="2639" t="s">
        <v>1059</v>
      </c>
      <c r="E26" s="2642"/>
      <c r="F26" s="2661"/>
      <c r="G26" s="2661"/>
      <c r="H26" s="2661"/>
      <c r="I26" s="2661"/>
      <c r="J26" s="2437"/>
      <c r="K26" s="2612"/>
      <c r="L26" s="2609"/>
      <c r="M26" s="2609"/>
      <c r="N26" s="2505"/>
      <c r="O26" s="2449"/>
      <c r="P26" s="2505"/>
      <c r="Q26" s="2437"/>
      <c r="R26" s="2437"/>
      <c r="S26" s="2437"/>
      <c r="T26" s="2437"/>
      <c r="U26" s="2437"/>
      <c r="V26" s="2437"/>
    </row>
    <row r="27" spans="1:28" ht="13.5" thickTop="1">
      <c r="A27" s="3583" t="s">
        <v>2211</v>
      </c>
      <c r="B27" s="320" t="s">
        <v>2212</v>
      </c>
      <c r="C27" s="2414"/>
      <c r="D27" s="2415"/>
      <c r="E27" s="2660"/>
      <c r="F27" s="2660"/>
      <c r="G27" s="2660"/>
      <c r="H27" s="2660"/>
      <c r="I27" s="2660"/>
      <c r="J27" s="2437"/>
      <c r="K27" s="2613"/>
      <c r="L27" s="2449"/>
      <c r="M27" s="2449"/>
      <c r="N27" s="2505"/>
      <c r="O27" s="2449"/>
      <c r="P27" s="2505"/>
      <c r="Q27" s="2437"/>
      <c r="R27" s="2437"/>
      <c r="S27" s="2437"/>
      <c r="T27" s="2437"/>
      <c r="U27" s="2437"/>
      <c r="V27" s="2437"/>
    </row>
    <row r="28" spans="1:28">
      <c r="A28" s="3583"/>
      <c r="B28" s="302" t="s">
        <v>2213</v>
      </c>
      <c r="C28" s="2416"/>
      <c r="D28" s="2417"/>
      <c r="E28" s="2660"/>
      <c r="F28" s="2660"/>
      <c r="G28" s="2660"/>
      <c r="H28" s="2660"/>
      <c r="I28" s="2660"/>
      <c r="J28" s="2437"/>
      <c r="K28" s="2612"/>
      <c r="L28" s="2609"/>
      <c r="M28" s="2609"/>
      <c r="N28" s="2437"/>
      <c r="O28" s="2448"/>
      <c r="P28" s="2437"/>
      <c r="Q28" s="2437"/>
      <c r="R28" s="2437"/>
      <c r="S28" s="2437"/>
      <c r="T28" s="2437"/>
      <c r="U28" s="2437"/>
      <c r="V28" s="2437"/>
    </row>
    <row r="29" spans="1:28">
      <c r="A29" s="3583"/>
      <c r="B29" s="302" t="s">
        <v>2214</v>
      </c>
      <c r="C29" s="2418"/>
      <c r="D29" s="2419"/>
      <c r="E29" s="2660"/>
      <c r="F29" s="2660"/>
      <c r="G29" s="2660"/>
      <c r="H29" s="2660"/>
      <c r="I29" s="2660"/>
      <c r="J29" s="2437"/>
      <c r="K29" s="2612"/>
      <c r="L29" s="2609"/>
      <c r="M29" s="2609"/>
      <c r="N29" s="2437"/>
      <c r="O29" s="2448"/>
      <c r="P29" s="2437"/>
      <c r="Q29" s="2437"/>
      <c r="R29" s="2437"/>
      <c r="S29" s="2437"/>
      <c r="T29" s="2437"/>
      <c r="U29" s="2437"/>
      <c r="V29" s="2437"/>
    </row>
    <row r="30" spans="1:28">
      <c r="A30" s="3584"/>
      <c r="B30" s="302" t="s">
        <v>2215</v>
      </c>
      <c r="C30" s="3585"/>
      <c r="D30" s="3586"/>
      <c r="E30" s="2660"/>
      <c r="F30" s="2660"/>
      <c r="G30" s="2660"/>
      <c r="H30" s="2660"/>
      <c r="I30" s="2660"/>
      <c r="J30" s="2437"/>
      <c r="K30" s="2612"/>
      <c r="L30" s="2609"/>
      <c r="M30" s="2609"/>
      <c r="N30" s="2437"/>
      <c r="O30" s="2448"/>
      <c r="P30" s="2437"/>
      <c r="Q30" s="2437"/>
      <c r="R30" s="2437"/>
      <c r="S30" s="2437"/>
      <c r="T30" s="2437"/>
      <c r="U30" s="2437"/>
      <c r="V30" s="2437"/>
    </row>
    <row r="31" spans="1:28">
      <c r="A31" s="3587" t="s">
        <v>2216</v>
      </c>
      <c r="B31" s="2420"/>
      <c r="C31" s="2321" t="str">
        <f>IF(B31="现房","成新及维护状况正常否",IF(B31="在建","工程状态是否正常",IF(B31="土地","是否闲置","-")))</f>
        <v>-</v>
      </c>
      <c r="D31" s="1371"/>
      <c r="E31" s="2421"/>
      <c r="F31" s="2660"/>
      <c r="G31" s="2660"/>
      <c r="H31" s="2660"/>
      <c r="I31" s="2660"/>
      <c r="J31" s="2437"/>
      <c r="K31" s="2611"/>
      <c r="L31" s="2609"/>
      <c r="M31" s="2609"/>
      <c r="N31" s="2437"/>
      <c r="O31" s="2448"/>
      <c r="P31" s="2437"/>
      <c r="Q31" s="2437"/>
      <c r="R31" s="2437"/>
      <c r="S31" s="2437"/>
      <c r="T31" s="2437"/>
      <c r="U31" s="2437"/>
      <c r="V31" s="2437"/>
    </row>
    <row r="32" spans="1:28">
      <c r="A32" s="3588"/>
      <c r="B32" s="2420"/>
      <c r="C32" s="2321" t="str">
        <f>IF(B32="现房","成新及维护状况是否正常",IF(B32="在建","工程状态是否正常",IF(B32="土地","是否闲置","-")))</f>
        <v>-</v>
      </c>
      <c r="D32" s="1371"/>
      <c r="E32" s="2421"/>
      <c r="F32" s="2660"/>
      <c r="G32" s="2660"/>
      <c r="H32" s="2660"/>
      <c r="I32" s="2660"/>
      <c r="J32" s="2437"/>
      <c r="K32" s="2612"/>
      <c r="L32" s="2609"/>
      <c r="M32" s="2609"/>
      <c r="N32" s="2437"/>
      <c r="O32" s="2448"/>
      <c r="P32" s="2437"/>
      <c r="Q32" s="2437"/>
      <c r="R32" s="2437"/>
      <c r="S32" s="2437"/>
      <c r="T32" s="2437"/>
      <c r="U32" s="2437"/>
      <c r="V32" s="2437"/>
    </row>
    <row r="33" spans="1:30">
      <c r="A33" s="3588"/>
      <c r="B33" s="2423"/>
      <c r="C33" s="1588" t="str">
        <f>IF(B33="现房","成新及维护状况是否正常",IF(B33="在建","工程状态是否正常",IF(B33="土地","是否闲置","-")))</f>
        <v>-</v>
      </c>
      <c r="D33" s="1363"/>
      <c r="E33" s="2424"/>
      <c r="F33" s="2660"/>
      <c r="G33" s="2660"/>
      <c r="H33" s="2660"/>
      <c r="I33" s="2660"/>
      <c r="J33" s="2437"/>
      <c r="K33" s="2612"/>
      <c r="L33" s="2609"/>
      <c r="M33" s="2609"/>
      <c r="N33" s="2437"/>
      <c r="O33" s="2448"/>
      <c r="P33" s="2437"/>
      <c r="Q33" s="2437"/>
      <c r="R33" s="2437"/>
      <c r="S33" s="2437"/>
      <c r="T33" s="2437"/>
      <c r="U33" s="2437"/>
      <c r="V33" s="2437"/>
    </row>
    <row r="34" spans="1:30">
      <c r="A34" s="302" t="s">
        <v>2217</v>
      </c>
      <c r="B34" s="2024"/>
      <c r="C34" s="2024"/>
      <c r="D34" s="2024"/>
      <c r="E34" s="2024"/>
      <c r="F34" s="2024"/>
      <c r="G34" s="2024"/>
      <c r="H34" s="2024"/>
      <c r="I34" s="2660"/>
      <c r="J34" s="2437"/>
      <c r="K34" s="2425">
        <f>COUNTIF(B34:H34,"——")</f>
        <v>0</v>
      </c>
      <c r="L34" s="323" t="s">
        <v>2218</v>
      </c>
      <c r="M34" s="323" t="s">
        <v>2219</v>
      </c>
      <c r="N34" s="323" t="s">
        <v>2220</v>
      </c>
      <c r="O34" s="323" t="s">
        <v>2221</v>
      </c>
      <c r="P34" s="323" t="s">
        <v>2222</v>
      </c>
      <c r="Q34" s="323" t="s">
        <v>2223</v>
      </c>
      <c r="R34" s="323" t="s">
        <v>2224</v>
      </c>
      <c r="S34" s="3582" t="s">
        <v>2225</v>
      </c>
      <c r="T34" s="2426" t="str">
        <f>NUMBERSTRING(7-K34,1)&amp;"通"</f>
        <v>七通</v>
      </c>
      <c r="U34" s="2437"/>
      <c r="V34" s="2437"/>
    </row>
    <row r="35" spans="1:30">
      <c r="A35" s="2427"/>
      <c r="B35" s="3589" t="s">
        <v>2226</v>
      </c>
      <c r="C35" s="3589"/>
      <c r="D35" s="3589"/>
      <c r="E35" s="3589"/>
      <c r="F35" s="663">
        <f>C10</f>
        <v>0</v>
      </c>
      <c r="G35" s="2660"/>
      <c r="H35" s="2660"/>
      <c r="I35" s="2660"/>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82"/>
      <c r="T35" s="329" t="str">
        <f>IF(T34="一通",L35,IF(T34="二通",M35,IF(T34="三通",N35,IF(T34="四通",O35,IF(T34="五通",P35,IF(T34="六通",Q35,R35))))))</f>
        <v>、、、、、、</v>
      </c>
      <c r="U35" s="2437"/>
      <c r="V35" s="2437"/>
    </row>
    <row r="36" spans="1:30">
      <c r="A36" s="2428"/>
      <c r="B36" s="663" t="s">
        <v>2182</v>
      </c>
      <c r="C36" s="663" t="s">
        <v>2183</v>
      </c>
      <c r="D36" s="663" t="s">
        <v>2181</v>
      </c>
      <c r="E36" s="663" t="s">
        <v>2186</v>
      </c>
      <c r="F36" s="3061" t="s">
        <v>2576</v>
      </c>
      <c r="G36" s="2660"/>
      <c r="H36" s="2660"/>
      <c r="I36" s="2660"/>
      <c r="J36" s="2437"/>
      <c r="K36" s="2612"/>
      <c r="L36" s="2609"/>
      <c r="M36" s="2609"/>
      <c r="N36" s="2437"/>
      <c r="O36" s="2448"/>
      <c r="P36" s="2437"/>
      <c r="Q36" s="2437"/>
      <c r="R36" s="2437"/>
      <c r="S36" s="2437"/>
      <c r="T36" s="2437"/>
      <c r="U36" s="2437"/>
      <c r="V36" s="2437"/>
    </row>
    <row r="37" spans="1:30">
      <c r="A37" s="2626" t="s">
        <v>2227</v>
      </c>
      <c r="B37" s="2429"/>
      <c r="C37" s="2429"/>
      <c r="D37" s="2429"/>
      <c r="E37" s="2429"/>
      <c r="F37" s="2429"/>
      <c r="G37" s="2660"/>
      <c r="H37" s="2660"/>
      <c r="I37" s="2660"/>
      <c r="J37" s="2437"/>
      <c r="K37" s="2612"/>
      <c r="L37" s="2609"/>
      <c r="M37" s="2609"/>
      <c r="N37" s="2437"/>
      <c r="O37" s="2448"/>
      <c r="P37" s="2437"/>
      <c r="Q37" s="2437"/>
      <c r="R37" s="2437"/>
      <c r="S37" s="2437"/>
      <c r="T37" s="2437"/>
      <c r="U37" s="2437"/>
      <c r="V37" s="2437"/>
    </row>
    <row r="38" spans="1:30" ht="13.5" thickBot="1">
      <c r="A38" s="2627" t="s">
        <v>2228</v>
      </c>
      <c r="B38" s="2430"/>
      <c r="C38" s="2430"/>
      <c r="D38" s="2430"/>
      <c r="E38" s="2430"/>
      <c r="F38" s="2430"/>
      <c r="G38" s="2661"/>
      <c r="H38" s="2661"/>
      <c r="I38" s="2661"/>
      <c r="J38" s="2437"/>
      <c r="K38" s="2612"/>
      <c r="L38" s="2609"/>
      <c r="M38" s="2609"/>
      <c r="N38" s="2437"/>
      <c r="O38" s="2448"/>
      <c r="P38" s="2437"/>
      <c r="Q38" s="2437"/>
      <c r="R38" s="2437"/>
      <c r="S38" s="2437"/>
      <c r="T38" s="2437"/>
      <c r="U38" s="2437"/>
      <c r="V38" s="2437"/>
    </row>
    <row r="39" spans="1:30" s="2433" customFormat="1" ht="14.25" thickTop="1" thickBot="1">
      <c r="A39" s="2431" t="s">
        <v>2229</v>
      </c>
      <c r="B39" s="2432"/>
      <c r="C39" s="2432"/>
      <c r="D39" s="2432"/>
      <c r="E39" s="2432"/>
      <c r="F39" s="2432"/>
      <c r="G39" s="2432"/>
      <c r="H39" s="2432"/>
      <c r="I39" s="2432"/>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8"/>
      <c r="B40" s="2368"/>
      <c r="C40" s="2368"/>
      <c r="D40" s="2368"/>
      <c r="E40" s="2368"/>
      <c r="F40" s="2368"/>
      <c r="G40" s="2368"/>
      <c r="H40" s="2368"/>
      <c r="I40" s="1576"/>
      <c r="J40" s="2505"/>
      <c r="K40" s="2611"/>
      <c r="L40" s="2449"/>
      <c r="M40" s="2449"/>
      <c r="N40" s="2505"/>
      <c r="O40" s="2449"/>
      <c r="P40" s="2437"/>
      <c r="Q40" s="2437"/>
      <c r="R40" s="2437"/>
      <c r="S40" s="2437"/>
      <c r="T40" s="2437"/>
      <c r="U40" s="2437"/>
      <c r="V40" s="2437"/>
    </row>
    <row r="41" spans="1:30">
      <c r="A41" s="2434" t="s">
        <v>2230</v>
      </c>
      <c r="B41" s="1755"/>
      <c r="C41" s="1371"/>
      <c r="D41" s="2368"/>
      <c r="E41" s="2368"/>
      <c r="F41" s="2368"/>
      <c r="G41" s="2368"/>
      <c r="H41" s="2368"/>
      <c r="I41" s="1574"/>
      <c r="J41" s="2437"/>
      <c r="K41" s="2612"/>
      <c r="L41" s="2609"/>
      <c r="M41" s="2609"/>
      <c r="N41" s="2437"/>
      <c r="O41" s="2448"/>
      <c r="P41" s="2437"/>
      <c r="Q41" s="2437"/>
      <c r="R41" s="2437"/>
      <c r="S41" s="2437"/>
      <c r="T41" s="2437"/>
      <c r="U41" s="2437"/>
      <c r="V41" s="2437"/>
    </row>
    <row r="42" spans="1:30" ht="25.5">
      <c r="A42" s="323" t="s">
        <v>2231</v>
      </c>
      <c r="B42" s="8" t="s">
        <v>2232</v>
      </c>
      <c r="C42" s="8" t="s">
        <v>2233</v>
      </c>
      <c r="D42" s="8" t="s">
        <v>2234</v>
      </c>
      <c r="E42" s="8" t="s">
        <v>2235</v>
      </c>
      <c r="F42" s="8" t="s">
        <v>2236</v>
      </c>
      <c r="G42" s="8" t="s">
        <v>2237</v>
      </c>
      <c r="H42" s="8" t="s">
        <v>2238</v>
      </c>
      <c r="I42" s="8" t="s">
        <v>2239</v>
      </c>
      <c r="J42" s="2622" t="s">
        <v>2240</v>
      </c>
      <c r="K42" s="2623" t="s">
        <v>2241</v>
      </c>
      <c r="L42" s="2623" t="s">
        <v>2242</v>
      </c>
      <c r="M42" s="2623" t="s">
        <v>2243</v>
      </c>
      <c r="N42" s="2616" t="s">
        <v>2244</v>
      </c>
      <c r="O42" s="2616" t="s">
        <v>2245</v>
      </c>
      <c r="P42" s="2616" t="s">
        <v>2246</v>
      </c>
      <c r="Q42" s="2617" t="s">
        <v>2247</v>
      </c>
      <c r="R42" s="2617" t="s">
        <v>2248</v>
      </c>
      <c r="S42" s="2437"/>
      <c r="T42" s="2437"/>
      <c r="U42" s="2437"/>
      <c r="V42" s="2437"/>
    </row>
    <row r="43" spans="1:30" s="1741" customFormat="1">
      <c r="A43" s="1568"/>
      <c r="B43" s="1050"/>
      <c r="C43" s="1050"/>
      <c r="D43" s="1050"/>
      <c r="E43" s="1050"/>
      <c r="F43" s="1050"/>
      <c r="G43" s="1050"/>
      <c r="H43" s="1050"/>
      <c r="I43" s="1050"/>
      <c r="J43" s="2435"/>
      <c r="K43" s="2436"/>
      <c r="L43" s="2436"/>
      <c r="M43" s="1050"/>
      <c r="N43" s="1050"/>
      <c r="O43" s="1050"/>
      <c r="P43" s="1050"/>
      <c r="Q43" s="1050"/>
      <c r="R43" s="1050"/>
      <c r="S43" s="2437"/>
      <c r="T43" s="2437"/>
      <c r="U43" s="2437"/>
      <c r="V43" s="2437"/>
    </row>
    <row r="44" spans="1:30" s="1741" customFormat="1">
      <c r="A44" s="1568"/>
      <c r="B44" s="1568"/>
      <c r="C44" s="1050"/>
      <c r="D44" s="1050"/>
      <c r="E44" s="1050"/>
      <c r="F44" s="1050"/>
      <c r="G44" s="1050"/>
      <c r="H44" s="1050"/>
      <c r="I44" s="1050"/>
      <c r="J44" s="2435"/>
      <c r="K44" s="2436"/>
      <c r="L44" s="2436"/>
      <c r="M44" s="1050"/>
      <c r="N44" s="1050"/>
      <c r="O44" s="1050"/>
      <c r="P44" s="1050"/>
      <c r="Q44" s="1050"/>
      <c r="R44" s="1050"/>
      <c r="S44" s="2437"/>
      <c r="T44" s="2437"/>
      <c r="U44" s="2437"/>
      <c r="V44" s="2437"/>
    </row>
    <row r="45" spans="1:30" s="1741" customFormat="1">
      <c r="A45" s="1568"/>
      <c r="B45" s="1568"/>
      <c r="C45" s="1050"/>
      <c r="D45" s="1050"/>
      <c r="E45" s="1050"/>
      <c r="F45" s="1050"/>
      <c r="G45" s="1050"/>
      <c r="H45" s="1050"/>
      <c r="I45" s="1050"/>
      <c r="J45" s="2435"/>
      <c r="K45" s="2436"/>
      <c r="L45" s="2436"/>
      <c r="M45" s="1050"/>
      <c r="N45" s="1050"/>
      <c r="O45" s="1050"/>
      <c r="P45" s="1050"/>
      <c r="Q45" s="1050"/>
      <c r="R45" s="1050"/>
      <c r="S45" s="2437"/>
      <c r="T45" s="2437"/>
      <c r="U45" s="2437"/>
      <c r="V45" s="2437"/>
    </row>
    <row r="46" spans="1:30" s="1741" customFormat="1">
      <c r="A46" s="1568"/>
      <c r="B46" s="1568"/>
      <c r="C46" s="1050"/>
      <c r="D46" s="1050"/>
      <c r="E46" s="1050"/>
      <c r="F46" s="1050"/>
      <c r="G46" s="1050"/>
      <c r="H46" s="1050"/>
      <c r="I46" s="1050"/>
      <c r="J46" s="2435"/>
      <c r="K46" s="2436"/>
      <c r="L46" s="2436"/>
      <c r="M46" s="1050"/>
      <c r="N46" s="1050"/>
      <c r="O46" s="1050"/>
      <c r="P46" s="1050"/>
      <c r="Q46" s="1050"/>
      <c r="R46" s="1050"/>
      <c r="S46" s="2437"/>
      <c r="T46" s="2437"/>
      <c r="U46" s="2437"/>
      <c r="V46" s="2437"/>
    </row>
    <row r="47" spans="1:30" s="1741" customFormat="1">
      <c r="A47" s="1568"/>
      <c r="B47" s="1568"/>
      <c r="C47" s="1050"/>
      <c r="D47" s="1050"/>
      <c r="E47" s="1050"/>
      <c r="F47" s="1050"/>
      <c r="G47" s="1050"/>
      <c r="H47" s="1050"/>
      <c r="I47" s="1050"/>
      <c r="J47" s="2435"/>
      <c r="K47" s="2436"/>
      <c r="L47" s="2436"/>
      <c r="M47" s="1050"/>
      <c r="N47" s="1050"/>
      <c r="O47" s="1050"/>
      <c r="P47" s="1050"/>
      <c r="Q47" s="1050"/>
      <c r="R47" s="1050"/>
      <c r="S47" s="2437"/>
      <c r="T47" s="2437"/>
      <c r="U47" s="2437"/>
      <c r="V47" s="2437"/>
    </row>
    <row r="48" spans="1:30" s="1741" customFormat="1">
      <c r="A48" s="1568"/>
      <c r="B48" s="1568"/>
      <c r="C48" s="1050"/>
      <c r="D48" s="1050"/>
      <c r="E48" s="1050"/>
      <c r="F48" s="1050"/>
      <c r="G48" s="1050"/>
      <c r="H48" s="1050"/>
      <c r="I48" s="1050"/>
      <c r="J48" s="2435"/>
      <c r="K48" s="2436"/>
      <c r="L48" s="2436"/>
      <c r="M48" s="1050"/>
      <c r="N48" s="1050"/>
      <c r="O48" s="1050"/>
      <c r="P48" s="1050"/>
      <c r="Q48" s="1050"/>
      <c r="R48" s="1050"/>
      <c r="S48" s="2437"/>
      <c r="T48" s="2437"/>
      <c r="U48" s="2437"/>
      <c r="V48" s="2437"/>
    </row>
    <row r="49" spans="1:22" s="1741" customFormat="1">
      <c r="A49" s="1568"/>
      <c r="B49" s="1568"/>
      <c r="C49" s="1050"/>
      <c r="D49" s="1050"/>
      <c r="E49" s="1050"/>
      <c r="F49" s="1050"/>
      <c r="G49" s="1050"/>
      <c r="H49" s="1050"/>
      <c r="I49" s="1050"/>
      <c r="J49" s="2435"/>
      <c r="K49" s="2436"/>
      <c r="L49" s="2436"/>
      <c r="M49" s="1050"/>
      <c r="N49" s="1050"/>
      <c r="O49" s="1050"/>
      <c r="P49" s="1050"/>
      <c r="Q49" s="1050"/>
      <c r="R49" s="1050"/>
      <c r="S49" s="2437"/>
      <c r="T49" s="2437"/>
      <c r="U49" s="2437"/>
      <c r="V49" s="2437"/>
    </row>
    <row r="50" spans="1:22" s="1741" customFormat="1">
      <c r="A50" s="1568"/>
      <c r="B50" s="1568"/>
      <c r="C50" s="1050"/>
      <c r="D50" s="1050"/>
      <c r="E50" s="1050"/>
      <c r="F50" s="1050"/>
      <c r="G50" s="1050"/>
      <c r="H50" s="1050"/>
      <c r="I50" s="1050"/>
      <c r="J50" s="2435"/>
      <c r="K50" s="2436"/>
      <c r="L50" s="2436"/>
      <c r="M50" s="1050"/>
      <c r="N50" s="1050"/>
      <c r="O50" s="1050"/>
      <c r="P50" s="1050"/>
      <c r="Q50" s="1050"/>
      <c r="R50" s="1050"/>
      <c r="S50" s="2437"/>
      <c r="T50" s="2437"/>
      <c r="U50" s="2437"/>
      <c r="V50" s="2437"/>
    </row>
    <row r="51" spans="1:22" s="1741" customFormat="1">
      <c r="A51" s="1568"/>
      <c r="B51" s="1568"/>
      <c r="C51" s="1050"/>
      <c r="D51" s="1050"/>
      <c r="E51" s="1050"/>
      <c r="F51" s="1050"/>
      <c r="G51" s="1050"/>
      <c r="H51" s="1050"/>
      <c r="I51" s="1050"/>
      <c r="J51" s="2435"/>
      <c r="K51" s="2436"/>
      <c r="L51" s="2436"/>
      <c r="M51" s="1050"/>
      <c r="N51" s="1050"/>
      <c r="O51" s="1050"/>
      <c r="P51" s="1050"/>
      <c r="Q51" s="1050"/>
      <c r="R51" s="1050"/>
    </row>
    <row r="52" spans="1:22" s="1741" customFormat="1">
      <c r="A52" s="1568"/>
      <c r="B52" s="1568"/>
      <c r="C52" s="1568"/>
      <c r="D52" s="1568"/>
      <c r="E52" s="1568"/>
      <c r="F52" s="1050"/>
      <c r="G52" s="1568"/>
      <c r="H52" s="1568"/>
      <c r="I52" s="1568"/>
      <c r="J52" s="2438"/>
      <c r="K52" s="2436"/>
      <c r="L52" s="2436"/>
      <c r="M52" s="2436"/>
      <c r="N52" s="1568"/>
      <c r="O52" s="1568"/>
      <c r="P52" s="1568"/>
      <c r="Q52" s="1568"/>
      <c r="R52" s="1568"/>
    </row>
    <row r="53" spans="1:22" s="1741" customFormat="1">
      <c r="A53" s="1568"/>
      <c r="B53" s="1568"/>
      <c r="C53" s="1568"/>
      <c r="D53" s="1568"/>
      <c r="E53" s="1568"/>
      <c r="F53" s="1050"/>
      <c r="G53" s="1568"/>
      <c r="H53" s="1568"/>
      <c r="I53" s="1568"/>
      <c r="J53" s="2438"/>
      <c r="K53" s="2436"/>
      <c r="L53" s="2436"/>
      <c r="M53" s="2436"/>
      <c r="N53" s="1568"/>
      <c r="O53" s="1568"/>
      <c r="P53" s="1568"/>
      <c r="Q53" s="1568"/>
      <c r="R53" s="1568"/>
    </row>
    <row r="54" spans="1:22" s="1741" customFormat="1">
      <c r="A54" s="1568"/>
      <c r="B54" s="1568"/>
      <c r="C54" s="1568"/>
      <c r="D54" s="1568"/>
      <c r="E54" s="1568"/>
      <c r="F54" s="1050"/>
      <c r="G54" s="1568"/>
      <c r="H54" s="1568"/>
      <c r="I54" s="1568"/>
      <c r="J54" s="2438"/>
      <c r="K54" s="2436"/>
      <c r="L54" s="2436"/>
      <c r="M54" s="2436"/>
      <c r="N54" s="1568"/>
      <c r="O54" s="1568"/>
      <c r="P54" s="1568"/>
      <c r="Q54" s="1568"/>
      <c r="R54" s="1568"/>
    </row>
    <row r="55" spans="1:22" s="1741" customFormat="1">
      <c r="A55" s="1568"/>
      <c r="B55" s="1568"/>
      <c r="C55" s="1568"/>
      <c r="D55" s="1568"/>
      <c r="E55" s="1568"/>
      <c r="F55" s="1050"/>
      <c r="G55" s="1568"/>
      <c r="H55" s="1568"/>
      <c r="I55" s="1568"/>
      <c r="J55" s="2438"/>
      <c r="K55" s="2436"/>
      <c r="L55" s="2436"/>
      <c r="M55" s="2436"/>
      <c r="N55" s="1568"/>
      <c r="O55" s="1568"/>
      <c r="P55" s="1568"/>
      <c r="Q55" s="1568"/>
      <c r="R55" s="1568"/>
    </row>
    <row r="56" spans="1:22" s="1741" customFormat="1">
      <c r="A56" s="1568"/>
      <c r="B56" s="1568"/>
      <c r="C56" s="1568"/>
      <c r="D56" s="1568"/>
      <c r="E56" s="1568"/>
      <c r="F56" s="1050"/>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N21" sqref="N21"/>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1060</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1061</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1062</v>
      </c>
      <c r="B2" s="8" t="s">
        <v>1063</v>
      </c>
      <c r="C2" s="8" t="s">
        <v>1064</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7" t="s">
        <v>1065</v>
      </c>
      <c r="AZ2" s="1048" t="s">
        <v>1066</v>
      </c>
      <c r="BA2" s="8" t="s">
        <v>1067</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f>分套价值!D32</f>
        <v>747.8288266899998</v>
      </c>
      <c r="B3" s="11">
        <f>IF(C3="否",G5-AT5,G5)</f>
        <v>6634.5700000000006</v>
      </c>
      <c r="C3" s="1578" t="s">
        <v>1068</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9"/>
      <c r="AZ3" s="1050"/>
      <c r="BA3" s="1051"/>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1069</v>
      </c>
      <c r="B5" s="1345"/>
      <c r="C5" s="1345"/>
      <c r="D5" s="1347"/>
      <c r="E5" s="13" t="s">
        <v>0</v>
      </c>
      <c r="F5" s="13">
        <f>SUM(F13:F587)</f>
        <v>0</v>
      </c>
      <c r="G5" s="13">
        <f>SUM(G13:G587)</f>
        <v>6634.5700000000006</v>
      </c>
      <c r="H5" s="13">
        <f t="shared" ref="H5:AT5" si="0">SUM(H13:H656)</f>
        <v>6634.5700000000006</v>
      </c>
      <c r="I5" s="13">
        <f t="shared" si="0"/>
        <v>5390.7</v>
      </c>
      <c r="J5" s="13">
        <f t="shared" si="0"/>
        <v>0</v>
      </c>
      <c r="K5" s="13">
        <f t="shared" si="0"/>
        <v>1243.8699999999999</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1069</v>
      </c>
      <c r="AW5" s="1345"/>
      <c r="AX5" s="1345"/>
      <c r="AY5" s="14" t="s">
        <v>2</v>
      </c>
      <c r="AZ5" s="15">
        <f t="shared" ref="AZ5:BT5" si="1">SUM(AZ13:AZ656)</f>
        <v>616.89</v>
      </c>
      <c r="BA5" s="15">
        <f t="shared" si="1"/>
        <v>616.89</v>
      </c>
      <c r="BB5" s="15">
        <f t="shared" si="1"/>
        <v>410.74</v>
      </c>
      <c r="BC5" s="15">
        <f t="shared" si="1"/>
        <v>206.15</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1070</v>
      </c>
      <c r="B6" s="1584"/>
      <c r="C6" s="1584"/>
      <c r="D6" s="1585"/>
      <c r="E6" s="13">
        <f>H6+AC6+AT6</f>
        <v>747.83</v>
      </c>
      <c r="F6" s="13" t="s">
        <v>0</v>
      </c>
      <c r="G6" s="13" t="s">
        <v>1</v>
      </c>
      <c r="H6" s="17">
        <f>SUMIF(I$12:AB$12,"总值",I6:AB6)</f>
        <v>747.83</v>
      </c>
      <c r="I6" s="13">
        <f t="shared" ref="I6:AB6" si="2">ROUND($A$3*I5/$B$3,2)</f>
        <v>607.62</v>
      </c>
      <c r="J6" s="13">
        <f t="shared" si="2"/>
        <v>0</v>
      </c>
      <c r="K6" s="13">
        <f t="shared" si="2"/>
        <v>140.21</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1070</v>
      </c>
      <c r="AW6" s="1584"/>
      <c r="AX6" s="1584"/>
      <c r="AY6" s="18">
        <f>IF(AY3&gt;0,AY3,ROUND($A$3*AZ5/$B$3,2))</f>
        <v>69.53</v>
      </c>
      <c r="AZ6" s="13" t="s">
        <v>2</v>
      </c>
      <c r="BA6" s="13">
        <f>ROUND($AY$6*BA5/$AZ$5,2)</f>
        <v>69.53</v>
      </c>
      <c r="BB6" s="13">
        <f>ROUND($AY$6*BB5/$AZ$5,2)</f>
        <v>46.29</v>
      </c>
      <c r="BC6" s="13">
        <f t="shared" ref="BC6:BH6" si="4">ROUND($AY$6*BC5/$AZ$5,2)</f>
        <v>23.24</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1071</v>
      </c>
      <c r="B7" s="1567" t="s">
        <v>1072</v>
      </c>
      <c r="C7" s="1567" t="s">
        <v>1073</v>
      </c>
      <c r="D7" s="1567" t="s">
        <v>1074</v>
      </c>
      <c r="E7" s="1567" t="s">
        <v>1075</v>
      </c>
      <c r="F7" s="1567" t="s">
        <v>1076</v>
      </c>
      <c r="G7" s="1588" t="s">
        <v>1077</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1078</v>
      </c>
      <c r="AV7" s="20" t="s">
        <v>1079</v>
      </c>
      <c r="AW7" s="1576" t="s">
        <v>1080</v>
      </c>
      <c r="AX7" s="20" t="s">
        <v>1073</v>
      </c>
      <c r="AY7" s="1345" t="s">
        <v>1081</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1082</v>
      </c>
      <c r="H8" s="1594" t="s">
        <v>1083</v>
      </c>
      <c r="I8" s="1595"/>
      <c r="J8" s="1358"/>
      <c r="K8" s="1358"/>
      <c r="L8" s="1358"/>
      <c r="M8" s="1358"/>
      <c r="N8" s="1358"/>
      <c r="O8" s="1358"/>
      <c r="P8" s="1358"/>
      <c r="Q8" s="1358"/>
      <c r="R8" s="1358"/>
      <c r="S8" s="1358"/>
      <c r="T8" s="1358"/>
      <c r="U8" s="1358"/>
      <c r="V8" s="1596"/>
      <c r="W8" s="1358"/>
      <c r="X8" s="1358"/>
      <c r="Y8" s="1358"/>
      <c r="Z8" s="1358"/>
      <c r="AA8" s="1596"/>
      <c r="AB8" s="1597"/>
      <c r="AC8" s="808" t="s">
        <v>1084</v>
      </c>
      <c r="AD8" s="1598"/>
      <c r="AE8" s="1590"/>
      <c r="AF8" s="1358"/>
      <c r="AG8" s="1358"/>
      <c r="AH8" s="1358"/>
      <c r="AI8" s="1358"/>
      <c r="AJ8" s="1358"/>
      <c r="AK8" s="1358"/>
      <c r="AL8" s="1358"/>
      <c r="AM8" s="1358"/>
      <c r="AN8" s="1358"/>
      <c r="AO8" s="1358"/>
      <c r="AP8" s="1358"/>
      <c r="AQ8" s="1358"/>
      <c r="AR8" s="1358"/>
      <c r="AS8" s="1358"/>
      <c r="AT8" s="1069" t="s">
        <v>1085</v>
      </c>
      <c r="AU8" s="1592" t="s">
        <v>1086</v>
      </c>
      <c r="AV8" s="1069"/>
      <c r="AW8" s="1575"/>
      <c r="AX8" s="1069"/>
      <c r="AY8" s="1576" t="s">
        <v>1087</v>
      </c>
      <c r="AZ8" s="1357" t="s">
        <v>1088</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9"/>
      <c r="H9" s="1600" t="s">
        <v>1089</v>
      </c>
      <c r="I9" s="1601" t="s">
        <v>3445</v>
      </c>
      <c r="J9" s="808"/>
      <c r="K9" s="1601" t="s">
        <v>3445</v>
      </c>
      <c r="L9" s="808"/>
      <c r="M9" s="1601"/>
      <c r="N9" s="808"/>
      <c r="O9" s="1601"/>
      <c r="P9" s="808"/>
      <c r="Q9" s="1601"/>
      <c r="R9" s="808"/>
      <c r="S9" s="1601"/>
      <c r="T9" s="808"/>
      <c r="U9" s="1601"/>
      <c r="V9" s="808"/>
      <c r="W9" s="1601"/>
      <c r="X9" s="1602"/>
      <c r="Y9" s="1601"/>
      <c r="Z9" s="808"/>
      <c r="AA9" s="1601"/>
      <c r="AB9" s="808"/>
      <c r="AC9" s="1593" t="s">
        <v>1089</v>
      </c>
      <c r="AD9" s="12" t="s">
        <v>1090</v>
      </c>
      <c r="AE9" s="1075"/>
      <c r="AF9" s="12" t="s">
        <v>1091</v>
      </c>
      <c r="AG9" s="1075"/>
      <c r="AH9" s="12" t="s">
        <v>1090</v>
      </c>
      <c r="AI9" s="1075"/>
      <c r="AJ9" s="12" t="s">
        <v>1091</v>
      </c>
      <c r="AK9" s="1075"/>
      <c r="AL9" s="12" t="s">
        <v>1090</v>
      </c>
      <c r="AM9" s="1075"/>
      <c r="AN9" s="12" t="s">
        <v>1091</v>
      </c>
      <c r="AO9" s="1075"/>
      <c r="AP9" s="12" t="s">
        <v>1090</v>
      </c>
      <c r="AQ9" s="1075"/>
      <c r="AR9" s="12" t="s">
        <v>1091</v>
      </c>
      <c r="AS9" s="1603"/>
      <c r="AT9" s="1592"/>
      <c r="AU9" s="1592" t="s">
        <v>1092</v>
      </c>
      <c r="AV9" s="1069"/>
      <c r="AW9" s="1575"/>
      <c r="AX9" s="1069"/>
      <c r="AY9" s="25"/>
      <c r="AZ9" s="25" t="s">
        <v>1082</v>
      </c>
      <c r="BA9" s="1604" t="s">
        <v>1093</v>
      </c>
      <c r="BB9" s="1605"/>
      <c r="BC9" s="1086"/>
      <c r="BD9" s="1086"/>
      <c r="BE9" s="1086"/>
      <c r="BF9" s="1086"/>
      <c r="BG9" s="1086"/>
      <c r="BH9" s="1086"/>
      <c r="BI9" s="1086"/>
      <c r="BJ9" s="1086"/>
      <c r="BK9" s="1606"/>
      <c r="BL9" s="12" t="s">
        <v>1094</v>
      </c>
      <c r="BM9" s="1358"/>
      <c r="BN9" s="1595"/>
      <c r="BO9" s="1358"/>
      <c r="BP9" s="1358"/>
      <c r="BQ9" s="1358"/>
      <c r="BR9" s="1358"/>
      <c r="BS9" s="1358"/>
      <c r="BT9" s="23"/>
    </row>
    <row r="10" spans="1:72" s="1599" customFormat="1" ht="12.75">
      <c r="A10" s="1592"/>
      <c r="B10" s="1592"/>
      <c r="C10" s="1592"/>
      <c r="D10" s="1592"/>
      <c r="E10" s="1592"/>
      <c r="F10" s="1592"/>
      <c r="G10" s="1069"/>
      <c r="H10" s="25"/>
      <c r="I10" s="1601" t="s">
        <v>671</v>
      </c>
      <c r="J10" s="808"/>
      <c r="K10" s="1607" t="s">
        <v>21</v>
      </c>
      <c r="L10" s="808"/>
      <c r="M10" s="1607"/>
      <c r="N10" s="808"/>
      <c r="O10" s="1607"/>
      <c r="P10" s="808"/>
      <c r="Q10" s="1607"/>
      <c r="R10" s="808"/>
      <c r="S10" s="1607"/>
      <c r="T10" s="808"/>
      <c r="U10" s="1607"/>
      <c r="V10" s="808"/>
      <c r="W10" s="1607"/>
      <c r="X10" s="808"/>
      <c r="Y10" s="1607"/>
      <c r="Z10" s="808"/>
      <c r="AA10" s="1607"/>
      <c r="AB10" s="808"/>
      <c r="AC10" s="1069"/>
      <c r="AD10" s="12" t="s">
        <v>1095</v>
      </c>
      <c r="AE10" s="1608"/>
      <c r="AF10" s="12" t="s">
        <v>1095</v>
      </c>
      <c r="AG10" s="1608"/>
      <c r="AH10" s="12" t="s">
        <v>1096</v>
      </c>
      <c r="AI10" s="1608"/>
      <c r="AJ10" s="12" t="s">
        <v>1096</v>
      </c>
      <c r="AK10" s="1608"/>
      <c r="AL10" s="12" t="s">
        <v>1097</v>
      </c>
      <c r="AM10" s="1075"/>
      <c r="AN10" s="12" t="s">
        <v>1097</v>
      </c>
      <c r="AO10" s="1075"/>
      <c r="AP10" s="12" t="s">
        <v>1098</v>
      </c>
      <c r="AQ10" s="1075"/>
      <c r="AR10" s="12" t="s">
        <v>1098</v>
      </c>
      <c r="AS10" s="1075"/>
      <c r="AT10" s="1592"/>
      <c r="AU10" s="1592"/>
      <c r="AV10" s="1069"/>
      <c r="AW10" s="1575"/>
      <c r="AX10" s="1069"/>
      <c r="AY10" s="25"/>
      <c r="AZ10" s="25"/>
      <c r="BA10" s="1609" t="s">
        <v>1089</v>
      </c>
      <c r="BB10" s="1610" t="str">
        <f>I9</f>
        <v>地上</v>
      </c>
      <c r="BC10" s="26" t="str">
        <f>K9</f>
        <v>地上</v>
      </c>
      <c r="BD10" s="26">
        <f>M9</f>
        <v>0</v>
      </c>
      <c r="BE10" s="26">
        <f>O9</f>
        <v>0</v>
      </c>
      <c r="BF10" s="26">
        <f>Q9</f>
        <v>0</v>
      </c>
      <c r="BG10" s="26">
        <f>S9</f>
        <v>0</v>
      </c>
      <c r="BH10" s="26">
        <f>U9</f>
        <v>0</v>
      </c>
      <c r="BI10" s="26">
        <f>W9</f>
        <v>0</v>
      </c>
      <c r="BJ10" s="26">
        <f>Y9</f>
        <v>0</v>
      </c>
      <c r="BK10" s="26">
        <f>AA9</f>
        <v>0</v>
      </c>
      <c r="BL10" s="22" t="s">
        <v>1089</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9"/>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9"/>
      <c r="AD11" s="1614" t="s">
        <v>1099</v>
      </c>
      <c r="AE11" s="1359"/>
      <c r="AF11" s="1614" t="s">
        <v>1099</v>
      </c>
      <c r="AG11" s="1359"/>
      <c r="AH11" s="1614" t="s">
        <v>1100</v>
      </c>
      <c r="AI11" s="1615"/>
      <c r="AJ11" s="1614" t="s">
        <v>1100</v>
      </c>
      <c r="AK11" s="1359"/>
      <c r="AL11" s="1357"/>
      <c r="AM11" s="1359"/>
      <c r="AN11" s="1357"/>
      <c r="AO11" s="1359"/>
      <c r="AP11" s="1357"/>
      <c r="AQ11" s="1359"/>
      <c r="AR11" s="1357"/>
      <c r="AS11" s="1359"/>
      <c r="AT11" s="1575"/>
      <c r="AU11" s="1592"/>
      <c r="AV11" s="1069"/>
      <c r="AW11" s="1575"/>
      <c r="AX11" s="1069"/>
      <c r="AY11" s="25"/>
      <c r="AZ11" s="25"/>
      <c r="BA11" s="25"/>
      <c r="BB11" s="1597" t="str">
        <f>I10</f>
        <v>商业</v>
      </c>
      <c r="BC11" s="1597" t="str">
        <f>K10</f>
        <v>办公</v>
      </c>
      <c r="BD11" s="1597">
        <f>M10</f>
        <v>0</v>
      </c>
      <c r="BE11" s="1597">
        <f>O10</f>
        <v>0</v>
      </c>
      <c r="BF11" s="1597">
        <f>Q10</f>
        <v>0</v>
      </c>
      <c r="BG11" s="1597">
        <f>S10</f>
        <v>0</v>
      </c>
      <c r="BH11" s="1597">
        <f>U10</f>
        <v>0</v>
      </c>
      <c r="BI11" s="1597">
        <f>W10</f>
        <v>0</v>
      </c>
      <c r="BJ11" s="1597">
        <f>Y10</f>
        <v>0</v>
      </c>
      <c r="BK11" s="1597">
        <f>AA10</f>
        <v>0</v>
      </c>
      <c r="BL11" s="1069"/>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4" t="s">
        <v>1102</v>
      </c>
      <c r="W12" s="8" t="s">
        <v>1101</v>
      </c>
      <c r="X12" s="8" t="s">
        <v>1102</v>
      </c>
      <c r="Y12" s="8" t="s">
        <v>1101</v>
      </c>
      <c r="Z12" s="8" t="s">
        <v>1102</v>
      </c>
      <c r="AA12" s="8" t="s">
        <v>1101</v>
      </c>
      <c r="AB12" s="8" t="s">
        <v>1102</v>
      </c>
      <c r="AC12" s="1619"/>
      <c r="AD12" s="1347"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7" t="s">
        <v>1102</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9"/>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50">
        <f>I13/B3*A3</f>
        <v>46.297380579999981</v>
      </c>
      <c r="B13" s="1050"/>
      <c r="C13" s="1050" t="str">
        <f>[3]分套价值!B5</f>
        <v>2单元107</v>
      </c>
      <c r="D13" s="1623" t="s">
        <v>3379</v>
      </c>
      <c r="E13" s="13">
        <f>IF($C$3="是",ROUND($A$3*G13/$B$3,2),ROUND($A$3*(G13-AT13)/$B$3,2))</f>
        <v>46.3</v>
      </c>
      <c r="F13" s="29"/>
      <c r="G13" s="30">
        <f>H13+AC13+AT13</f>
        <v>410.74</v>
      </c>
      <c r="H13" s="17">
        <f>SUMIF(I$12:AB$12,"总值",I13:AB13)</f>
        <v>410.74</v>
      </c>
      <c r="I13" s="1624">
        <v>410.74</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46.297380579999981</v>
      </c>
      <c r="AW13" s="8">
        <f t="shared" si="6"/>
        <v>0</v>
      </c>
      <c r="AX13" s="8" t="str">
        <f t="shared" si="6"/>
        <v>2单元107</v>
      </c>
      <c r="AY13" s="1347">
        <f>ROUND($AY$6*AZ13/$AZ$5,2)</f>
        <v>46.29</v>
      </c>
      <c r="AZ13" s="13">
        <f>BA13+BL13</f>
        <v>410.74</v>
      </c>
      <c r="BA13" s="13">
        <f>SUM(BB13:BK13)</f>
        <v>410.74</v>
      </c>
      <c r="BB13" s="13">
        <f>IF($D13="是",I13-J13,0)</f>
        <v>410.74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50">
        <f>K32/B3*A3</f>
        <v>23.236609549999994</v>
      </c>
      <c r="B14" s="1050"/>
      <c r="C14" s="1050" t="str">
        <f>[3]分套价值!B6</f>
        <v>2单元109</v>
      </c>
      <c r="D14" s="1623" t="s">
        <v>3444</v>
      </c>
      <c r="E14" s="13">
        <f>IF($C$3="是",ROUND($A$3*G14/$B$3,2),ROUND($A$3*(G14-AT14)/$B$3,2))</f>
        <v>100.49</v>
      </c>
      <c r="F14" s="29"/>
      <c r="G14" s="30">
        <f>H14+AC14+AT14</f>
        <v>891.56</v>
      </c>
      <c r="H14" s="17">
        <f>SUMIF(I$12:AB$12,"总值",I14:AB14)</f>
        <v>891.56</v>
      </c>
      <c r="I14" s="1624">
        <v>891.56</v>
      </c>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23.236609549999994</v>
      </c>
      <c r="AW14" s="8">
        <f t="shared" si="6"/>
        <v>0</v>
      </c>
      <c r="AX14" s="8" t="str">
        <f t="shared" si="6"/>
        <v>2单元109</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50"/>
      <c r="B15" s="1050"/>
      <c r="C15" s="1050" t="str">
        <f>[3]分套价值!B7</f>
        <v>2单元115</v>
      </c>
      <c r="D15" s="1623" t="s">
        <v>3444</v>
      </c>
      <c r="E15" s="13">
        <f>IF($C$3="是",ROUND($A$3*G15/$B$3,2),ROUND($A$3*(G15-AT15)/$B$3,2))</f>
        <v>92.52</v>
      </c>
      <c r="F15" s="29"/>
      <c r="G15" s="30">
        <f>H15+AC15+AT15</f>
        <v>820.83</v>
      </c>
      <c r="H15" s="17">
        <f>SUMIF(I$12:AB$12,"总值",I15:AB15)</f>
        <v>820.83</v>
      </c>
      <c r="I15" s="1624">
        <v>820.83</v>
      </c>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t="str">
        <f t="shared" si="6"/>
        <v>2单元115</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50"/>
      <c r="B16" s="1050"/>
      <c r="C16" s="1050" t="str">
        <f>[3]分套价值!B8</f>
        <v>2单元116</v>
      </c>
      <c r="D16" s="1623" t="s">
        <v>3444</v>
      </c>
      <c r="E16" s="13">
        <f>IF($C$3="是",ROUND($A$3*G16/$B$3,2),ROUND($A$3*(G16-AT16)/$B$3,2))</f>
        <v>12.86</v>
      </c>
      <c r="F16" s="29"/>
      <c r="G16" s="30">
        <f>H16+AC16+AT16</f>
        <v>114.12</v>
      </c>
      <c r="H16" s="17">
        <f>SUMIF(I$12:AB$12,"总值",I16:AB16)</f>
        <v>114.12</v>
      </c>
      <c r="I16" s="1624">
        <v>114.12</v>
      </c>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t="str">
        <f t="shared" si="6"/>
        <v>2单元116</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50"/>
      <c r="B17" s="1050"/>
      <c r="C17" s="1050" t="str">
        <f>[3]分套价值!B9</f>
        <v>2单元120</v>
      </c>
      <c r="D17" s="1623" t="s">
        <v>3444</v>
      </c>
      <c r="E17" s="13">
        <f>IF($C$3="是",ROUND($A$3*G17/$B$3,2),ROUND($A$3*(G17-AT17)/$B$3,2))</f>
        <v>25.88</v>
      </c>
      <c r="F17" s="29"/>
      <c r="G17" s="30">
        <f>H17+AC17+AT17</f>
        <v>229.57</v>
      </c>
      <c r="H17" s="17">
        <f>SUMIF(I$12:AB$12,"总值",I17:AB17)</f>
        <v>229.57</v>
      </c>
      <c r="I17" s="1624">
        <v>229.57</v>
      </c>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t="str">
        <f t="shared" si="6"/>
        <v>2单元120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50" t="str">
        <f>[3]分套价值!B10</f>
        <v>2单元121</v>
      </c>
      <c r="D18" s="1628" t="s">
        <v>3444</v>
      </c>
      <c r="E18" s="32">
        <f t="shared" ref="E18:E112" si="7">IF($C$3="是",ROUND($A$3*G18/$B$3,2),ROUND($A$3*(G18-AT18)/$B$3,2))</f>
        <v>19.68</v>
      </c>
      <c r="F18" s="33"/>
      <c r="G18" s="34">
        <f t="shared" ref="G18:G109" si="8">H18+AC18+AT18</f>
        <v>174.61</v>
      </c>
      <c r="H18" s="35">
        <f t="shared" ref="H18:H109" si="9">SUMIF(I$12:AB$12,"总值",I18:AB18)</f>
        <v>174.61</v>
      </c>
      <c r="I18" s="36">
        <v>174.61</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t="str">
        <f t="shared" ref="AX18:AX112" si="13">C18</f>
        <v>2单元121</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50" t="str">
        <f>[3]分套价值!B11</f>
        <v>2单元122</v>
      </c>
      <c r="D19" s="1628" t="s">
        <v>3444</v>
      </c>
      <c r="E19" s="32">
        <f t="shared" si="7"/>
        <v>65.319999999999993</v>
      </c>
      <c r="F19" s="33"/>
      <c r="G19" s="34">
        <f t="shared" si="8"/>
        <v>579.52</v>
      </c>
      <c r="H19" s="35">
        <f t="shared" si="9"/>
        <v>579.52</v>
      </c>
      <c r="I19" s="36">
        <v>579.52</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t="str">
        <f t="shared" si="13"/>
        <v>2单元122</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1050" t="str">
        <f>[3]分套价值!B12</f>
        <v>2单元123</v>
      </c>
      <c r="D20" s="1628" t="s">
        <v>3444</v>
      </c>
      <c r="E20" s="32">
        <f t="shared" si="7"/>
        <v>44.24</v>
      </c>
      <c r="F20" s="33"/>
      <c r="G20" s="34">
        <f t="shared" si="8"/>
        <v>392.45</v>
      </c>
      <c r="H20" s="35">
        <f t="shared" si="9"/>
        <v>392.45</v>
      </c>
      <c r="I20" s="36">
        <v>392.45</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t="str">
        <f t="shared" si="13"/>
        <v>2单元123</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1050" t="str">
        <f>[3]分套价值!B13</f>
        <v>2单元126</v>
      </c>
      <c r="D21" s="1628" t="s">
        <v>3444</v>
      </c>
      <c r="E21" s="32">
        <f t="shared" si="7"/>
        <v>14.64</v>
      </c>
      <c r="F21" s="33"/>
      <c r="G21" s="34">
        <f t="shared" si="8"/>
        <v>129.91</v>
      </c>
      <c r="H21" s="35">
        <f t="shared" si="9"/>
        <v>129.91</v>
      </c>
      <c r="I21" s="36">
        <v>129.91</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t="str">
        <f t="shared" si="13"/>
        <v>2单元126</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1050" t="str">
        <f>[3]分套价值!B14</f>
        <v>2单元127</v>
      </c>
      <c r="D22" s="1628" t="s">
        <v>3444</v>
      </c>
      <c r="E22" s="32">
        <f t="shared" si="7"/>
        <v>14.68</v>
      </c>
      <c r="F22" s="33"/>
      <c r="G22" s="34">
        <f t="shared" si="8"/>
        <v>130.21</v>
      </c>
      <c r="H22" s="35">
        <f t="shared" si="9"/>
        <v>130.21</v>
      </c>
      <c r="I22" s="36">
        <v>130.21</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t="str">
        <f t="shared" si="13"/>
        <v>2单元127</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1050" t="str">
        <f>[3]分套价值!B15</f>
        <v>2单元128</v>
      </c>
      <c r="D23" s="1628" t="s">
        <v>3444</v>
      </c>
      <c r="E23" s="32">
        <f t="shared" si="7"/>
        <v>24.77</v>
      </c>
      <c r="F23" s="33"/>
      <c r="G23" s="34">
        <f t="shared" si="8"/>
        <v>219.79</v>
      </c>
      <c r="H23" s="35">
        <f t="shared" si="9"/>
        <v>219.79</v>
      </c>
      <c r="I23" s="36">
        <v>219.79</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t="str">
        <f t="shared" si="13"/>
        <v>2单元128</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1050" t="str">
        <f>[3]分套价值!B16</f>
        <v>2单元129</v>
      </c>
      <c r="D24" s="1628" t="s">
        <v>3444</v>
      </c>
      <c r="E24" s="32">
        <f t="shared" si="7"/>
        <v>16.59</v>
      </c>
      <c r="F24" s="33"/>
      <c r="G24" s="34">
        <f t="shared" si="8"/>
        <v>147.19999999999999</v>
      </c>
      <c r="H24" s="35">
        <f t="shared" si="9"/>
        <v>147.19999999999999</v>
      </c>
      <c r="I24" s="36">
        <v>147.19999999999999</v>
      </c>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t="str">
        <f t="shared" si="13"/>
        <v>2单元129</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1050" t="str">
        <f>[3]分套价值!B17</f>
        <v>2单元130</v>
      </c>
      <c r="D25" s="1628" t="s">
        <v>3444</v>
      </c>
      <c r="E25" s="32">
        <f t="shared" si="7"/>
        <v>24.94</v>
      </c>
      <c r="F25" s="33"/>
      <c r="G25" s="34">
        <f t="shared" si="8"/>
        <v>221.24</v>
      </c>
      <c r="H25" s="35">
        <f t="shared" si="9"/>
        <v>221.24</v>
      </c>
      <c r="I25" s="36">
        <v>221.24</v>
      </c>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t="str">
        <f t="shared" si="13"/>
        <v>2单元130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1050" t="str">
        <f>[3]分套价值!B18</f>
        <v>2单元131</v>
      </c>
      <c r="D26" s="1628" t="s">
        <v>3444</v>
      </c>
      <c r="E26" s="32">
        <f t="shared" si="7"/>
        <v>38.46</v>
      </c>
      <c r="F26" s="33"/>
      <c r="G26" s="34">
        <f t="shared" si="8"/>
        <v>341.21</v>
      </c>
      <c r="H26" s="35">
        <f t="shared" si="9"/>
        <v>341.21</v>
      </c>
      <c r="I26" s="36">
        <v>341.21</v>
      </c>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t="str">
        <f t="shared" si="13"/>
        <v>2单元131</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1050" t="str">
        <f>[3]分套价值!B19</f>
        <v>2单元132</v>
      </c>
      <c r="D27" s="1628" t="s">
        <v>3444</v>
      </c>
      <c r="E27" s="32">
        <f t="shared" si="7"/>
        <v>11.84</v>
      </c>
      <c r="F27" s="33"/>
      <c r="G27" s="34">
        <f t="shared" si="8"/>
        <v>105.02</v>
      </c>
      <c r="H27" s="35">
        <f t="shared" si="9"/>
        <v>105.02</v>
      </c>
      <c r="I27" s="36">
        <v>105.02</v>
      </c>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t="str">
        <f t="shared" si="13"/>
        <v>2单元132</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1050" t="str">
        <f>[3]分套价值!B20</f>
        <v>2单元133</v>
      </c>
      <c r="D28" s="1628" t="s">
        <v>3444</v>
      </c>
      <c r="E28" s="32">
        <f t="shared" si="7"/>
        <v>11.86</v>
      </c>
      <c r="F28" s="33"/>
      <c r="G28" s="34">
        <f t="shared" si="8"/>
        <v>105.26</v>
      </c>
      <c r="H28" s="35">
        <f t="shared" si="9"/>
        <v>105.26</v>
      </c>
      <c r="I28" s="36">
        <v>105.26</v>
      </c>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t="str">
        <f t="shared" si="13"/>
        <v>2单元133</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1050" t="str">
        <f>[3]分套价值!B21</f>
        <v>2单元134</v>
      </c>
      <c r="D29" s="1628" t="s">
        <v>3444</v>
      </c>
      <c r="E29" s="32">
        <f t="shared" si="7"/>
        <v>6.33</v>
      </c>
      <c r="F29" s="33"/>
      <c r="G29" s="34">
        <f t="shared" si="8"/>
        <v>56.19</v>
      </c>
      <c r="H29" s="35">
        <f t="shared" si="9"/>
        <v>56.19</v>
      </c>
      <c r="I29" s="36">
        <v>56.19</v>
      </c>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t="str">
        <f t="shared" si="13"/>
        <v>2单元134</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1050" t="str">
        <f>[3]分套价值!B22</f>
        <v>2单元150</v>
      </c>
      <c r="D30" s="1628" t="s">
        <v>3444</v>
      </c>
      <c r="E30" s="32">
        <f t="shared" si="7"/>
        <v>4.93</v>
      </c>
      <c r="F30" s="33"/>
      <c r="G30" s="34">
        <f t="shared" si="8"/>
        <v>43.73</v>
      </c>
      <c r="H30" s="35">
        <f t="shared" si="9"/>
        <v>43.73</v>
      </c>
      <c r="I30" s="36">
        <v>43.73</v>
      </c>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t="str">
        <f t="shared" si="13"/>
        <v>2单元150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1050" t="str">
        <f>[3]分套价值!B23</f>
        <v>3单元102</v>
      </c>
      <c r="D31" s="1628" t="s">
        <v>3444</v>
      </c>
      <c r="E31" s="32">
        <f t="shared" si="7"/>
        <v>31.28</v>
      </c>
      <c r="F31" s="33"/>
      <c r="G31" s="34">
        <f t="shared" si="8"/>
        <v>277.54000000000002</v>
      </c>
      <c r="H31" s="35">
        <f t="shared" si="9"/>
        <v>277.54000000000002</v>
      </c>
      <c r="I31" s="36">
        <v>277.54000000000002</v>
      </c>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t="str">
        <f t="shared" si="13"/>
        <v>3单元102</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1050" t="str">
        <f>[3]分套价值!B24</f>
        <v>2单元301</v>
      </c>
      <c r="D32" s="1628" t="s">
        <v>3379</v>
      </c>
      <c r="E32" s="32">
        <f t="shared" si="7"/>
        <v>23.24</v>
      </c>
      <c r="F32" s="33"/>
      <c r="G32" s="34">
        <f t="shared" si="8"/>
        <v>206.15</v>
      </c>
      <c r="H32" s="35">
        <f t="shared" si="9"/>
        <v>206.15</v>
      </c>
      <c r="I32" s="36"/>
      <c r="J32" s="36"/>
      <c r="K32" s="36">
        <v>206.15</v>
      </c>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t="str">
        <f t="shared" si="13"/>
        <v>2单元301</v>
      </c>
      <c r="AY32" s="39">
        <f t="shared" si="14"/>
        <v>23.24</v>
      </c>
      <c r="AZ32" s="32">
        <f t="shared" si="15"/>
        <v>206.15</v>
      </c>
      <c r="BA32" s="32">
        <f t="shared" si="16"/>
        <v>206.15</v>
      </c>
      <c r="BB32" s="32">
        <f t="shared" si="17"/>
        <v>0</v>
      </c>
      <c r="BC32" s="32">
        <f t="shared" si="18"/>
        <v>206.15</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1050" t="str">
        <f>[3]分套价值!B25</f>
        <v>2单元302</v>
      </c>
      <c r="D33" s="1628" t="s">
        <v>3444</v>
      </c>
      <c r="E33" s="32">
        <f t="shared" si="7"/>
        <v>19.28</v>
      </c>
      <c r="F33" s="33"/>
      <c r="G33" s="34">
        <f t="shared" si="8"/>
        <v>171.04</v>
      </c>
      <c r="H33" s="35">
        <f t="shared" si="9"/>
        <v>171.04</v>
      </c>
      <c r="I33" s="36"/>
      <c r="J33" s="36"/>
      <c r="K33" s="36">
        <v>171.04</v>
      </c>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t="str">
        <f t="shared" si="13"/>
        <v>2单元302</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1050" t="str">
        <f>[3]分套价值!B26</f>
        <v>2单元303</v>
      </c>
      <c r="D34" s="1628" t="s">
        <v>3444</v>
      </c>
      <c r="E34" s="32">
        <f t="shared" si="7"/>
        <v>19.38</v>
      </c>
      <c r="F34" s="33"/>
      <c r="G34" s="34">
        <f t="shared" si="8"/>
        <v>171.97</v>
      </c>
      <c r="H34" s="35">
        <f t="shared" si="9"/>
        <v>171.97</v>
      </c>
      <c r="I34" s="36"/>
      <c r="J34" s="36"/>
      <c r="K34" s="36">
        <v>171.97</v>
      </c>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t="str">
        <f t="shared" si="13"/>
        <v>2单元303</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1050" t="str">
        <f>[3]分套价值!B27</f>
        <v>2单元321</v>
      </c>
      <c r="D35" s="1628" t="s">
        <v>3444</v>
      </c>
      <c r="E35" s="32">
        <f t="shared" si="7"/>
        <v>12.23</v>
      </c>
      <c r="F35" s="33"/>
      <c r="G35" s="34">
        <f t="shared" si="8"/>
        <v>108.47</v>
      </c>
      <c r="H35" s="35">
        <f t="shared" si="9"/>
        <v>108.47</v>
      </c>
      <c r="I35" s="36"/>
      <c r="J35" s="36"/>
      <c r="K35" s="36">
        <v>108.47</v>
      </c>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t="str">
        <f t="shared" si="13"/>
        <v>2单元321</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1050" t="str">
        <f>[3]分套价值!B28</f>
        <v>2单元322</v>
      </c>
      <c r="D36" s="1628" t="s">
        <v>3444</v>
      </c>
      <c r="E36" s="32">
        <f t="shared" si="7"/>
        <v>12.23</v>
      </c>
      <c r="F36" s="33"/>
      <c r="G36" s="34">
        <f t="shared" si="8"/>
        <v>108.47</v>
      </c>
      <c r="H36" s="35">
        <f t="shared" si="9"/>
        <v>108.47</v>
      </c>
      <c r="I36" s="36"/>
      <c r="J36" s="36"/>
      <c r="K36" s="36">
        <v>108.47</v>
      </c>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t="str">
        <f t="shared" si="13"/>
        <v>2单元322</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1050" t="str">
        <f>[3]分套价值!B29</f>
        <v>2单元323</v>
      </c>
      <c r="D37" s="1628" t="s">
        <v>3444</v>
      </c>
      <c r="E37" s="32">
        <f t="shared" si="7"/>
        <v>15.56</v>
      </c>
      <c r="F37" s="33"/>
      <c r="G37" s="34">
        <f t="shared" si="8"/>
        <v>138.01</v>
      </c>
      <c r="H37" s="35">
        <f t="shared" si="9"/>
        <v>138.01</v>
      </c>
      <c r="I37" s="36"/>
      <c r="J37" s="36"/>
      <c r="K37" s="36">
        <v>138.01</v>
      </c>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t="str">
        <f t="shared" si="13"/>
        <v>2单元323</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1050" t="str">
        <f>[3]分套价值!B30</f>
        <v>2单元325</v>
      </c>
      <c r="D38" s="1628" t="s">
        <v>3444</v>
      </c>
      <c r="E38" s="32">
        <f t="shared" si="7"/>
        <v>15.56</v>
      </c>
      <c r="F38" s="33"/>
      <c r="G38" s="34">
        <f t="shared" si="8"/>
        <v>138.01</v>
      </c>
      <c r="H38" s="35">
        <f t="shared" si="9"/>
        <v>138.01</v>
      </c>
      <c r="I38" s="36"/>
      <c r="J38" s="36"/>
      <c r="K38" s="36">
        <v>138.01</v>
      </c>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t="str">
        <f t="shared" si="13"/>
        <v>2单元325</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1050" t="str">
        <f>[3]分套价值!B31</f>
        <v>2单元326</v>
      </c>
      <c r="D39" s="1628" t="s">
        <v>3444</v>
      </c>
      <c r="E39" s="32">
        <f t="shared" si="7"/>
        <v>22.74</v>
      </c>
      <c r="F39" s="33"/>
      <c r="G39" s="34">
        <f t="shared" si="8"/>
        <v>201.75</v>
      </c>
      <c r="H39" s="35">
        <f t="shared" si="9"/>
        <v>201.75</v>
      </c>
      <c r="I39" s="36"/>
      <c r="J39" s="36"/>
      <c r="K39" s="36">
        <v>201.75</v>
      </c>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t="str">
        <f t="shared" si="13"/>
        <v>2单元326</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23" sqref="F23"/>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5"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1128</v>
      </c>
      <c r="B1" s="1137"/>
      <c r="C1" s="1137"/>
      <c r="D1" s="1137"/>
      <c r="E1" s="1137"/>
      <c r="F1" s="1137"/>
      <c r="G1" s="1137"/>
      <c r="H1" s="1137"/>
      <c r="I1" s="1137"/>
      <c r="J1" s="1137"/>
      <c r="K1" s="1137"/>
      <c r="L1" s="1137"/>
      <c r="M1" s="1137"/>
      <c r="N1" s="1137"/>
      <c r="O1" s="1137"/>
      <c r="P1" s="1137"/>
    </row>
    <row r="2" spans="1:16" ht="15">
      <c r="A2" s="3599" t="s">
        <v>1129</v>
      </c>
      <c r="B2" s="3599"/>
      <c r="C2" s="3599"/>
      <c r="D2" s="795" t="s">
        <v>1105</v>
      </c>
      <c r="E2" s="1637" t="s">
        <v>1106</v>
      </c>
      <c r="F2" s="2655"/>
      <c r="G2" s="2646"/>
      <c r="H2" s="2647"/>
      <c r="I2" s="2323" t="s">
        <v>1130</v>
      </c>
      <c r="J2" s="2655"/>
      <c r="K2" s="2655"/>
      <c r="L2" s="2655"/>
      <c r="M2" s="2655"/>
      <c r="N2" s="2657"/>
      <c r="O2" s="2655"/>
      <c r="P2" s="2655"/>
    </row>
    <row r="3" spans="1:16" ht="15.75" thickBot="1">
      <c r="A3" s="3600" t="s">
        <v>1103</v>
      </c>
      <c r="B3" s="3600"/>
      <c r="C3" s="3600"/>
      <c r="D3" s="43">
        <f>'数据-基础表'!AY6</f>
        <v>69.53</v>
      </c>
      <c r="E3" s="43">
        <f>'数据-基础表'!AZ5</f>
        <v>616.89</v>
      </c>
      <c r="F3" s="2655"/>
      <c r="G3" s="1143"/>
      <c r="H3" s="1025" t="s">
        <v>1104</v>
      </c>
      <c r="I3" s="854">
        <f>ROUND('数据-基础表'!B3/'数据-基础表'!A3,2)</f>
        <v>8.8699999999999992</v>
      </c>
      <c r="J3" s="2655"/>
      <c r="K3" s="2655"/>
      <c r="L3" s="2655"/>
      <c r="M3" s="2655"/>
      <c r="N3" s="2657"/>
      <c r="O3" s="2655"/>
      <c r="P3" s="2655"/>
    </row>
    <row r="4" spans="1:16" ht="15">
      <c r="A4" s="3601"/>
      <c r="B4" s="3602"/>
      <c r="C4" s="3603"/>
      <c r="D4" s="1639" t="s">
        <v>1105</v>
      </c>
      <c r="E4" s="1640" t="s">
        <v>1106</v>
      </c>
      <c r="F4" s="2655"/>
      <c r="G4" s="2648" t="s">
        <v>1131</v>
      </c>
      <c r="H4" s="1025" t="s">
        <v>1111</v>
      </c>
      <c r="I4" s="854">
        <f>ROUND(SUMIF('数据-基础表'!I9:AS9,"地上",'数据-基础表'!I5:AS5)/'数据-基础表'!A3,2)</f>
        <v>8.8699999999999992</v>
      </c>
      <c r="J4" s="2655"/>
      <c r="K4" s="2655"/>
      <c r="L4" s="2655"/>
      <c r="M4" s="2655"/>
      <c r="N4" s="2657"/>
      <c r="O4" s="2655"/>
      <c r="P4" s="2655"/>
    </row>
    <row r="5" spans="1:16">
      <c r="A5" s="44" t="s">
        <v>1107</v>
      </c>
      <c r="B5" s="3604" t="s">
        <v>1108</v>
      </c>
      <c r="C5" s="3604"/>
      <c r="D5" s="45">
        <f>ROUND($D$3*E5/$E$3,2)</f>
        <v>0</v>
      </c>
      <c r="E5" s="46">
        <f>SUMIF('数据-基础表'!$11:$11,"住宅",'数据-基础表'!$5:$5)</f>
        <v>0</v>
      </c>
      <c r="F5" s="2655"/>
      <c r="G5" s="1143"/>
      <c r="H5" s="1025" t="s">
        <v>1104</v>
      </c>
      <c r="I5" s="854">
        <f>ROUND(E31/D31,2)</f>
        <v>8.8699999999999992</v>
      </c>
      <c r="J5" s="2655"/>
      <c r="K5" s="2655"/>
      <c r="L5" s="2655"/>
      <c r="M5" s="2655"/>
      <c r="N5" s="2655"/>
      <c r="O5" s="2655"/>
      <c r="P5" s="2655"/>
    </row>
    <row r="6" spans="1:16" ht="15" thickBot="1">
      <c r="A6" s="1642"/>
      <c r="B6" s="3604" t="s">
        <v>1109</v>
      </c>
      <c r="C6" s="3604"/>
      <c r="D6" s="45">
        <f>ROUND($D$3*E6/$E$3,2)</f>
        <v>69.53</v>
      </c>
      <c r="E6" s="46">
        <f>E3-E5</f>
        <v>616.89</v>
      </c>
      <c r="F6" s="2655"/>
      <c r="G6" s="2649" t="s">
        <v>1110</v>
      </c>
      <c r="H6" s="1144" t="s">
        <v>1111</v>
      </c>
      <c r="I6" s="2650">
        <f>ROUND(F31/D31,2)</f>
        <v>8.8699999999999992</v>
      </c>
      <c r="J6" s="2655"/>
      <c r="K6" s="2655"/>
      <c r="L6" s="2655"/>
      <c r="M6" s="2655"/>
      <c r="N6" s="2655"/>
      <c r="O6" s="2655"/>
      <c r="P6" s="2655"/>
    </row>
    <row r="7" spans="1:16" ht="15.75" thickBot="1">
      <c r="A7" s="3596"/>
      <c r="B7" s="3597"/>
      <c r="C7" s="3598"/>
      <c r="D7" s="1639" t="s">
        <v>1105</v>
      </c>
      <c r="E7" s="1643" t="s">
        <v>1112</v>
      </c>
      <c r="F7" s="2655"/>
      <c r="G7" s="2651" t="s">
        <v>1113</v>
      </c>
      <c r="H7" s="2652"/>
      <c r="I7" s="2653"/>
      <c r="J7" s="2655"/>
      <c r="K7" s="2655"/>
      <c r="L7" s="2655"/>
      <c r="M7" s="2655"/>
      <c r="N7" s="2655"/>
      <c r="O7" s="2655"/>
      <c r="P7" s="2655"/>
    </row>
    <row r="8" spans="1:16">
      <c r="A8" s="44" t="s">
        <v>1114</v>
      </c>
      <c r="B8" s="47" t="s">
        <v>1115</v>
      </c>
      <c r="C8" s="45" t="s">
        <v>1116</v>
      </c>
      <c r="D8" s="45">
        <f t="shared" ref="D8:D15" si="0">ROUND($D$3*E8/$E$3,2)</f>
        <v>69.53</v>
      </c>
      <c r="E8" s="48">
        <f>SUMIF('数据-基础表'!BB10:BK10,"地上",'数据-基础表'!BB5:BK5)</f>
        <v>616.89</v>
      </c>
      <c r="F8" s="2655"/>
      <c r="G8" s="2656"/>
      <c r="H8" s="2656"/>
      <c r="I8" s="2655"/>
      <c r="J8" s="2655"/>
      <c r="K8" s="2655"/>
      <c r="L8" s="2655"/>
      <c r="M8" s="2655"/>
      <c r="N8" s="2655"/>
      <c r="O8" s="2655"/>
      <c r="P8" s="2655"/>
    </row>
    <row r="9" spans="1:16">
      <c r="A9" s="1644"/>
      <c r="B9" s="1645"/>
      <c r="C9" s="45" t="s">
        <v>1117</v>
      </c>
      <c r="D9" s="45">
        <f t="shared" si="0"/>
        <v>0</v>
      </c>
      <c r="E9" s="49">
        <v>0</v>
      </c>
      <c r="F9" s="2655"/>
      <c r="G9" s="2656"/>
      <c r="H9" s="2656"/>
      <c r="I9" s="2655"/>
      <c r="J9" s="2655"/>
      <c r="K9" s="2655"/>
      <c r="L9" s="2655"/>
      <c r="M9" s="2655"/>
      <c r="N9" s="2655"/>
      <c r="O9" s="2655"/>
      <c r="P9" s="2655"/>
    </row>
    <row r="10" spans="1:16">
      <c r="A10" s="1644"/>
      <c r="B10" s="1645"/>
      <c r="C10" s="45" t="s">
        <v>1126</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4"/>
      <c r="B11" s="1645"/>
      <c r="C11" s="45" t="s">
        <v>1118</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4"/>
      <c r="B12" s="1645"/>
      <c r="C12" s="45" t="s">
        <v>1119</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4"/>
      <c r="B13" s="1645"/>
      <c r="C13" s="45" t="s">
        <v>1120</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4"/>
      <c r="B14" s="1645"/>
      <c r="C14" s="45" t="s">
        <v>1132</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4"/>
      <c r="B15" s="1645"/>
      <c r="C15" s="45" t="s">
        <v>1127</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2"/>
      <c r="B16" s="1645"/>
      <c r="C16" s="47" t="s">
        <v>1121</v>
      </c>
      <c r="D16" s="47">
        <f>SUM(D8:D15)</f>
        <v>69.53</v>
      </c>
      <c r="E16" s="50">
        <f>SUM(E8:E15)</f>
        <v>616.89</v>
      </c>
      <c r="F16" s="2655"/>
      <c r="G16" s="2656"/>
      <c r="H16" s="1646" t="s">
        <v>1133</v>
      </c>
      <c r="I16" s="1647"/>
      <c r="J16" s="1137"/>
      <c r="K16" s="3593" t="s">
        <v>1133</v>
      </c>
      <c r="L16" s="3594"/>
      <c r="M16" s="3594"/>
      <c r="N16" s="3594"/>
      <c r="O16" s="3594"/>
      <c r="P16" s="3595"/>
    </row>
    <row r="17" spans="1:19" ht="15">
      <c r="A17" s="1648" t="s">
        <v>1134</v>
      </c>
      <c r="B17" s="1649" t="s">
        <v>1135</v>
      </c>
      <c r="C17" s="1650" t="s">
        <v>1136</v>
      </c>
      <c r="D17" s="1651" t="s">
        <v>1124</v>
      </c>
      <c r="E17" s="1652" t="s">
        <v>1125</v>
      </c>
      <c r="F17" s="1653"/>
      <c r="G17" s="1654"/>
      <c r="H17" s="1655" t="s">
        <v>1137</v>
      </c>
      <c r="I17" s="1656" t="s">
        <v>1122</v>
      </c>
      <c r="J17" s="1137"/>
      <c r="K17" s="3590" t="s">
        <v>1138</v>
      </c>
      <c r="L17" s="3591"/>
      <c r="M17" s="3592"/>
      <c r="N17" s="3590" t="s">
        <v>1139</v>
      </c>
      <c r="O17" s="3591"/>
      <c r="P17" s="3592"/>
      <c r="R17" s="1638" t="s">
        <v>1140</v>
      </c>
      <c r="S17" s="56"/>
    </row>
    <row r="18" spans="1:19" ht="15">
      <c r="A18" s="1644"/>
      <c r="B18" s="1657"/>
      <c r="C18" s="1658"/>
      <c r="D18" s="1659"/>
      <c r="E18" s="1660" t="s">
        <v>1141</v>
      </c>
      <c r="F18" s="1661" t="s">
        <v>1142</v>
      </c>
      <c r="G18" s="1662" t="s">
        <v>1143</v>
      </c>
      <c r="H18" s="1040" t="s">
        <v>1144</v>
      </c>
      <c r="I18" s="1663" t="s">
        <v>1145</v>
      </c>
      <c r="J18" s="1137"/>
      <c r="K18" s="1040" t="s">
        <v>1146</v>
      </c>
      <c r="L18" s="1664" t="s">
        <v>1147</v>
      </c>
      <c r="M18" s="854" t="s">
        <v>1148</v>
      </c>
      <c r="N18" s="1040" t="s">
        <v>1146</v>
      </c>
      <c r="O18" s="1664" t="s">
        <v>1147</v>
      </c>
      <c r="P18" s="854" t="s">
        <v>1148</v>
      </c>
      <c r="R18" s="1025" t="s">
        <v>1149</v>
      </c>
      <c r="S18" s="1025" t="s">
        <v>1150</v>
      </c>
    </row>
    <row r="19" spans="1:19">
      <c r="A19" s="1665"/>
      <c r="B19" s="47" t="s">
        <v>1123</v>
      </c>
      <c r="C19" s="3413" t="s">
        <v>3446</v>
      </c>
      <c r="D19" s="45">
        <f>ROUND($D$3*E19/$E$3,2)</f>
        <v>46.29</v>
      </c>
      <c r="E19" s="53">
        <f t="shared" ref="E19:E26" si="1">SUM(F19:G19)</f>
        <v>410.74</v>
      </c>
      <c r="F19" s="2791">
        <f>'[3]数据-基础表'!I13</f>
        <v>410.74</v>
      </c>
      <c r="G19" s="2792"/>
      <c r="H19" s="669">
        <f>ROUND($D$3*I19/$E$3,2)</f>
        <v>0</v>
      </c>
      <c r="I19" s="48">
        <f t="shared" ref="I19:I26" si="2">IF($I$17="自定义",P19,M19)</f>
        <v>0</v>
      </c>
      <c r="J19" s="1137"/>
      <c r="K19" s="1136">
        <f t="shared" ref="K19:K26" si="3">ROUND(E$28*E19/E$27,2)</f>
        <v>0</v>
      </c>
      <c r="L19" s="1025">
        <f t="shared" ref="L19:L26" si="4">ROUND(IF(COUNTIF(C19,"*住宅*")&gt;0,E$29*E19/E$32,0),2)</f>
        <v>0</v>
      </c>
      <c r="M19" s="1148">
        <f>K19+L19</f>
        <v>0</v>
      </c>
      <c r="N19" s="1666"/>
      <c r="O19" s="1667"/>
      <c r="P19" s="1148">
        <f>N19+O19</f>
        <v>0</v>
      </c>
      <c r="R19" s="1025">
        <f t="shared" ref="R19:S26" si="5">D19+H19</f>
        <v>46.29</v>
      </c>
      <c r="S19" s="1026">
        <f t="shared" si="5"/>
        <v>410.74</v>
      </c>
    </row>
    <row r="20" spans="1:19">
      <c r="A20" s="1668"/>
      <c r="B20" s="47" t="s">
        <v>1151</v>
      </c>
      <c r="C20" s="3413" t="s">
        <v>3447</v>
      </c>
      <c r="D20" s="45">
        <f t="shared" ref="D20:D26" si="6">ROUND($D$3*E20/$E$3,2)</f>
        <v>23.24</v>
      </c>
      <c r="E20" s="53">
        <f t="shared" si="1"/>
        <v>206.15</v>
      </c>
      <c r="F20" s="2791">
        <f>'[3]数据-基础表'!K32</f>
        <v>206.15</v>
      </c>
      <c r="G20" s="2792"/>
      <c r="H20" s="669">
        <f t="shared" ref="H20:H26" si="7">ROUND($D$3*I20/$E$3,2)</f>
        <v>0</v>
      </c>
      <c r="I20" s="48">
        <f t="shared" si="2"/>
        <v>0</v>
      </c>
      <c r="J20" s="1137"/>
      <c r="K20" s="1136">
        <f t="shared" si="3"/>
        <v>0</v>
      </c>
      <c r="L20" s="1025">
        <f t="shared" si="4"/>
        <v>0</v>
      </c>
      <c r="M20" s="1148">
        <f t="shared" ref="M20:M26" si="8">K20+L20</f>
        <v>0</v>
      </c>
      <c r="N20" s="1666"/>
      <c r="O20" s="1667"/>
      <c r="P20" s="1148">
        <f t="shared" ref="P20:P26" si="9">N20+O20</f>
        <v>0</v>
      </c>
      <c r="R20" s="1025">
        <f t="shared" si="5"/>
        <v>23.24</v>
      </c>
      <c r="S20" s="1026">
        <f t="shared" si="5"/>
        <v>206.15</v>
      </c>
    </row>
    <row r="21" spans="1:19">
      <c r="A21" s="1668"/>
      <c r="B21" s="47" t="s">
        <v>1151</v>
      </c>
      <c r="C21" s="3413"/>
      <c r="D21" s="45">
        <f t="shared" si="6"/>
        <v>0</v>
      </c>
      <c r="E21" s="53">
        <f t="shared" si="1"/>
        <v>0</v>
      </c>
      <c r="F21" s="2791"/>
      <c r="G21" s="2792"/>
      <c r="H21" s="669">
        <f t="shared" si="7"/>
        <v>0</v>
      </c>
      <c r="I21" s="48">
        <f t="shared" si="2"/>
        <v>0</v>
      </c>
      <c r="J21" s="1137"/>
      <c r="K21" s="1136">
        <f t="shared" si="3"/>
        <v>0</v>
      </c>
      <c r="L21" s="1025">
        <f t="shared" si="4"/>
        <v>0</v>
      </c>
      <c r="M21" s="1148">
        <f t="shared" si="8"/>
        <v>0</v>
      </c>
      <c r="N21" s="1666"/>
      <c r="O21" s="1667"/>
      <c r="P21" s="1148">
        <f t="shared" si="9"/>
        <v>0</v>
      </c>
      <c r="R21" s="1025">
        <f t="shared" si="5"/>
        <v>0</v>
      </c>
      <c r="S21" s="1026">
        <f t="shared" si="5"/>
        <v>0</v>
      </c>
    </row>
    <row r="22" spans="1:19">
      <c r="A22" s="1668"/>
      <c r="B22" s="47" t="s">
        <v>1151</v>
      </c>
      <c r="C22" s="3414"/>
      <c r="D22" s="45">
        <f t="shared" si="6"/>
        <v>0</v>
      </c>
      <c r="E22" s="53">
        <f t="shared" si="1"/>
        <v>0</v>
      </c>
      <c r="F22" s="2793"/>
      <c r="G22" s="2794"/>
      <c r="H22" s="669">
        <f t="shared" si="7"/>
        <v>0</v>
      </c>
      <c r="I22" s="48">
        <f t="shared" si="2"/>
        <v>0</v>
      </c>
      <c r="J22" s="1137"/>
      <c r="K22" s="1136">
        <f t="shared" si="3"/>
        <v>0</v>
      </c>
      <c r="L22" s="1025">
        <f t="shared" si="4"/>
        <v>0</v>
      </c>
      <c r="M22" s="1148">
        <f t="shared" si="8"/>
        <v>0</v>
      </c>
      <c r="N22" s="1666"/>
      <c r="O22" s="1667"/>
      <c r="P22" s="1148">
        <f t="shared" si="9"/>
        <v>0</v>
      </c>
      <c r="R22" s="1025">
        <f t="shared" si="5"/>
        <v>0</v>
      </c>
      <c r="S22" s="1026">
        <f t="shared" si="5"/>
        <v>0</v>
      </c>
    </row>
    <row r="23" spans="1:19">
      <c r="A23" s="1668"/>
      <c r="B23" s="47" t="s">
        <v>1151</v>
      </c>
      <c r="C23" s="3414"/>
      <c r="D23" s="45">
        <f>ROUND($D$3*E23/$E$3,2)</f>
        <v>0</v>
      </c>
      <c r="E23" s="53">
        <f>SUM(F23:G23)</f>
        <v>0</v>
      </c>
      <c r="F23" s="2793"/>
      <c r="G23" s="2794"/>
      <c r="H23" s="669">
        <f>ROUND($D$3*I23/$E$3,2)</f>
        <v>0</v>
      </c>
      <c r="I23" s="48">
        <f t="shared" si="2"/>
        <v>0</v>
      </c>
      <c r="J23" s="1137"/>
      <c r="K23" s="1136">
        <f t="shared" si="3"/>
        <v>0</v>
      </c>
      <c r="L23" s="1025">
        <f t="shared" si="4"/>
        <v>0</v>
      </c>
      <c r="M23" s="1148">
        <f t="shared" si="8"/>
        <v>0</v>
      </c>
      <c r="N23" s="1666"/>
      <c r="O23" s="1667"/>
      <c r="P23" s="1148">
        <f t="shared" si="9"/>
        <v>0</v>
      </c>
      <c r="R23" s="1025">
        <f t="shared" si="5"/>
        <v>0</v>
      </c>
      <c r="S23" s="1026">
        <f t="shared" si="5"/>
        <v>0</v>
      </c>
    </row>
    <row r="24" spans="1:19">
      <c r="A24" s="1668"/>
      <c r="B24" s="47" t="s">
        <v>1151</v>
      </c>
      <c r="C24" s="3414"/>
      <c r="D24" s="45">
        <f>ROUND($D$3*E24/$E$3,2)</f>
        <v>0</v>
      </c>
      <c r="E24" s="53">
        <f>SUM(F24:G24)</f>
        <v>0</v>
      </c>
      <c r="F24" s="2793"/>
      <c r="G24" s="2794"/>
      <c r="H24" s="669">
        <f>ROUND($D$3*I24/$E$3,2)</f>
        <v>0</v>
      </c>
      <c r="I24" s="48">
        <f t="shared" si="2"/>
        <v>0</v>
      </c>
      <c r="J24" s="1137"/>
      <c r="K24" s="1136">
        <f t="shared" si="3"/>
        <v>0</v>
      </c>
      <c r="L24" s="1025">
        <f t="shared" si="4"/>
        <v>0</v>
      </c>
      <c r="M24" s="1148">
        <f t="shared" si="8"/>
        <v>0</v>
      </c>
      <c r="N24" s="1666"/>
      <c r="O24" s="1667"/>
      <c r="P24" s="1148">
        <f t="shared" si="9"/>
        <v>0</v>
      </c>
      <c r="R24" s="1025">
        <f t="shared" si="5"/>
        <v>0</v>
      </c>
      <c r="S24" s="1026">
        <f t="shared" si="5"/>
        <v>0</v>
      </c>
    </row>
    <row r="25" spans="1:19">
      <c r="A25" s="1668"/>
      <c r="B25" s="47" t="s">
        <v>1151</v>
      </c>
      <c r="C25" s="3414"/>
      <c r="D25" s="45">
        <f t="shared" si="6"/>
        <v>0</v>
      </c>
      <c r="E25" s="53">
        <f t="shared" si="1"/>
        <v>0</v>
      </c>
      <c r="F25" s="2793"/>
      <c r="G25" s="2794"/>
      <c r="H25" s="44">
        <f t="shared" si="7"/>
        <v>0</v>
      </c>
      <c r="I25" s="48">
        <f t="shared" si="2"/>
        <v>0</v>
      </c>
      <c r="J25" s="1137"/>
      <c r="K25" s="1136">
        <f t="shared" si="3"/>
        <v>0</v>
      </c>
      <c r="L25" s="1025">
        <f t="shared" si="4"/>
        <v>0</v>
      </c>
      <c r="M25" s="1148">
        <f t="shared" si="8"/>
        <v>0</v>
      </c>
      <c r="N25" s="1666"/>
      <c r="O25" s="1667"/>
      <c r="P25" s="1148">
        <f t="shared" si="9"/>
        <v>0</v>
      </c>
      <c r="R25" s="1025">
        <f t="shared" si="5"/>
        <v>0</v>
      </c>
      <c r="S25" s="1026">
        <f t="shared" si="5"/>
        <v>0</v>
      </c>
    </row>
    <row r="26" spans="1:19">
      <c r="A26" s="1668"/>
      <c r="B26" s="47" t="s">
        <v>1151</v>
      </c>
      <c r="C26" s="55"/>
      <c r="D26" s="45">
        <f t="shared" si="6"/>
        <v>0</v>
      </c>
      <c r="E26" s="53">
        <f t="shared" si="1"/>
        <v>0</v>
      </c>
      <c r="F26" s="2793"/>
      <c r="G26" s="2794"/>
      <c r="H26" s="44">
        <f t="shared" si="7"/>
        <v>0</v>
      </c>
      <c r="I26" s="48">
        <f t="shared" si="2"/>
        <v>0</v>
      </c>
      <c r="J26" s="1137"/>
      <c r="K26" s="1143">
        <f t="shared" si="3"/>
        <v>0</v>
      </c>
      <c r="L26" s="1144">
        <f t="shared" si="4"/>
        <v>0</v>
      </c>
      <c r="M26" s="59">
        <f t="shared" si="8"/>
        <v>0</v>
      </c>
      <c r="N26" s="1669"/>
      <c r="O26" s="1670"/>
      <c r="P26" s="59">
        <f t="shared" si="9"/>
        <v>0</v>
      </c>
      <c r="R26" s="1025">
        <f t="shared" si="5"/>
        <v>0</v>
      </c>
      <c r="S26" s="1026">
        <f t="shared" si="5"/>
        <v>0</v>
      </c>
    </row>
    <row r="27" spans="1:19" ht="15.75" thickBot="1">
      <c r="A27" s="1668"/>
      <c r="B27" s="45"/>
      <c r="C27" s="1671" t="s">
        <v>1152</v>
      </c>
      <c r="D27" s="1138">
        <f>SUM(D19:D26)</f>
        <v>69.53</v>
      </c>
      <c r="E27" s="1139">
        <f>IF(SUM(E19:E26)='数据-基础表'!BA5,SUM(E19:E26),IF(F27="地上面积有误","面积有误","地下面积有误"))</f>
        <v>616.89</v>
      </c>
      <c r="F27" s="1138">
        <f>IF(SUM(F19:F26)=E8,SUM(F19:F26),"地上面积有误")</f>
        <v>616.89</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7">
        <f>IF(SUM(R19:R26)=$D$3,SUM(R19:R26),SUM(R19:R26)&amp;"误差"&amp;ROUND(SUM(R19:R26)-$D$3,2))</f>
        <v>69.53</v>
      </c>
      <c r="S27" s="1025">
        <f>IF(SUM(S19:S26)=$E$3,SUM(S19:S26),SUM(S19:S26)&amp;"误差"&amp;ROUND(SUM(S19:S26)-E3,2))</f>
        <v>616.89</v>
      </c>
    </row>
    <row r="28" spans="1:19">
      <c r="A28" s="1668"/>
      <c r="B28" s="47" t="s">
        <v>1153</v>
      </c>
      <c r="C28" s="1037" t="s">
        <v>1154</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8"/>
      <c r="B29" s="47" t="s">
        <v>1153</v>
      </c>
      <c r="C29" s="1672" t="s">
        <v>1155</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8"/>
      <c r="B30" s="47"/>
      <c r="C30" s="1673" t="s">
        <v>1152</v>
      </c>
      <c r="D30" s="1138">
        <f>SUM(D28:D29)</f>
        <v>0</v>
      </c>
      <c r="E30" s="1138">
        <f>SUM(E28:E29)</f>
        <v>0</v>
      </c>
      <c r="F30" s="1138">
        <f>SUM(F28:F29)</f>
        <v>0</v>
      </c>
      <c r="G30" s="1140">
        <f>SUM(G28:G29)</f>
        <v>0</v>
      </c>
      <c r="H30" s="2655"/>
      <c r="I30" s="2655"/>
      <c r="J30" s="2655"/>
      <c r="K30" s="2655"/>
      <c r="L30" s="2655"/>
      <c r="M30" s="2655"/>
      <c r="N30" s="2655"/>
      <c r="O30" s="2655"/>
      <c r="P30" s="2655"/>
    </row>
    <row r="31" spans="1:19" ht="15.75" thickBot="1">
      <c r="A31" s="1674"/>
      <c r="B31" s="1675"/>
      <c r="C31" s="834" t="s">
        <v>1156</v>
      </c>
      <c r="D31" s="675">
        <f>D27+D30</f>
        <v>69.53</v>
      </c>
      <c r="E31" s="675">
        <f>E27+E30</f>
        <v>616.89</v>
      </c>
      <c r="F31" s="676">
        <f>F27+F30</f>
        <v>616.89</v>
      </c>
      <c r="G31" s="677">
        <f>G27+G30</f>
        <v>0</v>
      </c>
      <c r="H31" s="2655"/>
      <c r="I31" s="2655"/>
      <c r="J31" s="2655"/>
      <c r="K31" s="2655"/>
      <c r="L31" s="2655"/>
      <c r="M31" s="2655"/>
      <c r="N31" s="2655"/>
      <c r="O31" s="2655"/>
      <c r="P31" s="2655"/>
    </row>
    <row r="32" spans="1:19">
      <c r="A32" s="1641"/>
      <c r="B32" s="1641" t="s">
        <v>1157</v>
      </c>
      <c r="C32" s="1641"/>
      <c r="D32" s="1641"/>
      <c r="E32" s="1052">
        <f>SUMIF(C19:C26,"*住宅*",E19:E26)</f>
        <v>0</v>
      </c>
      <c r="F32" s="1641"/>
      <c r="G32" s="1641"/>
      <c r="H32" s="2655"/>
      <c r="I32" s="2655"/>
      <c r="J32" s="2655"/>
      <c r="K32" s="2655"/>
      <c r="L32" s="2655"/>
      <c r="M32" s="2655"/>
      <c r="N32" s="2655"/>
      <c r="O32" s="2655"/>
      <c r="P32" s="2655"/>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5" priority="1" stopIfTrue="1" operator="containsText" text="面积有误">
      <formula>NOT(ISERROR(SEARCH("面积有误",E27)))</formula>
    </cfRule>
    <cfRule type="cellIs" dxfId="194" priority="3" stopIfTrue="1" operator="equal">
      <formula>"地下面积有误"</formula>
    </cfRule>
  </conditionalFormatting>
  <conditionalFormatting sqref="F27">
    <cfRule type="cellIs" dxfId="19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H61"/>
  <sheetViews>
    <sheetView workbookViewId="0">
      <selection activeCell="G37" sqref="G37"/>
    </sheetView>
  </sheetViews>
  <sheetFormatPr defaultColWidth="9" defaultRowHeight="13.5"/>
  <cols>
    <col min="1" max="1" width="9" style="3483"/>
    <col min="2" max="2" width="10.75" style="3483" customWidth="1"/>
    <col min="3" max="3" width="19.25" style="3483" customWidth="1"/>
    <col min="4" max="5" width="15.5" style="3483" customWidth="1"/>
    <col min="6" max="6" width="15.75" style="3483" customWidth="1"/>
    <col min="7" max="8" width="12.75" style="3483" customWidth="1"/>
    <col min="9" max="9" width="11.625" style="3483" customWidth="1"/>
    <col min="10" max="10" width="9" style="3483"/>
    <col min="11" max="11" width="10.5" style="3483" customWidth="1"/>
    <col min="12" max="12" width="9.5" style="3483" customWidth="1"/>
    <col min="13" max="16384" width="9" style="3483"/>
  </cols>
  <sheetData>
    <row r="2" spans="2:8">
      <c r="B2" s="3483" t="s">
        <v>3449</v>
      </c>
    </row>
    <row r="3" spans="2:8">
      <c r="B3" s="3484"/>
      <c r="C3" s="3485" t="s">
        <v>3382</v>
      </c>
      <c r="D3" s="3485" t="s">
        <v>3450</v>
      </c>
      <c r="E3" s="3485" t="s">
        <v>3451</v>
      </c>
      <c r="F3" s="3484"/>
      <c r="G3" s="3486" t="s">
        <v>3452</v>
      </c>
    </row>
    <row r="4" spans="2:8">
      <c r="B4" s="3487" t="s">
        <v>3453</v>
      </c>
      <c r="C4" s="3488">
        <f>C5+C6</f>
        <v>66027.040000000328</v>
      </c>
      <c r="D4" s="3488">
        <f>E4/C4</f>
        <v>2874.9999999999995</v>
      </c>
      <c r="E4" s="3488">
        <f>E5+E6</f>
        <v>189827740.00000092</v>
      </c>
      <c r="F4" s="3484"/>
      <c r="G4" s="3489">
        <v>1</v>
      </c>
    </row>
    <row r="5" spans="2:8">
      <c r="B5" s="3485" t="s">
        <v>3445</v>
      </c>
      <c r="C5" s="3490">
        <f>C6*2.2</f>
        <v>45393.590000000222</v>
      </c>
      <c r="D5" s="3484">
        <v>2000</v>
      </c>
      <c r="E5" s="3484">
        <f>D5*C5</f>
        <v>90787180.000000447</v>
      </c>
      <c r="F5" s="3484"/>
      <c r="G5" s="3484"/>
    </row>
    <row r="6" spans="2:8">
      <c r="B6" s="3485" t="s">
        <v>3454</v>
      </c>
      <c r="C6" s="3490">
        <f>[7]面积清单!C5+[7]面积清单!D5+[7]面积清单!D3</f>
        <v>20633.450000000099</v>
      </c>
      <c r="D6" s="3484">
        <v>4800</v>
      </c>
      <c r="E6" s="3484">
        <f t="shared" ref="E6:E9" si="0">D6*C6</f>
        <v>99040560.000000477</v>
      </c>
      <c r="F6" s="3484"/>
      <c r="G6" s="3484"/>
    </row>
    <row r="7" spans="2:8">
      <c r="B7" s="3487" t="s">
        <v>3455</v>
      </c>
      <c r="C7" s="3488">
        <f>C4</f>
        <v>66027.040000000328</v>
      </c>
      <c r="D7" s="3488">
        <v>1000</v>
      </c>
      <c r="E7" s="3488">
        <f t="shared" si="0"/>
        <v>66027040.000000328</v>
      </c>
      <c r="F7" s="3484"/>
      <c r="G7" s="3489">
        <v>1</v>
      </c>
    </row>
    <row r="8" spans="2:8">
      <c r="B8" s="3487" t="s">
        <v>3456</v>
      </c>
      <c r="C8" s="3488">
        <f>C4</f>
        <v>66027.040000000328</v>
      </c>
      <c r="D8" s="3488">
        <v>1500</v>
      </c>
      <c r="E8" s="3488">
        <f t="shared" si="0"/>
        <v>99040560.000000492</v>
      </c>
      <c r="F8" s="3484"/>
      <c r="G8" s="3489">
        <v>1</v>
      </c>
    </row>
    <row r="9" spans="2:8">
      <c r="B9" s="3487" t="s">
        <v>3457</v>
      </c>
      <c r="C9" s="3488">
        <v>0</v>
      </c>
      <c r="D9" s="3488">
        <f>D6</f>
        <v>4800</v>
      </c>
      <c r="E9" s="3488">
        <f t="shared" si="0"/>
        <v>0</v>
      </c>
      <c r="F9" s="3484"/>
      <c r="G9" s="3484"/>
    </row>
    <row r="10" spans="2:8">
      <c r="B10" s="3485" t="s">
        <v>3458</v>
      </c>
      <c r="C10" s="3484">
        <f>C4</f>
        <v>66027.040000000328</v>
      </c>
      <c r="D10" s="3484">
        <f>E10/C10</f>
        <v>5374.9999999999991</v>
      </c>
      <c r="E10" s="3484">
        <f>E4+E7+E8+E9</f>
        <v>354895340.00000173</v>
      </c>
      <c r="F10" s="3484"/>
      <c r="G10" s="3487">
        <f>(G4*E4+G7*E7+G8*E8)/E10</f>
        <v>1</v>
      </c>
    </row>
    <row r="14" spans="2:8">
      <c r="B14" s="3483" t="s">
        <v>3448</v>
      </c>
    </row>
    <row r="15" spans="2:8">
      <c r="B15" s="3484"/>
      <c r="C15" s="3485" t="s">
        <v>3459</v>
      </c>
      <c r="D15" s="3485"/>
      <c r="E15" s="3485" t="s">
        <v>3460</v>
      </c>
      <c r="F15" s="3485" t="s">
        <v>3461</v>
      </c>
      <c r="G15" s="3485" t="s">
        <v>3462</v>
      </c>
      <c r="H15" s="3486" t="s">
        <v>3448</v>
      </c>
    </row>
    <row r="16" spans="2:8">
      <c r="B16" s="3487" t="s">
        <v>3463</v>
      </c>
      <c r="C16" s="3488">
        <v>2011</v>
      </c>
      <c r="D16" s="3488">
        <v>2024</v>
      </c>
      <c r="E16" s="3488">
        <v>50</v>
      </c>
      <c r="F16" s="3484">
        <v>60</v>
      </c>
      <c r="G16" s="3484">
        <v>0</v>
      </c>
      <c r="H16" s="3491">
        <f>ROUND((1-G16)-(D16-C16)/F16,2)</f>
        <v>0.78</v>
      </c>
    </row>
    <row r="17" spans="2:8">
      <c r="B17" s="3485" t="s">
        <v>3464</v>
      </c>
      <c r="C17" s="3490"/>
      <c r="D17" s="3484"/>
      <c r="E17" s="3484"/>
      <c r="F17" s="3484"/>
      <c r="G17" s="3484"/>
      <c r="H17" s="3489">
        <v>0.8</v>
      </c>
    </row>
    <row r="18" spans="2:8">
      <c r="B18" s="3485"/>
      <c r="C18" s="3484"/>
      <c r="D18" s="3484"/>
      <c r="E18" s="3484"/>
      <c r="F18" s="3484"/>
      <c r="G18" s="3484"/>
      <c r="H18" s="3492">
        <f>ROUND((H17+H16)/2,2)</f>
        <v>0.79</v>
      </c>
    </row>
    <row r="24" spans="2:8">
      <c r="B24" s="3493"/>
      <c r="C24" s="3494"/>
      <c r="D24" s="3494" t="s">
        <v>3465</v>
      </c>
      <c r="E24" s="3495"/>
      <c r="F24" s="3495"/>
    </row>
    <row r="25" spans="2:8">
      <c r="B25" s="3493" t="s">
        <v>3445</v>
      </c>
      <c r="C25" s="3496">
        <f>'[7]数据-基础表'!I13</f>
        <v>1316.46</v>
      </c>
      <c r="D25" s="3497">
        <f>C25</f>
        <v>1316.46</v>
      </c>
      <c r="E25" s="3498">
        <v>4.5</v>
      </c>
      <c r="F25" s="3498"/>
    </row>
    <row r="26" spans="2:8">
      <c r="B26" s="3493"/>
      <c r="C26" s="3496">
        <f>'[7]数据-基础表'!I14</f>
        <v>4967.6099999999997</v>
      </c>
      <c r="D26" s="3497">
        <f>C26</f>
        <v>4967.6099999999997</v>
      </c>
      <c r="E26" s="3498">
        <v>5.3</v>
      </c>
      <c r="F26" s="3499"/>
    </row>
    <row r="27" spans="2:8">
      <c r="B27" s="3493"/>
      <c r="C27" s="3496"/>
      <c r="D27" s="3497">
        <f>SUM(D25:D26)</f>
        <v>6284.07</v>
      </c>
      <c r="E27" s="3496">
        <f>ROUND((D25*E25+D26*E26)/D27,2)</f>
        <v>5.13</v>
      </c>
      <c r="F27" s="3499"/>
    </row>
    <row r="28" spans="2:8">
      <c r="B28" s="3493" t="s">
        <v>3454</v>
      </c>
      <c r="C28" s="3496">
        <f>[7]面积清单!D3</f>
        <v>4129.8999999999996</v>
      </c>
      <c r="D28" s="3497">
        <f>C28</f>
        <v>4129.8999999999996</v>
      </c>
      <c r="E28" s="3495">
        <v>4</v>
      </c>
      <c r="F28" s="3500"/>
    </row>
    <row r="29" spans="2:8">
      <c r="B29" s="3493"/>
      <c r="C29" s="3496"/>
      <c r="D29" s="3496">
        <f>D27+D28</f>
        <v>10413.969999999999</v>
      </c>
      <c r="E29" s="3496">
        <f>ROUND((D27*E27+D28*E28)/D29,2)</f>
        <v>4.68</v>
      </c>
      <c r="F29" s="3495"/>
    </row>
    <row r="30" spans="2:8">
      <c r="B30" s="3493"/>
      <c r="C30" s="3495"/>
      <c r="D30" s="3498"/>
      <c r="E30" s="3495"/>
      <c r="F30" s="3495"/>
    </row>
    <row r="31" spans="2:8">
      <c r="B31" s="3493"/>
      <c r="C31" s="3495"/>
      <c r="D31" s="3498"/>
      <c r="E31" s="3498"/>
      <c r="F31" s="3498"/>
    </row>
    <row r="32" spans="2:8">
      <c r="B32" s="3493"/>
      <c r="C32" s="3495"/>
      <c r="D32" s="3498"/>
      <c r="E32" s="3498"/>
      <c r="F32" s="3498"/>
    </row>
    <row r="33" spans="2:8">
      <c r="B33" s="3493"/>
      <c r="C33" s="3495"/>
      <c r="D33" s="3498"/>
      <c r="E33" s="3498"/>
      <c r="F33" s="3495"/>
    </row>
    <row r="34" spans="2:8">
      <c r="B34" s="3501"/>
    </row>
    <row r="35" spans="2:8">
      <c r="B35" s="3501"/>
    </row>
    <row r="36" spans="2:8">
      <c r="B36" s="3501"/>
      <c r="G36" s="3502"/>
      <c r="H36" s="3495"/>
    </row>
    <row r="37" spans="2:8">
      <c r="B37" s="3501"/>
    </row>
    <row r="38" spans="2:8">
      <c r="B38" s="3501"/>
      <c r="C38" s="3502"/>
    </row>
    <row r="39" spans="2:8">
      <c r="B39" s="3501"/>
      <c r="C39" s="3502"/>
    </row>
    <row r="40" spans="2:8">
      <c r="B40" s="3501"/>
      <c r="C40" s="3502"/>
    </row>
    <row r="41" spans="2:8">
      <c r="B41" s="3501"/>
    </row>
    <row r="42" spans="2:8">
      <c r="B42" s="3501"/>
    </row>
    <row r="43" spans="2:8">
      <c r="B43" s="3501"/>
    </row>
    <row r="44" spans="2:8">
      <c r="B44" s="3501"/>
    </row>
    <row r="45" spans="2:8">
      <c r="B45" s="3501"/>
    </row>
    <row r="46" spans="2:8">
      <c r="B46" s="3501"/>
    </row>
    <row r="47" spans="2:8">
      <c r="B47" s="3501"/>
    </row>
    <row r="48" spans="2:8">
      <c r="B48" s="3501"/>
    </row>
    <row r="49" spans="2:2">
      <c r="B49" s="3501"/>
    </row>
    <row r="50" spans="2:2">
      <c r="B50" s="3501"/>
    </row>
    <row r="51" spans="2:2">
      <c r="B51" s="3501"/>
    </row>
    <row r="52" spans="2:2">
      <c r="B52" s="3501"/>
    </row>
    <row r="53" spans="2:2">
      <c r="B53" s="3501"/>
    </row>
    <row r="54" spans="2:2">
      <c r="B54" s="3501"/>
    </row>
    <row r="55" spans="2:2">
      <c r="B55" s="3501"/>
    </row>
    <row r="56" spans="2:2">
      <c r="B56" s="3501"/>
    </row>
    <row r="57" spans="2:2">
      <c r="B57" s="3501"/>
    </row>
    <row r="58" spans="2:2">
      <c r="B58" s="3501"/>
    </row>
    <row r="59" spans="2:2">
      <c r="B59" s="3501"/>
    </row>
    <row r="60" spans="2:2">
      <c r="B60" s="3501"/>
    </row>
    <row r="61" spans="2:2">
      <c r="B61" s="3501"/>
    </row>
  </sheetData>
  <phoneticPr fontId="13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AK8" sqref="AK8"/>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1158</v>
      </c>
      <c r="B1" s="678"/>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7"/>
      <c r="AO1" s="2667"/>
      <c r="AP1" s="2667"/>
      <c r="AQ1" s="2667"/>
      <c r="AR1" s="2667"/>
    </row>
    <row r="2" spans="1:67" s="1557" customFormat="1" ht="15.75" thickBot="1">
      <c r="A2" s="1681" t="s">
        <v>1159</v>
      </c>
      <c r="B2" s="1044">
        <f>项目基本情况!D3</f>
        <v>45498</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69"/>
      <c r="AO2" s="2669"/>
      <c r="AP2" s="2669"/>
      <c r="AQ2" s="2669"/>
      <c r="AR2" s="2669"/>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69"/>
      <c r="AO3" s="2669"/>
      <c r="AP3" s="2669"/>
      <c r="AQ3" s="2669"/>
      <c r="AR3" s="2669"/>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1160</v>
      </c>
      <c r="B4" s="1686"/>
      <c r="C4" s="1687"/>
      <c r="D4" s="1688"/>
      <c r="E4" s="1687" t="s">
        <v>1161</v>
      </c>
      <c r="F4" s="1687"/>
      <c r="G4" s="1687"/>
      <c r="H4" s="1687"/>
      <c r="I4" s="1687"/>
      <c r="J4" s="1689"/>
      <c r="K4" s="1690"/>
      <c r="L4" s="1691"/>
      <c r="M4" s="1687"/>
      <c r="N4" s="1687" t="s">
        <v>1162</v>
      </c>
      <c r="O4" s="1687"/>
      <c r="P4" s="1687"/>
      <c r="Q4" s="1687"/>
      <c r="R4" s="1687"/>
      <c r="S4" s="1689"/>
      <c r="T4" s="2654" t="str">
        <f>'数据-汇总表'!I17</f>
        <v>按面积比例</v>
      </c>
      <c r="U4" s="1686" t="s">
        <v>1163</v>
      </c>
      <c r="V4" s="1687"/>
      <c r="W4" s="1687"/>
      <c r="X4" s="1687"/>
      <c r="Y4" s="1689"/>
      <c r="Z4" s="1650" t="s">
        <v>1164</v>
      </c>
      <c r="AA4" s="1650"/>
      <c r="AB4" s="1650"/>
      <c r="AC4" s="1650"/>
      <c r="AD4" s="1650"/>
      <c r="AE4" s="1648" t="s">
        <v>1165</v>
      </c>
      <c r="AF4" s="1650"/>
      <c r="AG4" s="1692"/>
      <c r="AH4" s="1686"/>
      <c r="AI4" s="1687"/>
      <c r="AJ4" s="1687"/>
      <c r="AK4" s="1687"/>
      <c r="AL4" s="1687"/>
      <c r="AM4" s="1689"/>
      <c r="AN4" s="2669"/>
      <c r="AO4" s="2669"/>
      <c r="AP4" s="2669"/>
      <c r="AQ4" s="2669"/>
      <c r="AR4" s="2669"/>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1166</v>
      </c>
      <c r="B5" s="1694" t="s">
        <v>1167</v>
      </c>
      <c r="C5" s="1695" t="s">
        <v>1168</v>
      </c>
      <c r="D5" s="1696" t="s">
        <v>1169</v>
      </c>
      <c r="E5" s="1046" t="s">
        <v>1170</v>
      </c>
      <c r="F5" s="1697" t="s">
        <v>1171</v>
      </c>
      <c r="G5" s="1046" t="s">
        <v>1172</v>
      </c>
      <c r="H5" s="1046" t="s">
        <v>1173</v>
      </c>
      <c r="I5" s="1046" t="s">
        <v>1174</v>
      </c>
      <c r="J5" s="1698" t="s">
        <v>1175</v>
      </c>
      <c r="K5" s="1699" t="s">
        <v>1176</v>
      </c>
      <c r="L5" s="1700" t="s">
        <v>1177</v>
      </c>
      <c r="M5" s="1701" t="s">
        <v>1178</v>
      </c>
      <c r="N5" s="1702" t="s">
        <v>3448</v>
      </c>
      <c r="O5" s="1700" t="s">
        <v>1179</v>
      </c>
      <c r="P5" s="1703" t="s">
        <v>1180</v>
      </c>
      <c r="Q5" s="61" t="s">
        <v>1181</v>
      </c>
      <c r="R5" s="1704" t="s">
        <v>1182</v>
      </c>
      <c r="S5" s="1705" t="s">
        <v>1183</v>
      </c>
      <c r="T5" s="1706" t="s">
        <v>1184</v>
      </c>
      <c r="U5" s="1045" t="s">
        <v>1185</v>
      </c>
      <c r="V5" s="1046" t="s">
        <v>1186</v>
      </c>
      <c r="W5" s="1046" t="s">
        <v>1187</v>
      </c>
      <c r="X5" s="63"/>
      <c r="Y5" s="62" t="s">
        <v>1188</v>
      </c>
      <c r="Z5" s="1707" t="s">
        <v>1185</v>
      </c>
      <c r="AA5" s="1046" t="s">
        <v>1186</v>
      </c>
      <c r="AB5" s="1046" t="s">
        <v>1187</v>
      </c>
      <c r="AC5" s="63"/>
      <c r="AD5" s="63" t="s">
        <v>1188</v>
      </c>
      <c r="AE5" s="1045" t="s">
        <v>1189</v>
      </c>
      <c r="AF5" s="1046" t="s">
        <v>1190</v>
      </c>
      <c r="AG5" s="62" t="s">
        <v>1191</v>
      </c>
      <c r="AH5" s="1045" t="s">
        <v>1192</v>
      </c>
      <c r="AI5" s="1707" t="s">
        <v>1193</v>
      </c>
      <c r="AJ5" s="1707" t="s">
        <v>1194</v>
      </c>
      <c r="AK5" s="1046" t="s">
        <v>1195</v>
      </c>
      <c r="AL5" s="1046" t="s">
        <v>1196</v>
      </c>
      <c r="AM5" s="62" t="s">
        <v>1197</v>
      </c>
      <c r="AN5" s="1708" t="s">
        <v>1198</v>
      </c>
      <c r="AO5" s="1560" t="s">
        <v>1199</v>
      </c>
      <c r="AP5" s="1027" t="s">
        <v>1200</v>
      </c>
      <c r="AQ5" s="1709" t="s">
        <v>1201</v>
      </c>
      <c r="AR5" s="1709" t="s">
        <v>1202</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671</v>
      </c>
      <c r="D6" s="857">
        <f>SUMIF(项目基本情况!C$12:I$12,C6,项目基本情况!C$14:I$14)</f>
        <v>40</v>
      </c>
      <c r="E6" s="856">
        <f>IF(B6="","",SUMIF(项目基本情况!C$12:I$12,C6,项目基本情况!C$13:I$13))</f>
        <v>52662</v>
      </c>
      <c r="F6" s="64">
        <f>SUMIF(项目基本情况!C$12:I$12,C6,项目基本情况!C$15:I$15)</f>
        <v>19.62</v>
      </c>
      <c r="G6" s="65">
        <f>IF(ISERROR(ROUND(POWER(1+H6,D6-F6)*(POWER(1+H6,F6)-1)/(POWER(1+H6,D6)-1),3)),0,ROUND(POWER(1+H6,D6-F6)*(POWER(1+H6,F6)-1)/(POWER(1+H6,D6)-1),3))</f>
        <v>0.71799999999999997</v>
      </c>
      <c r="H6" s="731">
        <v>0.05</v>
      </c>
      <c r="I6" s="731">
        <v>0.06</v>
      </c>
      <c r="J6" s="66">
        <v>7.0000000000000007E-2</v>
      </c>
      <c r="K6" s="1029">
        <f>SUMIF('数据-汇总表'!C$19:C$33,A6,'数据-汇总表'!E$19:E$33)</f>
        <v>410.74</v>
      </c>
      <c r="L6" s="732">
        <v>4500</v>
      </c>
      <c r="M6" s="67">
        <f t="shared" ref="M6:M14" si="0">ROUND(K6*L6/10000,0)</f>
        <v>185</v>
      </c>
      <c r="N6" s="730">
        <f>取值过程!H16</f>
        <v>0.78</v>
      </c>
      <c r="O6" s="67" t="str">
        <f>IF($N$5="成新度","——",ROUND(M6*N6,0))</f>
        <v>——</v>
      </c>
      <c r="P6" s="68" t="str">
        <f>IF($N$5="成新度","——",M6-O6)</f>
        <v>——</v>
      </c>
      <c r="Q6" s="733">
        <v>0.2</v>
      </c>
      <c r="R6" s="69">
        <f ca="1">SUMIF('数据-汇总表'!C$19:C$33,A6,'数据-汇总表'!R$19:R$27)</f>
        <v>46.29</v>
      </c>
      <c r="S6" s="51">
        <f>IF('数据-汇总表'!$I$17="按面积比例",SUMIF('数据-汇总表'!C$19:C$33,A6,'数据-汇总表'!K$19:K$33),SUMIF('数据-汇总表'!C$19:C$33,A6,'数据-汇总表'!N$19:N$33))</f>
        <v>0</v>
      </c>
      <c r="T6" s="1170">
        <f>ROUND($L$14*S6/10000,0)</f>
        <v>0</v>
      </c>
      <c r="U6" s="3424">
        <v>13</v>
      </c>
      <c r="V6" s="70">
        <v>0.02</v>
      </c>
      <c r="W6" s="70">
        <v>0.1</v>
      </c>
      <c r="X6" s="1039"/>
      <c r="Y6" s="71">
        <f>N6</f>
        <v>0.78</v>
      </c>
      <c r="Z6" s="72"/>
      <c r="AA6" s="66"/>
      <c r="AB6" s="66"/>
      <c r="AC6" s="1039"/>
      <c r="AD6" s="73"/>
      <c r="AE6" s="1040">
        <f ca="1">IF(AN6="",0,SUMIF(INDIRECT("'"&amp;AN6&amp;"'"&amp;"!E:E"),$AE$5,INDIRECT("'"&amp;AN6&amp;"'"&amp;"!F:F")))</f>
        <v>19.62</v>
      </c>
      <c r="AF6" s="1346"/>
      <c r="AG6" s="138">
        <f>IF(AF6="",0,AE6-AF6)</f>
        <v>0</v>
      </c>
      <c r="AH6" s="3424">
        <f>K6</f>
        <v>410.74</v>
      </c>
      <c r="AI6" s="76">
        <v>365</v>
      </c>
      <c r="AJ6" s="77"/>
      <c r="AK6" s="78">
        <v>5.0000000000000001E-3</v>
      </c>
      <c r="AL6" s="79">
        <v>1E-3</v>
      </c>
      <c r="AM6" s="80">
        <v>0.01</v>
      </c>
      <c r="AN6" s="1713" t="s">
        <v>3563</v>
      </c>
      <c r="AO6" s="52">
        <f ca="1">SUMIF(INDIRECT("'"&amp;AN6&amp;"'"&amp;"!A:A"),"总价",INDIRECT("'"&amp;AN6&amp;"'"&amp;"!B:B"))</f>
        <v>1921.6887999999999</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t="str">
        <f>'数据-汇总表'!C20</f>
        <v>办公</v>
      </c>
      <c r="B7" s="1711" t="str">
        <f t="shared" ref="B7:B13" si="1">IF(A7=0,"","经营性")</f>
        <v>经营性</v>
      </c>
      <c r="C7" s="1712" t="s">
        <v>21</v>
      </c>
      <c r="D7" s="857">
        <f>SUMIF(项目基本情况!C$12:I$12,C7,项目基本情况!C$14:I$14)</f>
        <v>50</v>
      </c>
      <c r="E7" s="856">
        <f>IF(B7="","",SUMIF(项目基本情况!C$12:I$12,C7,项目基本情况!C$13:I$13))</f>
        <v>56314</v>
      </c>
      <c r="F7" s="64">
        <f>SUMIF(项目基本情况!C$12:I$12,C7,项目基本情况!C$15:I$15)</f>
        <v>29.63</v>
      </c>
      <c r="G7" s="65">
        <f t="shared" ref="G7:G11" si="2">IF(ISERROR(ROUND(POWER(1+H7,D7-F7)*(POWER(1+H7,F7)-1)/(POWER(1+H7,D7)-1),3)),0,ROUND(POWER(1+H7,D7-F7)*(POWER(1+H7,F7)-1)/(POWER(1+H7,D7)-1),3))</f>
        <v>0.83699999999999997</v>
      </c>
      <c r="H7" s="731">
        <v>0.05</v>
      </c>
      <c r="I7" s="731">
        <v>5.5E-2</v>
      </c>
      <c r="J7" s="66">
        <v>7.0000000000000007E-2</v>
      </c>
      <c r="K7" s="1029">
        <f>SUMIF('数据-汇总表'!C$19:C$33,A7,'数据-汇总表'!E$19:E$33)</f>
        <v>206.15</v>
      </c>
      <c r="L7" s="732">
        <f>L6</f>
        <v>4500</v>
      </c>
      <c r="M7" s="67">
        <f t="shared" si="0"/>
        <v>93</v>
      </c>
      <c r="N7" s="730">
        <f>N6</f>
        <v>0.78</v>
      </c>
      <c r="O7" s="67" t="str">
        <f t="shared" ref="O7:O14" si="3">IF($N$5="成新度","——",ROUND(M7*N7,0))</f>
        <v>——</v>
      </c>
      <c r="P7" s="68" t="str">
        <f t="shared" ref="P7:P14" si="4">IF($N$5="成新度","——",M7-O7)</f>
        <v>——</v>
      </c>
      <c r="Q7" s="733">
        <v>0.15</v>
      </c>
      <c r="R7" s="69">
        <f ca="1">SUMIF('数据-汇总表'!C$19:C$33,A7,'数据-汇总表'!R$19:R$27)</f>
        <v>23.24</v>
      </c>
      <c r="S7" s="51">
        <f>IF('数据-汇总表'!$I$17="按面积比例",SUMIF('数据-汇总表'!C$19:C$33,A7,'数据-汇总表'!K$19:K$33),SUMIF('数据-汇总表'!C$19:C$33,A7,'数据-汇总表'!N$19:N$33))</f>
        <v>0</v>
      </c>
      <c r="T7" s="1170">
        <f t="shared" ref="T7:T13" si="5">ROUND($L$14*S7/10000,0)</f>
        <v>0</v>
      </c>
      <c r="U7" s="3517">
        <v>6</v>
      </c>
      <c r="V7" s="70">
        <v>0.02</v>
      </c>
      <c r="W7" s="70">
        <v>0.1</v>
      </c>
      <c r="X7" s="1039"/>
      <c r="Y7" s="71">
        <f>N7</f>
        <v>0.78</v>
      </c>
      <c r="Z7" s="72"/>
      <c r="AA7" s="66"/>
      <c r="AB7" s="66"/>
      <c r="AC7" s="1039"/>
      <c r="AD7" s="73"/>
      <c r="AE7" s="1040">
        <f t="shared" ref="AE7:AE13" ca="1" si="6">IF(AN7="",0,SUMIF(INDIRECT("'"&amp;AN7&amp;"'"&amp;"!E:E"),$AE$5,INDIRECT("'"&amp;AN7&amp;"'"&amp;"!F:F")))</f>
        <v>29.63</v>
      </c>
      <c r="AF7" s="1346"/>
      <c r="AG7" s="138">
        <f t="shared" ref="AG7:AG13" si="7">IF(AF7="",0,AE7-AF7)</f>
        <v>0</v>
      </c>
      <c r="AH7" s="3424">
        <f>K7</f>
        <v>206.15</v>
      </c>
      <c r="AI7" s="76">
        <v>365</v>
      </c>
      <c r="AJ7" s="77"/>
      <c r="AK7" s="78">
        <v>5.0000000000000001E-3</v>
      </c>
      <c r="AL7" s="79">
        <f>AL6</f>
        <v>1E-3</v>
      </c>
      <c r="AM7" s="80">
        <v>0.01</v>
      </c>
      <c r="AN7" s="1713" t="s">
        <v>3525</v>
      </c>
      <c r="AO7" s="52">
        <f t="shared" ref="AO7:AO13" ca="1" si="8">SUMIF(INDIRECT("'"&amp;AN7&amp;"'"&amp;"!A:A"),"总价",INDIRECT("'"&amp;AN7&amp;"'"&amp;"!B:B"))</f>
        <v>595.50990000000002</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0">
        <f t="shared" si="5"/>
        <v>0</v>
      </c>
      <c r="U8" s="3425"/>
      <c r="V8" s="734"/>
      <c r="W8" s="734"/>
      <c r="X8" s="1039"/>
      <c r="Y8" s="71"/>
      <c r="Z8" s="72"/>
      <c r="AA8" s="66"/>
      <c r="AB8" s="66"/>
      <c r="AC8" s="1039"/>
      <c r="AD8" s="73"/>
      <c r="AE8" s="1040">
        <f t="shared" ca="1" si="6"/>
        <v>0</v>
      </c>
      <c r="AF8" s="1346"/>
      <c r="AG8" s="138">
        <f t="shared" si="7"/>
        <v>0</v>
      </c>
      <c r="AH8" s="735"/>
      <c r="AI8" s="76"/>
      <c r="AJ8" s="77"/>
      <c r="AK8" s="736"/>
      <c r="AL8" s="737"/>
      <c r="AM8" s="738"/>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4"/>
      <c r="V9" s="70"/>
      <c r="W9" s="70"/>
      <c r="X9" s="1039"/>
      <c r="Y9" s="71"/>
      <c r="Z9" s="72"/>
      <c r="AA9" s="66"/>
      <c r="AB9" s="66"/>
      <c r="AC9" s="1039"/>
      <c r="AD9" s="73"/>
      <c r="AE9" s="1040">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4"/>
      <c r="V10" s="70"/>
      <c r="W10" s="70"/>
      <c r="X10" s="1039"/>
      <c r="Y10" s="71"/>
      <c r="Z10" s="72"/>
      <c r="AA10" s="66"/>
      <c r="AB10" s="66"/>
      <c r="AC10" s="1039"/>
      <c r="AD10" s="73"/>
      <c r="AE10" s="1040">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4"/>
      <c r="V11" s="66"/>
      <c r="W11" s="66"/>
      <c r="X11" s="1039"/>
      <c r="Y11" s="71"/>
      <c r="Z11" s="84"/>
      <c r="AA11" s="66"/>
      <c r="AB11" s="66"/>
      <c r="AC11" s="1039"/>
      <c r="AD11" s="73"/>
      <c r="AE11" s="1040">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4"/>
      <c r="V12" s="66"/>
      <c r="W12" s="66"/>
      <c r="X12" s="1039"/>
      <c r="Y12" s="71"/>
      <c r="Z12" s="84"/>
      <c r="AA12" s="66"/>
      <c r="AB12" s="66"/>
      <c r="AC12" s="1039"/>
      <c r="AD12" s="73"/>
      <c r="AE12" s="1040">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6"/>
      <c r="V13" s="70"/>
      <c r="W13" s="70"/>
      <c r="X13" s="1039"/>
      <c r="Y13" s="71"/>
      <c r="Z13" s="72"/>
      <c r="AA13" s="66"/>
      <c r="AB13" s="66"/>
      <c r="AC13" s="1039"/>
      <c r="AD13" s="73"/>
      <c r="AE13" s="1040">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1203</v>
      </c>
      <c r="B14" s="1711" t="s">
        <v>1204</v>
      </c>
      <c r="C14" s="1716" t="s">
        <v>1203</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0"/>
      <c r="U14" s="669"/>
      <c r="V14" s="1034"/>
      <c r="W14" s="1034"/>
      <c r="X14" s="1035"/>
      <c r="Y14" s="1036"/>
      <c r="Z14" s="1037"/>
      <c r="AA14" s="1038"/>
      <c r="AB14" s="1038"/>
      <c r="AC14" s="1039"/>
      <c r="AD14" s="1035"/>
      <c r="AE14" s="1040"/>
      <c r="AF14" s="52"/>
      <c r="AG14" s="138"/>
      <c r="AH14" s="1040"/>
      <c r="AI14" s="1355"/>
      <c r="AJ14" s="703"/>
      <c r="AK14" s="1041"/>
      <c r="AL14" s="1042"/>
      <c r="AM14" s="1043"/>
      <c r="AN14" s="2667"/>
      <c r="AO14" s="2669"/>
      <c r="AP14" s="2669"/>
      <c r="AQ14" s="2669"/>
      <c r="AR14" s="2669"/>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1205</v>
      </c>
      <c r="B15" s="1711" t="s">
        <v>1204</v>
      </c>
      <c r="C15" s="1716" t="s">
        <v>1206</v>
      </c>
      <c r="D15" s="857"/>
      <c r="E15" s="856"/>
      <c r="F15" s="64"/>
      <c r="G15" s="65"/>
      <c r="H15" s="1028"/>
      <c r="I15" s="1028"/>
      <c r="J15" s="1028"/>
      <c r="K15" s="1029">
        <f>SUMIF('数据-汇总表'!C$19:C$33,A15,'数据-汇总表'!E$19:E$33)</f>
        <v>0</v>
      </c>
      <c r="L15" s="1030"/>
      <c r="M15" s="67"/>
      <c r="N15" s="1031"/>
      <c r="O15" s="67"/>
      <c r="P15" s="68"/>
      <c r="Q15" s="1032"/>
      <c r="R15" s="69"/>
      <c r="S15" s="51"/>
      <c r="T15" s="1170"/>
      <c r="U15" s="669"/>
      <c r="V15" s="1034"/>
      <c r="W15" s="1034"/>
      <c r="X15" s="1035"/>
      <c r="Y15" s="1036"/>
      <c r="Z15" s="1037"/>
      <c r="AA15" s="1038"/>
      <c r="AB15" s="1038"/>
      <c r="AC15" s="1039"/>
      <c r="AD15" s="1035"/>
      <c r="AE15" s="1040"/>
      <c r="AF15" s="52"/>
      <c r="AG15" s="138"/>
      <c r="AH15" s="1040"/>
      <c r="AI15" s="1355"/>
      <c r="AJ15" s="703"/>
      <c r="AK15" s="1041"/>
      <c r="AL15" s="1042"/>
      <c r="AM15" s="1043"/>
      <c r="AN15" s="2667"/>
      <c r="AO15" s="2669"/>
      <c r="AP15" s="2669"/>
      <c r="AQ15" s="2669"/>
      <c r="AR15" s="2669"/>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1207</v>
      </c>
      <c r="B16" s="88"/>
      <c r="C16" s="832"/>
      <c r="D16" s="1718"/>
      <c r="E16" s="88"/>
      <c r="F16" s="88"/>
      <c r="G16" s="89">
        <f>ROUND(SUMPRODUCT(G6:G13,K6:K13)/SUMPRODUCT((G6:G13&gt;0)*(K6:K13)),3)</f>
        <v>0.75800000000000001</v>
      </c>
      <c r="H16" s="90">
        <f>ROUND(SUMPRODUCT(H6:H13,K6:K13)/SUMPRODUCT((H6:H13&gt;0)*(K6:K13)),3)</f>
        <v>0.05</v>
      </c>
      <c r="I16" s="91"/>
      <c r="J16" s="91"/>
      <c r="K16" s="92">
        <f>SUM(K6:K15)</f>
        <v>616.89</v>
      </c>
      <c r="L16" s="93">
        <f>ROUND(M16*10000/SUM(K6:K14),0)</f>
        <v>4506</v>
      </c>
      <c r="M16" s="93">
        <f>SUM(M6:M14)</f>
        <v>278</v>
      </c>
      <c r="N16" s="94">
        <f>ROUND(SUMPRODUCT(M6:M14,N6:N14)/M16,3)</f>
        <v>0.78</v>
      </c>
      <c r="O16" s="93">
        <f>SUM(O6:O14)</f>
        <v>0</v>
      </c>
      <c r="P16" s="93">
        <f>SUM(P6:P14)</f>
        <v>0</v>
      </c>
      <c r="Q16" s="95">
        <f>ROUND(SUMPRODUCT(Q6:Q13,K6:K13)/SUMPRODUCT((Q6:Q13&gt;0)*(K6:K13)),2)</f>
        <v>0.18</v>
      </c>
      <c r="R16" s="1033">
        <f ca="1">SUM(R6:R13)</f>
        <v>69.53</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1208</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0" t="s">
        <v>1209</v>
      </c>
      <c r="B19" s="103">
        <v>0</v>
      </c>
      <c r="C19" s="2795" t="s">
        <v>2298</v>
      </c>
      <c r="D19" s="2672"/>
      <c r="E19" s="2669"/>
      <c r="F19" s="2669"/>
      <c r="G19" s="2669"/>
      <c r="H19" s="2669"/>
      <c r="I19" s="2669"/>
      <c r="J19" s="2669"/>
      <c r="K19" s="2668"/>
      <c r="L19" s="2668"/>
      <c r="M19" s="2667"/>
      <c r="N19" s="2667"/>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1" t="s">
        <v>1210</v>
      </c>
      <c r="B20" s="104">
        <v>2</v>
      </c>
      <c r="C20" s="2796" t="s">
        <v>2296</v>
      </c>
      <c r="D20" s="2672"/>
      <c r="E20" s="2669"/>
      <c r="F20" s="2669"/>
      <c r="G20" s="2669"/>
      <c r="H20" s="2669"/>
      <c r="I20" s="2669"/>
      <c r="J20" s="2669"/>
      <c r="K20" s="2668"/>
      <c r="L20" s="2668"/>
      <c r="M20" s="2667"/>
      <c r="N20" s="2667"/>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2" t="s">
        <v>1211</v>
      </c>
      <c r="B21" s="104">
        <f>B20</f>
        <v>2</v>
      </c>
      <c r="C21" s="2669"/>
      <c r="D21" s="2672"/>
      <c r="E21" s="2669"/>
      <c r="F21" s="2669"/>
      <c r="G21" s="2669"/>
      <c r="H21" s="2669"/>
      <c r="I21" s="2669"/>
      <c r="J21" s="2669"/>
      <c r="K21" s="2668"/>
      <c r="L21" s="2668"/>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1" t="s">
        <v>1212</v>
      </c>
      <c r="B22" s="105">
        <f>B19+B20</f>
        <v>2</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2" t="s">
        <v>1213</v>
      </c>
      <c r="B23" s="105">
        <f>B19+B21</f>
        <v>2</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3" t="s">
        <v>1214</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5"/>
      <c r="B25" s="1685"/>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1" t="s">
        <v>1215</v>
      </c>
      <c r="B26" s="1724" t="s">
        <v>1216</v>
      </c>
      <c r="C26" s="2673" t="s">
        <v>1217</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6" customFormat="1" ht="27.75">
      <c r="A27" s="1725" t="s">
        <v>1218</v>
      </c>
      <c r="B27" s="107"/>
      <c r="C27" s="2797" t="s">
        <v>2300</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6" customFormat="1" ht="27.75">
      <c r="A28" s="1727" t="s">
        <v>1219</v>
      </c>
      <c r="B28" s="110"/>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6" customFormat="1" ht="28.5" thickBot="1">
      <c r="A29" s="1728" t="s">
        <v>1220</v>
      </c>
      <c r="B29" s="112"/>
      <c r="C29" s="2798" t="s">
        <v>2287</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6" customFormat="1" ht="27">
      <c r="A30" s="1729" t="s">
        <v>1221</v>
      </c>
      <c r="B30" s="670">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6" customFormat="1" ht="27">
      <c r="A31" s="1727" t="s">
        <v>1222</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6" customFormat="1" ht="27.75" thickBot="1">
      <c r="A32" s="1730" t="s">
        <v>1223</v>
      </c>
      <c r="B32" s="671"/>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6" customFormat="1" ht="14.25">
      <c r="A33" s="1725" t="s">
        <v>1224</v>
      </c>
      <c r="B33" s="672">
        <v>0.05</v>
      </c>
      <c r="C33" s="2799" t="s">
        <v>2288</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6" customFormat="1" ht="14.25">
      <c r="A34" s="1727" t="s">
        <v>1225</v>
      </c>
      <c r="B34" s="113">
        <v>0</v>
      </c>
      <c r="C34" s="2799" t="s">
        <v>2289</v>
      </c>
      <c r="D34" s="2680" t="s">
        <v>2297</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6" customFormat="1" ht="14.25">
      <c r="A35" s="1727" t="s">
        <v>1226</v>
      </c>
      <c r="B35" s="110">
        <v>200</v>
      </c>
      <c r="C35" s="2799" t="s">
        <v>2290</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8" t="s">
        <v>1227</v>
      </c>
      <c r="B36" s="114">
        <v>0.02</v>
      </c>
      <c r="C36" s="2799" t="s">
        <v>2291</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29" t="s">
        <v>1228</v>
      </c>
      <c r="B37" s="115">
        <v>0.02</v>
      </c>
      <c r="C37" s="2799" t="s">
        <v>2292</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7" t="s">
        <v>1229</v>
      </c>
      <c r="B38" s="115">
        <f>B37</f>
        <v>0.02</v>
      </c>
      <c r="C38" s="2799" t="s">
        <v>2292</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0" t="s">
        <v>1230</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2307</v>
      </c>
      <c r="B40" s="3503">
        <v>3.3500000000000002E-2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5" t="s">
        <v>1231</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1" t="s">
        <v>1232</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1" t="s">
        <v>1233</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2" t="s">
        <v>1234</v>
      </c>
      <c r="B44" s="119">
        <v>7.0000000000000007E-2</v>
      </c>
      <c r="C44" s="2799" t="s">
        <v>2301</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2" t="s">
        <v>1235</v>
      </c>
      <c r="B45" s="117">
        <v>0.03</v>
      </c>
      <c r="C45" s="2798" t="s">
        <v>2293</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2" t="s">
        <v>1236</v>
      </c>
      <c r="B46" s="117">
        <v>0.02</v>
      </c>
      <c r="C46" s="2798" t="s">
        <v>2294</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3" t="s">
        <v>1237</v>
      </c>
      <c r="B47" s="120">
        <v>0</v>
      </c>
      <c r="C47" s="2801" t="s">
        <v>2302</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4" t="s">
        <v>1238</v>
      </c>
      <c r="B48" s="121">
        <v>0.03</v>
      </c>
      <c r="C48" s="2798" t="s">
        <v>2293</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0" t="s">
        <v>1239</v>
      </c>
      <c r="B49" s="117">
        <v>5.0000000000000001E-4</v>
      </c>
      <c r="C49" s="2798" t="s">
        <v>2295</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5" t="s">
        <v>1240</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8" t="s">
        <v>1241</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5" t="s">
        <v>1242</v>
      </c>
      <c r="B52" s="124">
        <f>SUMIF(A54:A63,B53,B54:B63)</f>
        <v>24</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7" t="s">
        <v>1243</v>
      </c>
      <c r="B53" s="1736" t="s">
        <v>184</v>
      </c>
      <c r="C53" s="2657" t="s">
        <v>1244</v>
      </c>
      <c r="D53" s="2800" t="s">
        <v>2299</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7" t="s">
        <v>1245</v>
      </c>
      <c r="B54" s="75">
        <v>30</v>
      </c>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7" t="s">
        <v>1246</v>
      </c>
      <c r="B55" s="75">
        <v>24</v>
      </c>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7" t="s">
        <v>1247</v>
      </c>
      <c r="B56" s="75">
        <v>18</v>
      </c>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7" t="s">
        <v>1248</v>
      </c>
      <c r="B57" s="75">
        <v>12</v>
      </c>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7" t="s">
        <v>1249</v>
      </c>
      <c r="B58" s="75">
        <v>3</v>
      </c>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7" t="s">
        <v>1250</v>
      </c>
      <c r="B59" s="75">
        <v>1.5</v>
      </c>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7" t="s">
        <v>1251</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7" t="s">
        <v>1252</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7" t="s">
        <v>1253</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8" t="s">
        <v>1254</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2"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2"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2"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2"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2"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2" customFormat="1">
      <c r="A69" s="1739"/>
      <c r="D69" s="1740"/>
      <c r="K69" s="727"/>
      <c r="L69" s="727"/>
    </row>
    <row r="70" spans="1:44" s="792" customFormat="1">
      <c r="A70" s="1739"/>
      <c r="D70" s="1740"/>
      <c r="K70" s="727"/>
      <c r="L70" s="727"/>
    </row>
    <row r="71" spans="1:44" s="792" customFormat="1">
      <c r="A71" s="1739"/>
      <c r="D71" s="1740"/>
      <c r="K71" s="727"/>
      <c r="L71" s="727"/>
    </row>
    <row r="72" spans="1:44" s="792" customFormat="1">
      <c r="A72" s="1739"/>
      <c r="D72" s="1740"/>
      <c r="K72" s="727"/>
      <c r="L72" s="727"/>
    </row>
    <row r="73" spans="1:44" s="792" customFormat="1">
      <c r="A73" s="1739"/>
      <c r="D73" s="1740"/>
      <c r="K73" s="727"/>
      <c r="L73" s="727"/>
    </row>
    <row r="74" spans="1:44" s="792" customFormat="1">
      <c r="A74" s="1739"/>
      <c r="D74" s="1740"/>
      <c r="K74" s="727"/>
      <c r="L74" s="727"/>
    </row>
    <row r="75" spans="1:44" s="792" customFormat="1">
      <c r="A75" s="1739"/>
      <c r="D75" s="1740"/>
      <c r="K75" s="727"/>
      <c r="L75" s="727"/>
    </row>
    <row r="76" spans="1:44" s="792" customFormat="1">
      <c r="A76" s="1739"/>
      <c r="D76" s="1740"/>
      <c r="K76" s="727"/>
      <c r="L76" s="727"/>
    </row>
    <row r="77" spans="1:44" s="792" customFormat="1">
      <c r="A77" s="1739"/>
      <c r="D77" s="1740"/>
      <c r="K77" s="727"/>
      <c r="L77" s="727"/>
    </row>
    <row r="78" spans="1:44" s="792" customFormat="1">
      <c r="A78" s="1739"/>
      <c r="D78" s="1740"/>
      <c r="K78" s="727"/>
      <c r="L78" s="727"/>
    </row>
    <row r="79" spans="1:44" s="792" customFormat="1">
      <c r="A79" s="1739"/>
      <c r="D79" s="1740"/>
      <c r="K79" s="727"/>
      <c r="L79" s="727"/>
    </row>
    <row r="80" spans="1:44" s="792" customFormat="1">
      <c r="A80" s="1739"/>
      <c r="D80" s="1740"/>
      <c r="K80" s="727"/>
      <c r="L80" s="727"/>
    </row>
    <row r="81" spans="1:12" s="792" customFormat="1">
      <c r="A81" s="1739"/>
      <c r="D81" s="1740"/>
      <c r="K81" s="727"/>
      <c r="L81" s="727"/>
    </row>
    <row r="82" spans="1:12" s="792" customFormat="1">
      <c r="A82" s="1739"/>
      <c r="D82" s="1740"/>
      <c r="K82" s="727"/>
      <c r="L82" s="727"/>
    </row>
    <row r="83" spans="1:12" s="792" customFormat="1">
      <c r="A83" s="1739"/>
      <c r="D83" s="1740"/>
      <c r="K83" s="727"/>
      <c r="L83" s="727"/>
    </row>
    <row r="84" spans="1:12" s="792" customFormat="1">
      <c r="A84" s="1739"/>
      <c r="D84" s="1740"/>
      <c r="K84" s="727"/>
      <c r="L84" s="727"/>
    </row>
    <row r="85" spans="1:12" s="792" customFormat="1">
      <c r="A85" s="1739"/>
      <c r="D85" s="1740"/>
      <c r="K85" s="727"/>
      <c r="L85" s="727"/>
    </row>
    <row r="86" spans="1:12" s="792" customFormat="1">
      <c r="A86" s="1739"/>
      <c r="D86" s="1740"/>
      <c r="K86" s="727"/>
      <c r="L86" s="727"/>
    </row>
    <row r="87" spans="1:12" s="792" customFormat="1">
      <c r="A87" s="1739"/>
      <c r="D87" s="1740"/>
      <c r="K87" s="727"/>
      <c r="L87" s="727"/>
    </row>
    <row r="88" spans="1:12" s="792" customFormat="1">
      <c r="A88" s="1739"/>
      <c r="D88" s="1740"/>
      <c r="K88" s="727"/>
      <c r="L88" s="727"/>
    </row>
    <row r="89" spans="1:12" s="792" customFormat="1">
      <c r="A89" s="1739"/>
      <c r="D89" s="1740"/>
      <c r="K89" s="727"/>
      <c r="L89" s="727"/>
    </row>
    <row r="90" spans="1:12" s="792" customFormat="1">
      <c r="A90" s="1739"/>
      <c r="D90" s="1740"/>
      <c r="K90" s="727"/>
      <c r="L90" s="727"/>
    </row>
    <row r="91" spans="1:12" s="792" customFormat="1">
      <c r="A91" s="1739"/>
      <c r="D91" s="1740"/>
      <c r="K91" s="727"/>
      <c r="L91" s="727"/>
    </row>
    <row r="92" spans="1:12" s="792" customFormat="1">
      <c r="A92" s="1739"/>
      <c r="D92" s="1740"/>
      <c r="K92" s="727"/>
      <c r="L92" s="727"/>
    </row>
    <row r="93" spans="1:12" s="792" customFormat="1">
      <c r="A93" s="1739"/>
      <c r="D93" s="1740"/>
      <c r="K93" s="727"/>
      <c r="L93" s="727"/>
    </row>
    <row r="94" spans="1:12" s="792" customFormat="1">
      <c r="A94" s="1739"/>
      <c r="D94" s="1740"/>
      <c r="K94" s="727"/>
      <c r="L94" s="727"/>
    </row>
    <row r="95" spans="1:12" s="792" customFormat="1">
      <c r="A95" s="1739"/>
      <c r="D95" s="1740"/>
      <c r="K95" s="727"/>
      <c r="L95" s="727"/>
    </row>
    <row r="96" spans="1:12" s="792" customFormat="1">
      <c r="A96" s="1739"/>
      <c r="D96" s="1740"/>
      <c r="K96" s="727"/>
      <c r="L96" s="727"/>
    </row>
    <row r="97" spans="1:12" s="792" customFormat="1">
      <c r="A97" s="1739"/>
      <c r="D97" s="1740"/>
      <c r="K97" s="727"/>
      <c r="L97" s="727"/>
    </row>
    <row r="98" spans="1:12" s="792" customFormat="1">
      <c r="A98" s="1739"/>
      <c r="D98" s="1740"/>
      <c r="K98" s="727"/>
      <c r="L98" s="727"/>
    </row>
    <row r="99" spans="1:12" s="792" customFormat="1">
      <c r="A99" s="1739"/>
      <c r="D99" s="1740"/>
      <c r="K99" s="727"/>
      <c r="L99" s="727"/>
    </row>
    <row r="100" spans="1:12" s="792" customFormat="1">
      <c r="A100" s="1739"/>
      <c r="D100" s="1740"/>
      <c r="K100" s="727"/>
      <c r="L100" s="727"/>
    </row>
    <row r="101" spans="1:12" s="792" customFormat="1">
      <c r="A101" s="1739"/>
      <c r="D101" s="1740"/>
      <c r="K101" s="727"/>
      <c r="L101" s="727"/>
    </row>
    <row r="102" spans="1:12" s="792" customFormat="1">
      <c r="A102" s="1739"/>
      <c r="D102" s="1740"/>
      <c r="K102" s="727"/>
      <c r="L102" s="727"/>
    </row>
    <row r="103" spans="1:12" s="792" customFormat="1">
      <c r="A103" s="1739"/>
      <c r="D103" s="1740"/>
      <c r="K103" s="727"/>
      <c r="L103" s="727"/>
    </row>
    <row r="104" spans="1:12" s="792" customFormat="1">
      <c r="A104" s="1739"/>
      <c r="D104" s="1740"/>
      <c r="K104" s="727"/>
      <c r="L104" s="727"/>
    </row>
    <row r="105" spans="1:12" s="792" customFormat="1">
      <c r="A105" s="1739"/>
      <c r="D105" s="1740"/>
      <c r="K105" s="727"/>
      <c r="L105" s="727"/>
    </row>
    <row r="106" spans="1:12" s="792" customFormat="1">
      <c r="A106" s="1739"/>
      <c r="D106" s="1740"/>
      <c r="K106" s="727"/>
      <c r="L106" s="727"/>
    </row>
    <row r="107" spans="1:12" s="792" customFormat="1">
      <c r="A107" s="1739"/>
      <c r="D107" s="1740"/>
      <c r="K107" s="727"/>
      <c r="L107" s="727"/>
    </row>
    <row r="108" spans="1:12" s="792" customFormat="1">
      <c r="A108" s="1739"/>
      <c r="D108" s="1740"/>
      <c r="K108" s="727"/>
      <c r="L108" s="727"/>
    </row>
    <row r="109" spans="1:12" s="792" customFormat="1">
      <c r="A109" s="1739"/>
      <c r="D109" s="1740"/>
      <c r="K109" s="727"/>
      <c r="L109" s="727"/>
    </row>
    <row r="110" spans="1:12" s="792" customFormat="1">
      <c r="A110" s="1739"/>
      <c r="D110" s="1740"/>
      <c r="K110" s="727"/>
      <c r="L110" s="727"/>
    </row>
    <row r="111" spans="1:12" s="792" customFormat="1">
      <c r="A111" s="1739"/>
      <c r="D111" s="1740"/>
      <c r="K111" s="727"/>
      <c r="L111" s="727"/>
    </row>
    <row r="112" spans="1:12" s="792" customFormat="1">
      <c r="A112" s="1739"/>
      <c r="D112" s="1740"/>
      <c r="K112" s="727"/>
      <c r="L112" s="727"/>
    </row>
    <row r="113" spans="1:12" s="792" customFormat="1">
      <c r="A113" s="1739"/>
      <c r="D113" s="1740"/>
      <c r="K113" s="727"/>
      <c r="L113" s="727"/>
    </row>
    <row r="114" spans="1:12" s="792" customFormat="1">
      <c r="A114" s="1739"/>
      <c r="D114" s="1740"/>
      <c r="K114" s="727"/>
      <c r="L114" s="727"/>
    </row>
    <row r="115" spans="1:12" s="792" customFormat="1">
      <c r="A115" s="1739"/>
      <c r="D115" s="1740"/>
      <c r="K115" s="727"/>
      <c r="L115" s="727"/>
    </row>
    <row r="116" spans="1:12" s="792" customFormat="1">
      <c r="A116" s="1739"/>
      <c r="D116" s="1740"/>
      <c r="K116" s="727"/>
      <c r="L116" s="727"/>
    </row>
    <row r="117" spans="1:12" s="792" customFormat="1">
      <c r="A117" s="1739"/>
      <c r="D117" s="1740"/>
      <c r="K117" s="727"/>
      <c r="L117" s="727"/>
    </row>
    <row r="118" spans="1:12" s="792" customFormat="1">
      <c r="A118" s="1739"/>
      <c r="D118" s="1740"/>
      <c r="K118" s="727"/>
      <c r="L118" s="727"/>
    </row>
    <row r="119" spans="1:12" s="792" customFormat="1">
      <c r="A119" s="1739"/>
      <c r="D119" s="1740"/>
      <c r="K119" s="727"/>
      <c r="L119" s="727"/>
    </row>
    <row r="120" spans="1:12" s="792" customFormat="1">
      <c r="A120" s="1739"/>
      <c r="D120" s="1740"/>
      <c r="K120" s="727"/>
      <c r="L120" s="727"/>
    </row>
    <row r="121" spans="1:12" s="792" customFormat="1">
      <c r="A121" s="1739"/>
      <c r="D121" s="1740"/>
      <c r="K121" s="727"/>
      <c r="L121" s="727"/>
    </row>
    <row r="122" spans="1:12" s="792" customFormat="1">
      <c r="A122" s="1739"/>
      <c r="D122" s="1740"/>
      <c r="K122" s="727"/>
      <c r="L122" s="727"/>
    </row>
    <row r="123" spans="1:12" s="792" customFormat="1">
      <c r="A123" s="1739"/>
      <c r="D123" s="1740"/>
      <c r="K123" s="727"/>
      <c r="L123" s="727"/>
    </row>
    <row r="124" spans="1:12" s="792" customFormat="1">
      <c r="A124" s="1739"/>
      <c r="D124" s="1740"/>
      <c r="K124" s="727"/>
      <c r="L124" s="727"/>
    </row>
    <row r="125" spans="1:12" s="792" customFormat="1">
      <c r="A125" s="1739"/>
      <c r="D125" s="1740"/>
      <c r="K125" s="727"/>
      <c r="L125" s="727"/>
    </row>
    <row r="126" spans="1:12" s="792" customFormat="1">
      <c r="A126" s="1739"/>
      <c r="D126" s="1740"/>
      <c r="K126" s="727"/>
      <c r="L126" s="727"/>
    </row>
    <row r="127" spans="1:12" s="792" customFormat="1">
      <c r="A127" s="1739"/>
      <c r="D127" s="1740"/>
      <c r="K127" s="727"/>
      <c r="L127" s="727"/>
    </row>
    <row r="128" spans="1:12" s="792" customFormat="1">
      <c r="A128" s="1739"/>
      <c r="D128" s="1740"/>
      <c r="K128" s="727"/>
      <c r="L128" s="727"/>
    </row>
    <row r="129" spans="1:12" s="792" customFormat="1">
      <c r="A129" s="1739"/>
      <c r="D129" s="1740"/>
      <c r="K129" s="727"/>
      <c r="L129" s="727"/>
    </row>
    <row r="130" spans="1:12" s="792" customFormat="1">
      <c r="A130" s="1739"/>
      <c r="D130" s="1740"/>
      <c r="K130" s="727"/>
      <c r="L130" s="727"/>
    </row>
    <row r="131" spans="1:12" s="792" customFormat="1">
      <c r="A131" s="1739"/>
      <c r="D131" s="1740"/>
      <c r="K131" s="727"/>
      <c r="L131" s="727"/>
    </row>
    <row r="132" spans="1:12" s="792" customFormat="1">
      <c r="A132" s="1739"/>
      <c r="D132" s="1740"/>
      <c r="K132" s="727"/>
      <c r="L132" s="727"/>
    </row>
    <row r="133" spans="1:12" s="792" customFormat="1">
      <c r="A133" s="1739"/>
      <c r="D133" s="1740"/>
      <c r="K133" s="727"/>
      <c r="L133" s="727"/>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6" sqref="I6"/>
    </sheetView>
  </sheetViews>
  <sheetFormatPr defaultColWidth="9" defaultRowHeight="14.25"/>
  <cols>
    <col min="1" max="1" width="9.5" style="1684" customWidth="1"/>
    <col min="2" max="2" width="24.5" style="1570" customWidth="1"/>
    <col min="3" max="3" width="24.5" style="2506" customWidth="1"/>
    <col min="4" max="4" width="2.625" style="2506" customWidth="1"/>
    <col min="5" max="5" width="5.875" style="2506" customWidth="1"/>
    <col min="6" max="6" width="27" style="1570"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8"/>
    <col min="30" max="16384" width="9" style="1684"/>
  </cols>
  <sheetData>
    <row r="1" spans="1:29" s="2455" customFormat="1" ht="18.75" thickBot="1">
      <c r="A1" s="3605" t="s">
        <v>2279</v>
      </c>
      <c r="B1" s="3606"/>
      <c r="C1" s="3606"/>
      <c r="D1" s="3606"/>
      <c r="E1" s="3606"/>
      <c r="F1" s="3606"/>
      <c r="G1" s="3606"/>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2275</v>
      </c>
      <c r="D2" s="2459"/>
      <c r="E2" s="2456"/>
      <c r="F2" s="2460"/>
      <c r="G2" s="2458" t="s">
        <v>2276</v>
      </c>
      <c r="H2" s="798"/>
      <c r="I2" s="798"/>
      <c r="J2" s="798"/>
      <c r="K2" s="798"/>
      <c r="L2" s="798"/>
      <c r="M2" s="798"/>
      <c r="N2" s="798"/>
      <c r="O2" s="798"/>
      <c r="P2" s="798"/>
      <c r="Q2" s="798"/>
      <c r="R2" s="798"/>
    </row>
    <row r="3" spans="1:29" ht="25.5">
      <c r="A3" s="2439" t="s">
        <v>2277</v>
      </c>
      <c r="B3" s="2461" t="s">
        <v>2249</v>
      </c>
      <c r="C3" s="2462"/>
      <c r="D3" s="2463"/>
      <c r="E3" s="2440" t="s">
        <v>2277</v>
      </c>
      <c r="F3" s="2464" t="s">
        <v>2250</v>
      </c>
      <c r="G3" s="2465" t="s">
        <v>2278</v>
      </c>
      <c r="H3" s="798"/>
      <c r="I3" s="798"/>
      <c r="J3" s="798"/>
      <c r="K3" s="798"/>
      <c r="L3" s="798"/>
      <c r="M3" s="798"/>
      <c r="N3" s="798"/>
      <c r="O3" s="798"/>
      <c r="P3" s="798"/>
      <c r="Q3" s="798"/>
      <c r="R3" s="798"/>
    </row>
    <row r="4" spans="1:29" ht="48">
      <c r="A4" s="2440"/>
      <c r="B4" s="323" t="s">
        <v>2251</v>
      </c>
      <c r="C4" s="3510" t="s">
        <v>3504</v>
      </c>
      <c r="D4" s="2463"/>
      <c r="E4" s="2466"/>
      <c r="F4" s="1371" t="s">
        <v>2252</v>
      </c>
      <c r="G4" s="2467" t="s">
        <v>2253</v>
      </c>
      <c r="H4" s="798"/>
      <c r="I4" s="798"/>
      <c r="J4" s="798"/>
      <c r="K4" s="798"/>
      <c r="L4" s="798"/>
      <c r="M4" s="798"/>
      <c r="N4" s="798"/>
      <c r="O4" s="798"/>
      <c r="P4" s="798"/>
      <c r="Q4" s="798"/>
      <c r="R4" s="798"/>
    </row>
    <row r="5" spans="1:29" ht="48">
      <c r="A5" s="2440"/>
      <c r="B5" s="323" t="s">
        <v>2254</v>
      </c>
      <c r="C5" s="3510" t="s">
        <v>3505</v>
      </c>
      <c r="D5" s="2463"/>
      <c r="E5" s="2466"/>
      <c r="F5" s="323" t="s">
        <v>2255</v>
      </c>
      <c r="G5" s="2467" t="s">
        <v>2256</v>
      </c>
      <c r="H5" s="798"/>
      <c r="I5" s="798"/>
      <c r="J5" s="798"/>
      <c r="K5" s="798"/>
      <c r="L5" s="798"/>
      <c r="M5" s="798"/>
      <c r="N5" s="798"/>
      <c r="O5" s="798"/>
      <c r="P5" s="798"/>
      <c r="Q5" s="798"/>
      <c r="R5" s="798"/>
    </row>
    <row r="6" spans="1:29" ht="60">
      <c r="A6" s="2440"/>
      <c r="B6" s="323" t="s">
        <v>2257</v>
      </c>
      <c r="C6" s="3510" t="s">
        <v>3506</v>
      </c>
      <c r="D6" s="2463"/>
      <c r="E6" s="2466"/>
      <c r="F6" s="323" t="s">
        <v>2258</v>
      </c>
      <c r="G6" s="2467" t="s">
        <v>2259</v>
      </c>
      <c r="H6" s="798"/>
      <c r="I6" s="798"/>
      <c r="J6" s="798"/>
      <c r="K6" s="798"/>
      <c r="L6" s="798"/>
      <c r="M6" s="798"/>
      <c r="N6" s="798"/>
      <c r="O6" s="798"/>
      <c r="P6" s="798"/>
      <c r="Q6" s="798"/>
      <c r="R6" s="798"/>
    </row>
    <row r="7" spans="1:29" ht="24.75" thickBot="1">
      <c r="A7" s="2440"/>
      <c r="B7" s="323" t="s">
        <v>2255</v>
      </c>
      <c r="C7" s="3510" t="s">
        <v>3507</v>
      </c>
      <c r="D7" s="2468"/>
      <c r="E7" s="2469"/>
      <c r="F7" s="2470" t="s">
        <v>2260</v>
      </c>
      <c r="G7" s="2471" t="s">
        <v>2261</v>
      </c>
      <c r="H7" s="798"/>
      <c r="I7" s="798"/>
      <c r="J7" s="798"/>
      <c r="K7" s="798"/>
      <c r="L7" s="798"/>
      <c r="M7" s="798"/>
      <c r="N7" s="798"/>
      <c r="O7" s="798"/>
      <c r="P7" s="798"/>
      <c r="Q7" s="798"/>
      <c r="R7" s="798"/>
    </row>
    <row r="8" spans="1:29" ht="24">
      <c r="A8" s="2440"/>
      <c r="B8" s="323" t="s">
        <v>2258</v>
      </c>
      <c r="C8" s="3510" t="s">
        <v>3508</v>
      </c>
      <c r="D8" s="2468"/>
      <c r="E8" s="2468"/>
      <c r="F8" s="2472"/>
      <c r="G8" s="2472"/>
      <c r="H8" s="798"/>
      <c r="I8" s="798"/>
      <c r="J8" s="798"/>
      <c r="K8" s="798"/>
      <c r="L8" s="798"/>
      <c r="M8" s="798"/>
      <c r="N8" s="798"/>
      <c r="O8" s="798"/>
      <c r="P8" s="798"/>
      <c r="Q8" s="798"/>
      <c r="R8" s="798"/>
    </row>
    <row r="9" spans="1:29" ht="48">
      <c r="A9" s="2440"/>
      <c r="B9" s="323" t="s">
        <v>2262</v>
      </c>
      <c r="C9" s="3510" t="s">
        <v>3509</v>
      </c>
      <c r="D9" s="2463"/>
      <c r="E9" s="2468"/>
      <c r="F9" s="2472"/>
      <c r="G9" s="2472"/>
      <c r="H9" s="798"/>
      <c r="I9" s="798"/>
      <c r="J9" s="798"/>
      <c r="K9" s="798"/>
      <c r="L9" s="798"/>
      <c r="M9" s="798"/>
      <c r="N9" s="798"/>
      <c r="O9" s="798"/>
      <c r="P9" s="798"/>
      <c r="Q9" s="798"/>
      <c r="R9" s="798"/>
    </row>
    <row r="10" spans="1:29" s="2477" customFormat="1" ht="15" thickBot="1">
      <c r="A10" s="2441"/>
      <c r="B10" s="2473" t="s">
        <v>2263</v>
      </c>
      <c r="C10" s="3510" t="s">
        <v>3510</v>
      </c>
      <c r="D10" s="2463"/>
      <c r="E10" s="2463"/>
      <c r="F10" s="2472"/>
      <c r="G10" s="2472"/>
      <c r="H10" s="2474"/>
      <c r="I10" s="2475"/>
      <c r="J10" s="2476"/>
      <c r="K10" s="2474"/>
      <c r="L10" s="2475"/>
      <c r="M10" s="2476"/>
      <c r="N10" s="2474"/>
      <c r="O10" s="2475"/>
      <c r="P10" s="2476"/>
      <c r="Q10" s="2474"/>
      <c r="R10" s="2475"/>
      <c r="S10" s="798"/>
      <c r="T10" s="798"/>
      <c r="U10" s="798"/>
      <c r="V10" s="798"/>
      <c r="W10" s="798"/>
      <c r="X10" s="798"/>
      <c r="Y10" s="798"/>
      <c r="Z10" s="798"/>
      <c r="AA10" s="798"/>
      <c r="AB10" s="798"/>
      <c r="AC10" s="798"/>
    </row>
    <row r="11" spans="1:29" s="2477" customFormat="1">
      <c r="A11" s="2478"/>
      <c r="B11" s="2468"/>
      <c r="C11" s="2463"/>
      <c r="D11" s="2463"/>
      <c r="E11" s="2463"/>
      <c r="F11" s="2468"/>
      <c r="G11" s="2479"/>
      <c r="H11" s="2474"/>
      <c r="I11" s="2475"/>
      <c r="J11" s="2476"/>
      <c r="K11" s="2474"/>
      <c r="L11" s="2475"/>
      <c r="M11" s="2476"/>
      <c r="N11" s="2474"/>
      <c r="O11" s="2475"/>
      <c r="P11" s="2476"/>
      <c r="Q11" s="2474"/>
      <c r="R11" s="2475"/>
      <c r="S11" s="798"/>
      <c r="T11" s="798"/>
      <c r="U11" s="798"/>
      <c r="V11" s="798"/>
      <c r="W11" s="798"/>
      <c r="X11" s="798"/>
      <c r="Y11" s="798"/>
      <c r="Z11" s="798"/>
      <c r="AA11" s="798"/>
      <c r="AB11" s="798"/>
      <c r="AC11" s="798"/>
    </row>
    <row r="12" spans="1:29" s="2455" customFormat="1" ht="18">
      <c r="A12" s="2478"/>
      <c r="B12" s="2468"/>
      <c r="C12" s="2463"/>
      <c r="D12" s="2480"/>
      <c r="E12" s="2463"/>
      <c r="F12" s="2468"/>
      <c r="G12" s="2479"/>
      <c r="H12" s="2481"/>
      <c r="I12" s="2482"/>
      <c r="J12" s="2481"/>
      <c r="K12" s="2481"/>
      <c r="L12" s="2483"/>
      <c r="M12" s="2481"/>
      <c r="N12" s="2484"/>
      <c r="O12" s="2485"/>
      <c r="P12" s="2484"/>
      <c r="Q12" s="2484"/>
      <c r="R12" s="2453"/>
      <c r="S12" s="2454"/>
      <c r="T12" s="2454"/>
      <c r="U12" s="2454"/>
      <c r="V12" s="2454"/>
      <c r="W12" s="2454"/>
      <c r="X12" s="2454"/>
      <c r="Y12" s="2454"/>
      <c r="Z12" s="2454"/>
      <c r="AA12" s="2454"/>
      <c r="AB12" s="2454"/>
      <c r="AC12" s="2454"/>
    </row>
    <row r="13" spans="1:29" ht="15.75" thickBot="1">
      <c r="A13" s="2486" t="s">
        <v>2280</v>
      </c>
      <c r="B13" s="2480"/>
      <c r="C13" s="2480"/>
      <c r="D13" s="2478"/>
      <c r="E13" s="2480"/>
      <c r="F13" s="2480"/>
      <c r="G13" s="2480"/>
    </row>
    <row r="14" spans="1:29" ht="15" thickBot="1">
      <c r="A14" s="2490"/>
      <c r="B14" s="2490"/>
      <c r="C14" s="2491" t="s">
        <v>2264</v>
      </c>
      <c r="D14" s="2463"/>
      <c r="E14" s="2492"/>
      <c r="F14" s="2492"/>
      <c r="G14" s="2458" t="s">
        <v>2265</v>
      </c>
    </row>
    <row r="15" spans="1:29" ht="25.5">
      <c r="A15" s="2442" t="s">
        <v>2266</v>
      </c>
      <c r="B15" s="2493" t="s">
        <v>2249</v>
      </c>
      <c r="C15" s="2494">
        <f>C3</f>
        <v>0</v>
      </c>
      <c r="D15" s="2463"/>
      <c r="E15" s="2443" t="s">
        <v>2267</v>
      </c>
      <c r="F15" s="2493" t="s">
        <v>2268</v>
      </c>
      <c r="G15" s="2495" t="str">
        <f>G3</f>
        <v>估价对象位于XX开发区，园区建设成熟度XX，产业集聚程度XX</v>
      </c>
    </row>
    <row r="16" spans="1:29" ht="51">
      <c r="A16" s="2444"/>
      <c r="B16" s="2496" t="s">
        <v>2251</v>
      </c>
      <c r="C16" s="2497" t="str">
        <f>C4</f>
        <v>估价对象位于西直门商圈，周边商业氛围成熟，有凯德MALL、华联购物中心等，人流量较大，商业繁华度较好</v>
      </c>
      <c r="D16" s="2463"/>
      <c r="E16" s="2445"/>
      <c r="F16" s="2498" t="s">
        <v>2252</v>
      </c>
      <c r="G16" s="2499" t="str">
        <f>G4</f>
        <v>估价对象周边道路状况、公共交通通达情况、停车便捷程度，综合评价交通便捷度较好</v>
      </c>
    </row>
    <row r="17" spans="1:18" ht="51">
      <c r="A17" s="2444"/>
      <c r="B17" s="2496" t="s">
        <v>2254</v>
      </c>
      <c r="C17" s="2497" t="str">
        <f>C5</f>
        <v>估价对象周边办公楼项目较多，有金泰鑫侨大厦、阳光大厦、德宝大厦，入驻率较高，办公集聚程度较好</v>
      </c>
      <c r="D17" s="2468"/>
      <c r="E17" s="2445"/>
      <c r="F17" s="2498" t="s">
        <v>2269</v>
      </c>
      <c r="G17" s="2500"/>
    </row>
    <row r="18" spans="1:18" ht="63.75">
      <c r="A18" s="2444"/>
      <c r="B18" s="2498" t="s">
        <v>2257</v>
      </c>
      <c r="C18" s="2499" t="str">
        <f>C6</f>
        <v>估价对象周边道路状况较好、有7、16、105等公交线路及地铁2、4号线经过，公共交通通达情况较好、停车便捷程度一般，综合评价交通便捷度较好</v>
      </c>
      <c r="D18" s="2468"/>
      <c r="E18" s="2445"/>
      <c r="F18" s="2498" t="s">
        <v>2260</v>
      </c>
      <c r="G18" s="2499" t="str">
        <f>G7</f>
        <v>该园区内是否有污染型企业，绿化情况，卫生条件，整体环境状况判断</v>
      </c>
    </row>
    <row r="19" spans="1:18" ht="25.5">
      <c r="A19" s="2444"/>
      <c r="B19" s="2498" t="s">
        <v>2270</v>
      </c>
      <c r="C19" s="2500"/>
      <c r="D19" s="2463"/>
      <c r="E19" s="2445"/>
      <c r="F19" s="323" t="s">
        <v>2255</v>
      </c>
      <c r="G19" s="2499" t="str">
        <f>G5</f>
        <v>估价对象所在区域公共配套设施齐备情况</v>
      </c>
    </row>
    <row r="20" spans="1:18" ht="51">
      <c r="A20" s="2444"/>
      <c r="B20" s="2498" t="s">
        <v>2271</v>
      </c>
      <c r="C20" s="2497" t="str">
        <f>C9</f>
        <v>区域自然环境：北京动物园、官园公园；人文环境：北京天文馆、北京建筑大学；综合评价环境状况较好</v>
      </c>
      <c r="D20" s="2468"/>
      <c r="E20" s="2445"/>
      <c r="F20" s="323" t="s">
        <v>2258</v>
      </c>
      <c r="G20" s="2499" t="str">
        <f>G6</f>
        <v>估价对象所在区域基础设施水平</v>
      </c>
    </row>
    <row r="21" spans="1:18" ht="25.5">
      <c r="A21" s="2444"/>
      <c r="B21" s="323" t="s">
        <v>2255</v>
      </c>
      <c r="C21" s="2499" t="str">
        <f>C7</f>
        <v>估价对象所在区域公共配套设施齐备情况较好</v>
      </c>
      <c r="D21" s="2463"/>
      <c r="E21" s="2445"/>
      <c r="F21" s="2498" t="s">
        <v>2272</v>
      </c>
      <c r="G21" s="2501"/>
    </row>
    <row r="22" spans="1:18" ht="13.5" customHeight="1">
      <c r="A22" s="2444"/>
      <c r="B22" s="323" t="s">
        <v>2258</v>
      </c>
      <c r="C22" s="2499" t="str">
        <f>C8</f>
        <v>估价对象所在区域基础设施水平七通</v>
      </c>
      <c r="D22" s="2463"/>
      <c r="E22" s="2445"/>
      <c r="F22" s="2498" t="s">
        <v>2263</v>
      </c>
      <c r="G22" s="2500"/>
    </row>
    <row r="23" spans="1:18" s="798" customFormat="1" ht="15" thickBot="1">
      <c r="A23" s="2444"/>
      <c r="B23" s="2498" t="s">
        <v>2272</v>
      </c>
      <c r="C23" s="2501"/>
      <c r="D23" s="1739"/>
      <c r="E23" s="2446"/>
      <c r="F23" s="2502" t="s">
        <v>2273</v>
      </c>
      <c r="G23" s="2503"/>
      <c r="H23" s="2487"/>
      <c r="I23" s="2488"/>
      <c r="J23" s="2487"/>
      <c r="K23" s="2487"/>
      <c r="L23" s="2488"/>
      <c r="M23" s="2487"/>
      <c r="N23" s="2487"/>
      <c r="O23" s="2488"/>
      <c r="P23" s="2487"/>
      <c r="Q23" s="2487"/>
      <c r="R23" s="2489"/>
    </row>
    <row r="24" spans="1:18" s="798" customFormat="1" ht="15" thickBot="1">
      <c r="A24" s="2447"/>
      <c r="B24" s="2502" t="s">
        <v>2274</v>
      </c>
      <c r="C24" s="2504" t="str">
        <f>C10</f>
        <v>主干道-西直门外大街</v>
      </c>
      <c r="D24" s="1739"/>
      <c r="E24" s="2437"/>
      <c r="F24" s="2437"/>
      <c r="G24" s="2505"/>
      <c r="H24" s="2487"/>
      <c r="I24" s="2488"/>
      <c r="J24" s="2487"/>
      <c r="K24" s="2487"/>
      <c r="L24" s="2488"/>
      <c r="M24" s="2487"/>
      <c r="N24" s="2487"/>
      <c r="O24" s="2488"/>
      <c r="P24" s="2487"/>
      <c r="Q24" s="2487"/>
      <c r="R24" s="2489"/>
    </row>
    <row r="25" spans="1:18" s="798" customFormat="1">
      <c r="B25" s="2487"/>
      <c r="C25" s="2487"/>
      <c r="D25" s="2487"/>
      <c r="H25" s="2487"/>
      <c r="I25" s="2488"/>
      <c r="J25" s="2487"/>
      <c r="K25" s="2487"/>
      <c r="L25" s="2488"/>
      <c r="M25" s="2487"/>
      <c r="N25" s="2487"/>
      <c r="O25" s="2488"/>
      <c r="P25" s="2487"/>
      <c r="Q25" s="2487"/>
      <c r="R25" s="2489"/>
    </row>
    <row r="26" spans="1:18" s="798" customFormat="1">
      <c r="B26" s="2487"/>
      <c r="C26" s="2487"/>
      <c r="D26" s="2487"/>
      <c r="H26" s="2487"/>
      <c r="I26" s="2488"/>
      <c r="J26" s="2487"/>
      <c r="K26" s="2487"/>
      <c r="L26" s="2488"/>
      <c r="M26" s="2487"/>
      <c r="N26" s="2487"/>
      <c r="O26" s="2488"/>
      <c r="P26" s="2487"/>
      <c r="Q26" s="2487"/>
      <c r="R26" s="2489"/>
    </row>
    <row r="27" spans="1:18" s="798" customFormat="1">
      <c r="B27" s="2487"/>
      <c r="C27" s="2487"/>
      <c r="D27" s="2487"/>
      <c r="H27" s="2487"/>
      <c r="I27" s="2488"/>
      <c r="J27" s="2487"/>
      <c r="K27" s="2487"/>
      <c r="L27" s="2488"/>
      <c r="M27" s="2487"/>
      <c r="N27" s="2487"/>
      <c r="O27" s="2488"/>
      <c r="P27" s="2487"/>
      <c r="Q27" s="2487"/>
      <c r="R27" s="2489"/>
    </row>
    <row r="28" spans="1:18" s="798" customFormat="1">
      <c r="B28" s="2487"/>
      <c r="C28" s="2487"/>
      <c r="D28" s="2487"/>
      <c r="H28" s="2487"/>
      <c r="I28" s="2488"/>
      <c r="J28" s="2487"/>
      <c r="K28" s="2487"/>
      <c r="L28" s="2488"/>
      <c r="M28" s="2487"/>
      <c r="N28" s="2487"/>
      <c r="O28" s="2488"/>
      <c r="P28" s="2487"/>
      <c r="Q28" s="2487"/>
      <c r="R28" s="2489"/>
    </row>
    <row r="29" spans="1:18" s="798" customFormat="1">
      <c r="B29" s="2487"/>
      <c r="C29" s="2487"/>
      <c r="D29" s="2487"/>
      <c r="H29" s="2487"/>
      <c r="I29" s="2488"/>
      <c r="J29" s="2487"/>
      <c r="K29" s="2487"/>
      <c r="L29" s="2488"/>
      <c r="M29" s="2487"/>
      <c r="N29" s="2487"/>
      <c r="O29" s="2488"/>
      <c r="P29" s="2487"/>
      <c r="Q29" s="2487"/>
      <c r="R29" s="2489"/>
    </row>
    <row r="30" spans="1:18" s="798" customFormat="1">
      <c r="B30" s="2487"/>
      <c r="C30" s="2487"/>
      <c r="D30" s="2487"/>
      <c r="H30" s="2487"/>
      <c r="I30" s="2488"/>
      <c r="J30" s="2487"/>
      <c r="K30" s="2487"/>
      <c r="L30" s="2488"/>
      <c r="M30" s="2487"/>
      <c r="N30" s="2487"/>
      <c r="O30" s="2488"/>
      <c r="P30" s="2487"/>
      <c r="Q30" s="2487"/>
      <c r="R30" s="2489"/>
    </row>
    <row r="31" spans="1:18" s="798" customFormat="1">
      <c r="B31" s="2487"/>
      <c r="C31" s="2487"/>
      <c r="D31" s="2487"/>
      <c r="H31" s="2487"/>
      <c r="I31" s="2488"/>
      <c r="J31" s="2487"/>
      <c r="K31" s="2487"/>
      <c r="L31" s="2488"/>
      <c r="M31" s="2487"/>
      <c r="N31" s="2487"/>
      <c r="O31" s="2488"/>
      <c r="P31" s="2487"/>
      <c r="Q31" s="2487"/>
      <c r="R31" s="2489"/>
    </row>
    <row r="32" spans="1:18" s="798" customFormat="1">
      <c r="B32" s="2487"/>
      <c r="C32" s="2487"/>
      <c r="D32" s="2487"/>
      <c r="H32" s="2487"/>
      <c r="I32" s="2488"/>
      <c r="J32" s="2487"/>
      <c r="K32" s="2487"/>
      <c r="L32" s="2488"/>
      <c r="M32" s="2487"/>
      <c r="N32" s="2487"/>
      <c r="O32" s="2488"/>
      <c r="P32" s="2487"/>
      <c r="Q32" s="2487"/>
      <c r="R32" s="2489"/>
    </row>
    <row r="33" spans="2:18" s="798" customFormat="1">
      <c r="B33" s="2487"/>
      <c r="C33" s="2487"/>
      <c r="D33" s="2487"/>
      <c r="H33" s="2487"/>
      <c r="I33" s="2488"/>
      <c r="J33" s="2487"/>
      <c r="K33" s="2487"/>
      <c r="L33" s="2488"/>
      <c r="M33" s="2487"/>
      <c r="N33" s="2487"/>
      <c r="O33" s="2488"/>
      <c r="P33" s="2487"/>
      <c r="Q33" s="2487"/>
      <c r="R33" s="2489"/>
    </row>
    <row r="34" spans="2:18" s="798" customFormat="1">
      <c r="B34" s="2487"/>
      <c r="C34" s="2487"/>
      <c r="D34" s="2487"/>
      <c r="H34" s="2487"/>
      <c r="I34" s="2488"/>
      <c r="J34" s="2487"/>
      <c r="K34" s="2487"/>
      <c r="L34" s="2488"/>
      <c r="M34" s="2487"/>
      <c r="N34" s="2487"/>
      <c r="O34" s="2488"/>
      <c r="P34" s="2487"/>
      <c r="Q34" s="2487"/>
      <c r="R34" s="2489"/>
    </row>
    <row r="35" spans="2:18" s="798" customFormat="1">
      <c r="B35" s="2487"/>
      <c r="C35" s="2487"/>
      <c r="D35" s="2487"/>
      <c r="H35" s="2487"/>
      <c r="I35" s="2488"/>
      <c r="J35" s="2487"/>
      <c r="K35" s="2487"/>
      <c r="L35" s="2488"/>
      <c r="M35" s="2487"/>
      <c r="N35" s="2487"/>
      <c r="O35" s="2488"/>
      <c r="P35" s="2487"/>
      <c r="Q35" s="2487"/>
      <c r="R35" s="2489"/>
    </row>
    <row r="36" spans="2:18" s="798" customFormat="1">
      <c r="B36" s="2487"/>
      <c r="C36" s="2487"/>
      <c r="D36" s="2487"/>
      <c r="H36" s="2487"/>
      <c r="I36" s="2488"/>
      <c r="J36" s="2487"/>
      <c r="K36" s="2487"/>
      <c r="L36" s="2488"/>
      <c r="M36" s="2487"/>
      <c r="N36" s="2487"/>
      <c r="O36" s="2488"/>
      <c r="P36" s="2487"/>
      <c r="Q36" s="2487"/>
      <c r="R36" s="2489"/>
    </row>
    <row r="37" spans="2:18" s="798" customFormat="1">
      <c r="B37" s="2487"/>
      <c r="C37" s="2487"/>
      <c r="D37" s="2487"/>
      <c r="H37" s="2487"/>
      <c r="I37" s="2488"/>
      <c r="J37" s="2487"/>
      <c r="K37" s="2487"/>
      <c r="L37" s="2488"/>
      <c r="M37" s="2487"/>
      <c r="N37" s="2487"/>
      <c r="O37" s="2488"/>
      <c r="P37" s="2487"/>
      <c r="Q37" s="2487"/>
      <c r="R37" s="2489"/>
    </row>
    <row r="38" spans="2:18" s="798" customFormat="1">
      <c r="B38" s="2487"/>
      <c r="C38" s="2487"/>
      <c r="D38" s="2487"/>
      <c r="E38" s="2487"/>
      <c r="F38" s="2487"/>
      <c r="G38" s="2488"/>
      <c r="H38" s="2487"/>
      <c r="I38" s="2488"/>
      <c r="J38" s="2487"/>
      <c r="K38" s="2487"/>
      <c r="L38" s="2488"/>
      <c r="M38" s="2487"/>
      <c r="N38" s="2487"/>
      <c r="O38" s="2488"/>
      <c r="P38" s="2487"/>
      <c r="Q38" s="2487"/>
      <c r="R38" s="2489"/>
    </row>
    <row r="39" spans="2:18" s="798" customFormat="1">
      <c r="B39" s="2487"/>
      <c r="C39" s="2487"/>
      <c r="D39" s="2487"/>
      <c r="E39" s="2487"/>
      <c r="F39" s="2487"/>
      <c r="G39" s="2488"/>
      <c r="H39" s="2487"/>
      <c r="I39" s="2488"/>
      <c r="J39" s="2487"/>
      <c r="K39" s="2487"/>
      <c r="L39" s="2488"/>
      <c r="M39" s="2487"/>
      <c r="N39" s="2487"/>
      <c r="O39" s="2488"/>
      <c r="P39" s="2487"/>
      <c r="Q39" s="2487"/>
      <c r="R39" s="2489"/>
    </row>
    <row r="40" spans="2:18" s="798" customFormat="1">
      <c r="B40" s="2487"/>
      <c r="C40" s="2487"/>
      <c r="D40" s="2487"/>
      <c r="E40" s="2487"/>
      <c r="F40" s="2487"/>
      <c r="G40" s="2488"/>
      <c r="H40" s="2487"/>
      <c r="I40" s="2488"/>
      <c r="J40" s="2487"/>
      <c r="K40" s="2487"/>
      <c r="L40" s="2488"/>
      <c r="M40" s="2487"/>
      <c r="N40" s="2487"/>
      <c r="O40" s="2488"/>
      <c r="P40" s="2487"/>
      <c r="Q40" s="2487"/>
      <c r="R40" s="2489"/>
    </row>
    <row r="41" spans="2:18" s="798" customFormat="1">
      <c r="B41" s="2487"/>
      <c r="C41" s="2487"/>
      <c r="D41" s="2487"/>
      <c r="E41" s="2487"/>
      <c r="F41" s="2487"/>
      <c r="G41" s="2488"/>
      <c r="H41" s="2487"/>
      <c r="I41" s="2488"/>
      <c r="J41" s="2487"/>
      <c r="K41" s="2487"/>
      <c r="L41" s="2488"/>
      <c r="M41" s="2487"/>
      <c r="N41" s="2487"/>
      <c r="O41" s="2488"/>
      <c r="P41" s="2487"/>
      <c r="Q41" s="2487"/>
      <c r="R41" s="2489"/>
    </row>
    <row r="42" spans="2:18" s="798" customFormat="1">
      <c r="B42" s="2487"/>
      <c r="C42" s="2487"/>
      <c r="D42" s="2487"/>
      <c r="E42" s="2487"/>
      <c r="F42" s="2487"/>
      <c r="G42" s="2488"/>
      <c r="H42" s="2487"/>
      <c r="I42" s="2488"/>
      <c r="J42" s="2487"/>
      <c r="K42" s="2487"/>
      <c r="L42" s="2488"/>
      <c r="M42" s="2487"/>
      <c r="N42" s="2487"/>
      <c r="O42" s="2488"/>
      <c r="P42" s="2487"/>
      <c r="Q42" s="2487"/>
      <c r="R42" s="2489"/>
    </row>
    <row r="43" spans="2:18" s="798" customFormat="1">
      <c r="B43" s="2487"/>
      <c r="C43" s="2487"/>
      <c r="D43" s="2487"/>
      <c r="E43" s="2487"/>
      <c r="F43" s="2487"/>
      <c r="G43" s="2488"/>
      <c r="H43" s="2487"/>
      <c r="I43" s="2488"/>
      <c r="J43" s="2487"/>
      <c r="K43" s="2487"/>
      <c r="L43" s="2488"/>
      <c r="M43" s="2487"/>
      <c r="N43" s="2487"/>
      <c r="O43" s="2488"/>
      <c r="P43" s="2487"/>
      <c r="Q43" s="2487"/>
      <c r="R43" s="2489"/>
    </row>
    <row r="44" spans="2:18" s="798" customFormat="1">
      <c r="B44" s="2487"/>
      <c r="C44" s="2487"/>
      <c r="D44" s="2487"/>
      <c r="E44" s="2487"/>
      <c r="F44" s="2487"/>
      <c r="G44" s="2488"/>
      <c r="H44" s="2487"/>
      <c r="I44" s="2488"/>
      <c r="J44" s="2487"/>
      <c r="K44" s="2487"/>
      <c r="L44" s="2488"/>
      <c r="M44" s="2487"/>
      <c r="N44" s="2487"/>
      <c r="O44" s="2488"/>
      <c r="P44" s="2487"/>
      <c r="Q44" s="2487"/>
      <c r="R44" s="2489"/>
    </row>
    <row r="45" spans="2:18" s="798" customFormat="1">
      <c r="B45" s="2487"/>
      <c r="C45" s="2487"/>
      <c r="D45" s="2487"/>
      <c r="E45" s="2487"/>
      <c r="F45" s="2487"/>
      <c r="G45" s="2488"/>
      <c r="H45" s="2487"/>
      <c r="I45" s="2488"/>
      <c r="J45" s="2487"/>
      <c r="K45" s="2487"/>
      <c r="L45" s="2488"/>
      <c r="M45" s="2487"/>
      <c r="N45" s="2487"/>
      <c r="O45" s="2488"/>
      <c r="P45" s="2487"/>
      <c r="Q45" s="2487"/>
      <c r="R45" s="2489"/>
    </row>
    <row r="46" spans="2:18" s="798" customFormat="1">
      <c r="B46" s="2487"/>
      <c r="C46" s="2487"/>
      <c r="D46" s="2487"/>
      <c r="E46" s="2487"/>
      <c r="F46" s="2487"/>
      <c r="G46" s="2488"/>
      <c r="H46" s="2487"/>
      <c r="I46" s="2488"/>
      <c r="J46" s="2487"/>
      <c r="K46" s="2487"/>
      <c r="L46" s="2488"/>
      <c r="M46" s="2487"/>
      <c r="N46" s="2487"/>
      <c r="O46" s="2488"/>
      <c r="P46" s="2487"/>
      <c r="Q46" s="2487"/>
      <c r="R46" s="2489"/>
    </row>
    <row r="47" spans="2:18" s="798" customFormat="1">
      <c r="B47" s="2487"/>
      <c r="C47" s="2487"/>
      <c r="D47" s="2487"/>
      <c r="E47" s="2487"/>
      <c r="F47" s="2487"/>
      <c r="G47" s="2488"/>
      <c r="H47" s="2487"/>
      <c r="I47" s="2488"/>
      <c r="J47" s="2487"/>
      <c r="K47" s="2487"/>
      <c r="L47" s="2488"/>
      <c r="M47" s="2487"/>
      <c r="N47" s="2487"/>
      <c r="O47" s="2488"/>
      <c r="P47" s="2487"/>
      <c r="Q47" s="2487"/>
      <c r="R47" s="2489"/>
    </row>
    <row r="48" spans="2:18" s="798" customFormat="1">
      <c r="B48" s="2487"/>
      <c r="C48" s="2487"/>
      <c r="D48" s="2487"/>
      <c r="E48" s="2487"/>
      <c r="F48" s="2487"/>
      <c r="G48" s="2488"/>
      <c r="H48" s="2487"/>
      <c r="I48" s="2488"/>
      <c r="J48" s="2487"/>
      <c r="K48" s="2487"/>
      <c r="L48" s="2488"/>
      <c r="M48" s="2487"/>
      <c r="N48" s="2487"/>
      <c r="O48" s="2488"/>
      <c r="P48" s="2487"/>
      <c r="Q48" s="2487"/>
      <c r="R48" s="2489"/>
    </row>
    <row r="49" spans="2:18" s="798" customFormat="1">
      <c r="B49" s="2487"/>
      <c r="C49" s="2487"/>
      <c r="D49" s="2487"/>
      <c r="E49" s="2487"/>
      <c r="F49" s="2487"/>
      <c r="G49" s="2488"/>
      <c r="H49" s="2487"/>
      <c r="I49" s="2488"/>
      <c r="J49" s="2487"/>
      <c r="K49" s="2487"/>
      <c r="L49" s="2488"/>
      <c r="M49" s="2487"/>
      <c r="N49" s="2487"/>
      <c r="O49" s="2488"/>
      <c r="P49" s="2487"/>
      <c r="Q49" s="2487"/>
      <c r="R49" s="2489"/>
    </row>
    <row r="50" spans="2:18" s="798" customFormat="1">
      <c r="B50" s="2487"/>
      <c r="C50" s="2487"/>
      <c r="D50" s="2487"/>
      <c r="E50" s="2487"/>
      <c r="F50" s="2487"/>
      <c r="G50" s="2488"/>
      <c r="H50" s="2487"/>
      <c r="I50" s="2488"/>
      <c r="J50" s="2487"/>
      <c r="K50" s="2487"/>
      <c r="L50" s="2488"/>
      <c r="M50" s="2487"/>
      <c r="N50" s="2487"/>
      <c r="O50" s="2488"/>
      <c r="P50" s="2487"/>
      <c r="Q50" s="2487"/>
      <c r="R50" s="2489"/>
    </row>
    <row r="51" spans="2:18" s="798" customFormat="1">
      <c r="B51" s="2487"/>
      <c r="C51" s="2487"/>
      <c r="D51" s="2487"/>
      <c r="E51" s="2487"/>
      <c r="F51" s="2487"/>
      <c r="G51" s="2488"/>
      <c r="H51" s="2487"/>
      <c r="I51" s="2488"/>
      <c r="J51" s="2487"/>
      <c r="K51" s="2487"/>
      <c r="L51" s="2488"/>
      <c r="M51" s="2487"/>
      <c r="N51" s="2487"/>
      <c r="O51" s="2488"/>
      <c r="P51" s="2487"/>
      <c r="Q51" s="2487"/>
      <c r="R51" s="2489"/>
    </row>
    <row r="52" spans="2:18" s="798" customFormat="1">
      <c r="B52" s="2487"/>
      <c r="C52" s="2487"/>
      <c r="D52" s="2487"/>
      <c r="E52" s="2487"/>
      <c r="F52" s="2487"/>
      <c r="G52" s="2488"/>
      <c r="H52" s="2487"/>
      <c r="I52" s="2488"/>
      <c r="J52" s="2487"/>
      <c r="K52" s="2487"/>
      <c r="L52" s="2488"/>
      <c r="M52" s="2487"/>
      <c r="N52" s="2487"/>
      <c r="O52" s="2488"/>
      <c r="P52" s="2487"/>
      <c r="Q52" s="2487"/>
      <c r="R52" s="2489"/>
    </row>
    <row r="53" spans="2:18" s="798" customFormat="1">
      <c r="B53" s="2487"/>
      <c r="C53" s="2487"/>
      <c r="D53" s="2487"/>
      <c r="E53" s="2487"/>
      <c r="F53" s="2487"/>
      <c r="G53" s="2488"/>
      <c r="H53" s="2487"/>
      <c r="I53" s="2488"/>
      <c r="J53" s="2487"/>
      <c r="K53" s="2487"/>
      <c r="L53" s="2488"/>
      <c r="M53" s="2487"/>
      <c r="N53" s="2487"/>
      <c r="O53" s="2488"/>
      <c r="P53" s="2487"/>
      <c r="Q53" s="2487"/>
      <c r="R53" s="2489"/>
    </row>
    <row r="54" spans="2:18" s="798" customFormat="1">
      <c r="B54" s="2487"/>
      <c r="C54" s="2487"/>
      <c r="D54" s="2487"/>
      <c r="E54" s="2487"/>
      <c r="F54" s="2487"/>
      <c r="G54" s="2488"/>
      <c r="H54" s="2487"/>
      <c r="I54" s="2488"/>
      <c r="J54" s="2487"/>
      <c r="K54" s="2487"/>
      <c r="L54" s="2488"/>
      <c r="M54" s="2487"/>
      <c r="N54" s="2487"/>
      <c r="O54" s="2488"/>
      <c r="P54" s="2487"/>
      <c r="Q54" s="2487"/>
      <c r="R54" s="2489"/>
    </row>
    <row r="55" spans="2:18" s="798" customFormat="1">
      <c r="B55" s="2487"/>
      <c r="C55" s="2487"/>
      <c r="D55" s="2487"/>
      <c r="E55" s="2487"/>
      <c r="F55" s="2487"/>
      <c r="G55" s="2488"/>
      <c r="H55" s="2487"/>
      <c r="I55" s="2488"/>
      <c r="J55" s="2487"/>
      <c r="K55" s="2487"/>
      <c r="L55" s="2488"/>
      <c r="M55" s="2487"/>
      <c r="N55" s="2487"/>
      <c r="O55" s="2488"/>
      <c r="P55" s="2487"/>
      <c r="Q55" s="2487"/>
      <c r="R55" s="2489"/>
    </row>
    <row r="56" spans="2:18" s="798" customFormat="1">
      <c r="B56" s="2487"/>
      <c r="C56" s="2487"/>
      <c r="D56" s="2487"/>
      <c r="E56" s="2487"/>
      <c r="F56" s="2487"/>
      <c r="G56" s="2488"/>
      <c r="H56" s="2487"/>
      <c r="I56" s="2488"/>
      <c r="J56" s="2487"/>
      <c r="K56" s="2487"/>
      <c r="L56" s="2488"/>
      <c r="M56" s="2487"/>
      <c r="N56" s="2487"/>
      <c r="O56" s="2488"/>
      <c r="P56" s="2487"/>
      <c r="Q56" s="2487"/>
      <c r="R56" s="2489"/>
    </row>
    <row r="57" spans="2:18" s="798" customFormat="1">
      <c r="B57" s="2487"/>
      <c r="C57" s="2487"/>
      <c r="D57" s="2487"/>
      <c r="E57" s="2487"/>
      <c r="F57" s="2487"/>
      <c r="G57" s="2488"/>
      <c r="H57" s="2487"/>
      <c r="I57" s="2488"/>
      <c r="J57" s="2487"/>
      <c r="K57" s="2487"/>
      <c r="L57" s="2488"/>
      <c r="M57" s="2487"/>
      <c r="N57" s="2487"/>
      <c r="O57" s="2488"/>
      <c r="P57" s="2487"/>
      <c r="Q57" s="2487"/>
      <c r="R57" s="2489"/>
    </row>
    <row r="58" spans="2:18" s="798" customFormat="1">
      <c r="B58" s="2487"/>
      <c r="C58" s="2487"/>
      <c r="D58" s="2487"/>
      <c r="E58" s="2487"/>
      <c r="F58" s="2487"/>
      <c r="G58" s="2488"/>
      <c r="H58" s="2487"/>
      <c r="I58" s="2488"/>
      <c r="J58" s="2487"/>
      <c r="K58" s="2487"/>
      <c r="L58" s="2488"/>
      <c r="M58" s="2487"/>
      <c r="N58" s="2487"/>
      <c r="O58" s="2488"/>
      <c r="P58" s="2487"/>
      <c r="Q58" s="2487"/>
      <c r="R58" s="2489"/>
    </row>
    <row r="59" spans="2:18" s="798" customFormat="1">
      <c r="B59" s="2487"/>
      <c r="C59" s="2487"/>
      <c r="D59" s="2487"/>
      <c r="E59" s="2487"/>
      <c r="F59" s="2487"/>
      <c r="G59" s="2488"/>
      <c r="H59" s="2487"/>
      <c r="I59" s="2488"/>
      <c r="J59" s="2487"/>
      <c r="K59" s="2487"/>
      <c r="L59" s="2488"/>
      <c r="M59" s="2487"/>
      <c r="N59" s="2487"/>
      <c r="O59" s="2488"/>
      <c r="P59" s="2487"/>
      <c r="Q59" s="2487"/>
      <c r="R59" s="2489"/>
    </row>
    <row r="60" spans="2:18" s="798" customFormat="1">
      <c r="B60" s="2487"/>
      <c r="C60" s="2487"/>
      <c r="D60" s="2487"/>
      <c r="E60" s="2487"/>
      <c r="F60" s="2487"/>
      <c r="G60" s="2488"/>
      <c r="H60" s="2487"/>
      <c r="I60" s="2488"/>
      <c r="J60" s="2487"/>
      <c r="K60" s="2487"/>
      <c r="L60" s="2488"/>
      <c r="M60" s="2487"/>
      <c r="N60" s="2487"/>
      <c r="O60" s="2488"/>
      <c r="P60" s="2487"/>
      <c r="Q60" s="2487"/>
      <c r="R60" s="2489"/>
    </row>
    <row r="61" spans="2:18" s="798" customFormat="1">
      <c r="B61" s="2487"/>
      <c r="C61" s="2487"/>
      <c r="D61" s="2487"/>
      <c r="E61" s="2487"/>
      <c r="F61" s="2487"/>
      <c r="G61" s="2488"/>
      <c r="H61" s="2487"/>
      <c r="I61" s="2488"/>
      <c r="J61" s="2487"/>
      <c r="K61" s="2487"/>
      <c r="L61" s="2488"/>
      <c r="M61" s="2487"/>
      <c r="N61" s="2487"/>
      <c r="O61" s="2488"/>
      <c r="P61" s="2487"/>
      <c r="Q61" s="2487"/>
      <c r="R61" s="2489"/>
    </row>
    <row r="62" spans="2:18" s="798" customFormat="1">
      <c r="B62" s="2487"/>
      <c r="C62" s="2487"/>
      <c r="D62" s="2487"/>
      <c r="E62" s="2487"/>
      <c r="F62" s="2487"/>
      <c r="G62" s="2488"/>
      <c r="H62" s="2487"/>
      <c r="I62" s="2488"/>
      <c r="J62" s="2487"/>
      <c r="K62" s="2487"/>
      <c r="L62" s="2488"/>
      <c r="M62" s="2487"/>
      <c r="N62" s="2487"/>
      <c r="O62" s="2488"/>
      <c r="P62" s="2487"/>
      <c r="Q62" s="2487"/>
      <c r="R62" s="2489"/>
    </row>
    <row r="63" spans="2:18" s="798" customFormat="1">
      <c r="B63" s="2487"/>
      <c r="C63" s="2487"/>
      <c r="D63" s="2487"/>
      <c r="E63" s="2487"/>
      <c r="F63" s="2487"/>
      <c r="G63" s="2488"/>
      <c r="H63" s="2487"/>
      <c r="I63" s="2488"/>
      <c r="J63" s="2487"/>
      <c r="K63" s="2487"/>
      <c r="L63" s="2488"/>
      <c r="M63" s="2487"/>
      <c r="N63" s="2487"/>
      <c r="O63" s="2488"/>
      <c r="P63" s="2487"/>
      <c r="Q63" s="2487"/>
      <c r="R63" s="2489"/>
    </row>
    <row r="64" spans="2:18" s="798" customFormat="1">
      <c r="B64" s="2487"/>
      <c r="C64" s="2487"/>
      <c r="D64" s="2487"/>
      <c r="E64" s="2487"/>
      <c r="F64" s="2487"/>
      <c r="G64" s="2488"/>
      <c r="H64" s="2487"/>
      <c r="I64" s="2488"/>
      <c r="J64" s="2487"/>
      <c r="K64" s="2487"/>
      <c r="L64" s="2488"/>
      <c r="M64" s="2487"/>
      <c r="N64" s="2487"/>
      <c r="O64" s="2488"/>
      <c r="P64" s="2487"/>
      <c r="Q64" s="2487"/>
      <c r="R64" s="2489"/>
    </row>
    <row r="65" spans="2:18" s="798" customFormat="1">
      <c r="B65" s="2487"/>
      <c r="C65" s="2487"/>
      <c r="D65" s="2487"/>
      <c r="E65" s="2487"/>
      <c r="F65" s="2487"/>
      <c r="G65" s="2488"/>
      <c r="H65" s="2487"/>
      <c r="I65" s="2488"/>
      <c r="J65" s="2487"/>
      <c r="K65" s="2487"/>
      <c r="L65" s="2488"/>
      <c r="M65" s="2487"/>
      <c r="N65" s="2487"/>
      <c r="O65" s="2488"/>
      <c r="P65" s="2487"/>
      <c r="Q65" s="2487"/>
      <c r="R65" s="2489"/>
    </row>
    <row r="66" spans="2:18" s="798" customFormat="1">
      <c r="B66" s="2487"/>
      <c r="C66" s="2487"/>
      <c r="D66" s="2487"/>
      <c r="E66" s="2487"/>
      <c r="F66" s="2487"/>
      <c r="G66" s="2488"/>
      <c r="H66" s="2487"/>
      <c r="I66" s="2488"/>
      <c r="J66" s="2487"/>
      <c r="K66" s="2487"/>
      <c r="L66" s="2488"/>
      <c r="M66" s="2487"/>
      <c r="N66" s="2487"/>
      <c r="O66" s="2488"/>
      <c r="P66" s="2487"/>
      <c r="Q66" s="2487"/>
      <c r="R66" s="2489"/>
    </row>
    <row r="67" spans="2:18" s="798" customFormat="1">
      <c r="B67" s="2487"/>
      <c r="C67" s="2487"/>
      <c r="D67" s="2487"/>
      <c r="E67" s="2487"/>
      <c r="F67" s="2487"/>
      <c r="G67" s="2488"/>
      <c r="H67" s="2487"/>
      <c r="I67" s="2488"/>
      <c r="J67" s="2487"/>
      <c r="K67" s="2487"/>
      <c r="L67" s="2488"/>
      <c r="M67" s="2487"/>
      <c r="N67" s="2487"/>
      <c r="O67" s="2488"/>
      <c r="P67" s="2487"/>
      <c r="Q67" s="2487"/>
      <c r="R67" s="2489"/>
    </row>
    <row r="68" spans="2:18" s="798" customFormat="1">
      <c r="B68" s="2487"/>
      <c r="C68" s="2487"/>
      <c r="D68" s="2487"/>
      <c r="E68" s="2487"/>
      <c r="F68" s="2487"/>
      <c r="G68" s="2488"/>
      <c r="H68" s="2487"/>
      <c r="I68" s="2488"/>
      <c r="J68" s="2487"/>
      <c r="K68" s="2487"/>
      <c r="L68" s="2488"/>
      <c r="M68" s="2487"/>
      <c r="N68" s="2487"/>
      <c r="O68" s="2488"/>
      <c r="P68" s="2487"/>
      <c r="Q68" s="2487"/>
      <c r="R68" s="2489"/>
    </row>
    <row r="69" spans="2:18" s="798" customFormat="1">
      <c r="B69" s="2487"/>
      <c r="C69" s="2487"/>
      <c r="D69" s="2487"/>
      <c r="E69" s="2487"/>
      <c r="F69" s="2487"/>
      <c r="G69" s="2488"/>
      <c r="H69" s="2487"/>
      <c r="I69" s="2488"/>
      <c r="J69" s="2487"/>
      <c r="K69" s="2487"/>
      <c r="L69" s="2488"/>
      <c r="M69" s="2487"/>
      <c r="N69" s="2487"/>
      <c r="O69" s="2488"/>
      <c r="P69" s="2487"/>
      <c r="Q69" s="2487"/>
      <c r="R69" s="2489"/>
    </row>
    <row r="70" spans="2:18" s="798" customFormat="1">
      <c r="B70" s="2487"/>
      <c r="C70" s="2487"/>
      <c r="D70" s="2487"/>
      <c r="E70" s="2487"/>
      <c r="F70" s="2487"/>
      <c r="G70" s="2488"/>
      <c r="H70" s="2487"/>
      <c r="I70" s="2488"/>
      <c r="J70" s="2487"/>
      <c r="K70" s="2487"/>
      <c r="L70" s="2488"/>
      <c r="M70" s="2487"/>
      <c r="N70" s="2487"/>
      <c r="O70" s="2488"/>
      <c r="P70" s="2487"/>
      <c r="Q70" s="2487"/>
      <c r="R70" s="2489"/>
    </row>
    <row r="71" spans="2:18" s="798" customFormat="1">
      <c r="B71" s="2487"/>
      <c r="C71" s="2487"/>
      <c r="D71" s="2487"/>
      <c r="E71" s="2487"/>
      <c r="F71" s="2487"/>
      <c r="G71" s="2488"/>
      <c r="H71" s="2487"/>
      <c r="I71" s="2488"/>
      <c r="J71" s="2487"/>
      <c r="K71" s="2487"/>
      <c r="L71" s="2488"/>
      <c r="M71" s="2487"/>
      <c r="N71" s="2487"/>
      <c r="O71" s="2488"/>
      <c r="P71" s="2487"/>
      <c r="Q71" s="2487"/>
      <c r="R71" s="2489"/>
    </row>
    <row r="72" spans="2:18" s="798" customFormat="1">
      <c r="B72" s="2487"/>
      <c r="C72" s="2487"/>
      <c r="D72" s="2487"/>
      <c r="E72" s="2487"/>
      <c r="F72" s="2487"/>
      <c r="G72" s="2488"/>
      <c r="H72" s="2487"/>
      <c r="I72" s="2488"/>
      <c r="J72" s="2487"/>
      <c r="K72" s="2487"/>
      <c r="L72" s="2488"/>
      <c r="M72" s="2487"/>
      <c r="N72" s="2487"/>
      <c r="O72" s="2488"/>
      <c r="P72" s="2487"/>
      <c r="Q72" s="2487"/>
      <c r="R72" s="2489"/>
    </row>
    <row r="73" spans="2:18" s="798" customFormat="1">
      <c r="B73" s="2487"/>
      <c r="C73" s="2487"/>
      <c r="D73" s="2487"/>
      <c r="E73" s="2487"/>
      <c r="F73" s="2487"/>
      <c r="G73" s="2488"/>
      <c r="H73" s="2487"/>
      <c r="I73" s="2488"/>
      <c r="J73" s="2487"/>
      <c r="K73" s="2487"/>
      <c r="L73" s="2488"/>
      <c r="M73" s="2487"/>
      <c r="N73" s="2487"/>
      <c r="O73" s="2488"/>
      <c r="P73" s="2487"/>
      <c r="Q73" s="2487"/>
      <c r="R73" s="2489"/>
    </row>
    <row r="74" spans="2:18" s="798" customFormat="1">
      <c r="B74" s="2487"/>
      <c r="C74" s="2487"/>
      <c r="D74" s="2487"/>
      <c r="E74" s="2487"/>
      <c r="F74" s="2487"/>
      <c r="G74" s="2488"/>
      <c r="H74" s="2487"/>
      <c r="I74" s="2488"/>
      <c r="J74" s="2487"/>
      <c r="K74" s="2487"/>
      <c r="L74" s="2488"/>
      <c r="M74" s="2487"/>
      <c r="N74" s="2487"/>
      <c r="O74" s="2488"/>
      <c r="P74" s="2487"/>
      <c r="Q74" s="2487"/>
      <c r="R74" s="2489"/>
    </row>
    <row r="75" spans="2:18" s="798" customFormat="1">
      <c r="B75" s="2487"/>
      <c r="C75" s="2487"/>
      <c r="D75" s="2487"/>
      <c r="E75" s="2487"/>
      <c r="F75" s="2487"/>
      <c r="G75" s="2488"/>
      <c r="H75" s="2487"/>
      <c r="I75" s="2488"/>
      <c r="J75" s="2487"/>
      <c r="K75" s="2487"/>
      <c r="L75" s="2488"/>
      <c r="M75" s="2487"/>
      <c r="N75" s="2487"/>
      <c r="O75" s="2488"/>
      <c r="P75" s="2487"/>
      <c r="Q75" s="2487"/>
      <c r="R75" s="2489"/>
    </row>
    <row r="76" spans="2:18" s="798" customFormat="1">
      <c r="B76" s="2487"/>
      <c r="C76" s="2487"/>
      <c r="D76" s="2487"/>
      <c r="E76" s="2487"/>
      <c r="F76" s="2487"/>
      <c r="G76" s="2488"/>
      <c r="H76" s="2487"/>
      <c r="I76" s="2488"/>
      <c r="J76" s="2487"/>
      <c r="K76" s="2487"/>
      <c r="L76" s="2488"/>
      <c r="M76" s="2487"/>
      <c r="N76" s="2487"/>
      <c r="O76" s="2488"/>
      <c r="P76" s="2487"/>
      <c r="Q76" s="2487"/>
      <c r="R76" s="2489"/>
    </row>
    <row r="77" spans="2:18" s="798" customFormat="1">
      <c r="B77" s="2487"/>
      <c r="C77" s="2487"/>
      <c r="D77" s="2487"/>
      <c r="E77" s="2487"/>
      <c r="F77" s="2487"/>
      <c r="G77" s="2488"/>
      <c r="H77" s="2487"/>
      <c r="I77" s="2488"/>
      <c r="J77" s="2487"/>
      <c r="K77" s="2487"/>
      <c r="L77" s="2488"/>
      <c r="M77" s="2487"/>
      <c r="N77" s="2487"/>
      <c r="O77" s="2488"/>
      <c r="P77" s="2487"/>
      <c r="Q77" s="2487"/>
      <c r="R77" s="2489"/>
    </row>
    <row r="78" spans="2:18" s="798" customFormat="1">
      <c r="B78" s="2487"/>
      <c r="C78" s="2487"/>
      <c r="D78" s="2487"/>
      <c r="E78" s="2487"/>
      <c r="F78" s="2487"/>
      <c r="G78" s="2488"/>
      <c r="H78" s="2487"/>
      <c r="I78" s="2488"/>
      <c r="J78" s="2487"/>
      <c r="K78" s="2487"/>
      <c r="L78" s="2488"/>
      <c r="M78" s="2487"/>
      <c r="N78" s="2487"/>
      <c r="O78" s="2488"/>
      <c r="P78" s="2487"/>
      <c r="Q78" s="2487"/>
      <c r="R78" s="2489"/>
    </row>
    <row r="79" spans="2:18" s="798" customFormat="1">
      <c r="B79" s="2487"/>
      <c r="C79" s="2487"/>
      <c r="D79" s="2487"/>
      <c r="E79" s="2487"/>
      <c r="F79" s="2487"/>
      <c r="G79" s="2488"/>
      <c r="H79" s="2487"/>
      <c r="I79" s="2488"/>
      <c r="J79" s="2487"/>
      <c r="K79" s="2487"/>
      <c r="L79" s="2488"/>
      <c r="M79" s="2487"/>
      <c r="N79" s="2487"/>
      <c r="O79" s="2488"/>
      <c r="P79" s="2487"/>
      <c r="Q79" s="2487"/>
      <c r="R79" s="2489"/>
    </row>
    <row r="80" spans="2:18" s="798" customFormat="1">
      <c r="B80" s="2487"/>
      <c r="C80" s="2487"/>
      <c r="D80" s="2487"/>
      <c r="E80" s="2487"/>
      <c r="F80" s="2487"/>
      <c r="G80" s="2488"/>
      <c r="H80" s="2487"/>
      <c r="I80" s="2488"/>
      <c r="J80" s="2487"/>
      <c r="K80" s="2487"/>
      <c r="L80" s="2488"/>
      <c r="M80" s="2487"/>
      <c r="N80" s="2487"/>
      <c r="O80" s="2488"/>
      <c r="P80" s="2487"/>
      <c r="Q80" s="2487"/>
      <c r="R80" s="2489"/>
    </row>
    <row r="81" spans="2:18" s="798" customFormat="1">
      <c r="B81" s="2487"/>
      <c r="C81" s="2487"/>
      <c r="D81" s="2487"/>
      <c r="E81" s="2487"/>
      <c r="F81" s="2487"/>
      <c r="G81" s="2488"/>
      <c r="H81" s="2487"/>
      <c r="I81" s="2488"/>
      <c r="J81" s="2487"/>
      <c r="K81" s="2487"/>
      <c r="L81" s="2488"/>
      <c r="M81" s="2487"/>
      <c r="N81" s="2487"/>
      <c r="O81" s="2488"/>
      <c r="P81" s="2487"/>
      <c r="Q81" s="2487"/>
      <c r="R81" s="2489"/>
    </row>
    <row r="82" spans="2:18" s="798" customFormat="1">
      <c r="B82" s="2487"/>
      <c r="C82" s="2487"/>
      <c r="D82" s="2487"/>
      <c r="E82" s="2487"/>
      <c r="F82" s="2487"/>
      <c r="G82" s="2488"/>
      <c r="H82" s="2487"/>
      <c r="I82" s="2488"/>
      <c r="J82" s="2487"/>
      <c r="K82" s="2487"/>
      <c r="L82" s="2488"/>
      <c r="M82" s="2487"/>
      <c r="N82" s="2487"/>
      <c r="O82" s="2488"/>
      <c r="P82" s="2487"/>
      <c r="Q82" s="2487"/>
      <c r="R82" s="2489"/>
    </row>
    <row r="83" spans="2:18" s="798" customFormat="1">
      <c r="B83" s="2487"/>
      <c r="C83" s="2487"/>
      <c r="D83" s="2487"/>
      <c r="E83" s="2487"/>
      <c r="F83" s="2487"/>
      <c r="G83" s="2488"/>
      <c r="H83" s="2487"/>
      <c r="I83" s="2488"/>
      <c r="J83" s="2487"/>
      <c r="K83" s="2487"/>
      <c r="L83" s="2488"/>
      <c r="M83" s="2487"/>
      <c r="N83" s="2487"/>
      <c r="O83" s="2488"/>
      <c r="P83" s="2487"/>
      <c r="Q83" s="2487"/>
      <c r="R83" s="2489"/>
    </row>
    <row r="84" spans="2:18" s="798" customFormat="1">
      <c r="B84" s="2487"/>
      <c r="C84" s="2487"/>
      <c r="D84" s="2487"/>
      <c r="E84" s="2487"/>
      <c r="F84" s="2487"/>
      <c r="G84" s="2488"/>
      <c r="H84" s="2487"/>
      <c r="I84" s="2488"/>
      <c r="J84" s="2487"/>
      <c r="K84" s="2487"/>
      <c r="L84" s="2488"/>
      <c r="M84" s="2487"/>
      <c r="N84" s="2487"/>
      <c r="O84" s="2488"/>
      <c r="P84" s="2487"/>
      <c r="Q84" s="2487"/>
      <c r="R84" s="2489"/>
    </row>
    <row r="85" spans="2:18" s="798" customFormat="1">
      <c r="B85" s="2487"/>
      <c r="C85" s="2487"/>
      <c r="D85" s="2487"/>
      <c r="E85" s="2487"/>
      <c r="F85" s="2487"/>
      <c r="G85" s="2488"/>
      <c r="H85" s="2487"/>
      <c r="I85" s="2488"/>
      <c r="J85" s="2487"/>
      <c r="K85" s="2487"/>
      <c r="L85" s="2488"/>
      <c r="M85" s="2487"/>
      <c r="N85" s="2487"/>
      <c r="O85" s="2488"/>
      <c r="P85" s="2487"/>
      <c r="Q85" s="2487"/>
      <c r="R85" s="2489"/>
    </row>
    <row r="86" spans="2:18" s="798" customFormat="1">
      <c r="B86" s="2487"/>
      <c r="C86" s="2487"/>
      <c r="D86" s="2487"/>
      <c r="E86" s="2487"/>
      <c r="F86" s="2487"/>
      <c r="G86" s="2488"/>
      <c r="H86" s="2487"/>
      <c r="I86" s="2488"/>
      <c r="J86" s="2487"/>
      <c r="K86" s="2487"/>
      <c r="L86" s="2488"/>
      <c r="M86" s="2487"/>
      <c r="N86" s="2487"/>
      <c r="O86" s="2488"/>
      <c r="P86" s="2487"/>
      <c r="Q86" s="2487"/>
      <c r="R86" s="2489"/>
    </row>
    <row r="87" spans="2:18" s="798" customFormat="1">
      <c r="B87" s="2487"/>
      <c r="C87" s="2487"/>
      <c r="D87" s="2487"/>
      <c r="E87" s="2487"/>
      <c r="F87" s="2487"/>
      <c r="G87" s="2488"/>
      <c r="H87" s="2487"/>
      <c r="I87" s="2488"/>
      <c r="J87" s="2487"/>
      <c r="K87" s="2487"/>
      <c r="L87" s="2488"/>
      <c r="M87" s="2487"/>
      <c r="N87" s="2487"/>
      <c r="O87" s="2488"/>
      <c r="P87" s="2487"/>
      <c r="Q87" s="2487"/>
      <c r="R87" s="2489"/>
    </row>
    <row r="88" spans="2:18" s="798" customFormat="1">
      <c r="B88" s="2487"/>
      <c r="C88" s="2487"/>
      <c r="D88" s="2487"/>
      <c r="E88" s="2487"/>
      <c r="F88" s="2487"/>
      <c r="G88" s="2488"/>
      <c r="H88" s="2487"/>
      <c r="I88" s="2488"/>
      <c r="J88" s="2487"/>
      <c r="K88" s="2487"/>
      <c r="L88" s="2488"/>
      <c r="M88" s="2487"/>
      <c r="N88" s="2487"/>
      <c r="O88" s="2488"/>
      <c r="P88" s="2487"/>
      <c r="Q88" s="2487"/>
      <c r="R88" s="2489"/>
    </row>
    <row r="89" spans="2:18" s="798" customFormat="1">
      <c r="B89" s="2487"/>
      <c r="C89" s="2487"/>
      <c r="D89" s="2487"/>
      <c r="E89" s="2487"/>
      <c r="F89" s="2487"/>
      <c r="G89" s="2488"/>
      <c r="H89" s="2487"/>
      <c r="I89" s="2488"/>
      <c r="J89" s="2487"/>
      <c r="K89" s="2487"/>
      <c r="L89" s="2488"/>
      <c r="M89" s="2487"/>
      <c r="N89" s="2487"/>
      <c r="O89" s="2488"/>
      <c r="P89" s="2487"/>
      <c r="Q89" s="2487"/>
      <c r="R89" s="2489"/>
    </row>
    <row r="90" spans="2:18" s="798" customFormat="1">
      <c r="B90" s="2487"/>
      <c r="C90" s="2487"/>
      <c r="D90" s="2487"/>
      <c r="E90" s="2487"/>
      <c r="F90" s="2487"/>
      <c r="G90" s="2488"/>
      <c r="H90" s="2487"/>
      <c r="I90" s="2488"/>
      <c r="J90" s="2487"/>
      <c r="K90" s="2487"/>
      <c r="L90" s="2488"/>
      <c r="M90" s="2487"/>
      <c r="N90" s="2487"/>
      <c r="O90" s="2488"/>
      <c r="P90" s="2487"/>
      <c r="Q90" s="2487"/>
      <c r="R90" s="2489"/>
    </row>
    <row r="91" spans="2:18" s="798" customFormat="1">
      <c r="B91" s="2487"/>
      <c r="C91" s="2487"/>
      <c r="D91" s="2487"/>
      <c r="E91" s="2487"/>
      <c r="F91" s="2487"/>
      <c r="G91" s="2488"/>
      <c r="H91" s="2487"/>
      <c r="I91" s="2488"/>
      <c r="J91" s="2487"/>
      <c r="K91" s="2487"/>
      <c r="L91" s="2488"/>
      <c r="M91" s="2487"/>
      <c r="N91" s="2487"/>
      <c r="O91" s="2488"/>
      <c r="P91" s="2487"/>
      <c r="Q91" s="2487"/>
      <c r="R91" s="2489"/>
    </row>
    <row r="92" spans="2:18" s="798" customFormat="1">
      <c r="B92" s="2487"/>
      <c r="C92" s="2487"/>
      <c r="D92" s="2487"/>
      <c r="E92" s="2487"/>
      <c r="F92" s="2487"/>
      <c r="G92" s="2488"/>
      <c r="H92" s="2487"/>
      <c r="I92" s="2488"/>
      <c r="J92" s="2487"/>
      <c r="K92" s="2487"/>
      <c r="L92" s="2488"/>
      <c r="M92" s="2487"/>
      <c r="N92" s="2487"/>
      <c r="O92" s="2488"/>
      <c r="P92" s="2487"/>
      <c r="Q92" s="2487"/>
      <c r="R92" s="2489"/>
    </row>
    <row r="93" spans="2:18" s="798" customFormat="1">
      <c r="B93" s="2487"/>
      <c r="C93" s="2487"/>
      <c r="D93" s="2487"/>
      <c r="E93" s="2487"/>
      <c r="F93" s="2487"/>
      <c r="G93" s="2488"/>
      <c r="H93" s="2487"/>
      <c r="I93" s="2488"/>
      <c r="J93" s="2487"/>
      <c r="K93" s="2487"/>
      <c r="L93" s="2488"/>
      <c r="M93" s="2487"/>
      <c r="N93" s="2487"/>
      <c r="O93" s="2488"/>
      <c r="P93" s="2487"/>
      <c r="Q93" s="2487"/>
      <c r="R93" s="2489"/>
    </row>
    <row r="94" spans="2:18" s="798" customFormat="1">
      <c r="B94" s="2487"/>
      <c r="C94" s="2487"/>
      <c r="D94" s="2487"/>
      <c r="E94" s="2487"/>
      <c r="F94" s="2487"/>
      <c r="G94" s="2488"/>
      <c r="H94" s="2487"/>
      <c r="I94" s="2488"/>
      <c r="J94" s="2487"/>
      <c r="K94" s="2487"/>
      <c r="L94" s="2488"/>
      <c r="M94" s="2487"/>
      <c r="N94" s="2487"/>
      <c r="O94" s="2488"/>
      <c r="P94" s="2487"/>
      <c r="Q94" s="2487"/>
      <c r="R94" s="2489"/>
    </row>
    <row r="95" spans="2:18" s="798" customFormat="1">
      <c r="B95" s="2487"/>
      <c r="C95" s="2487"/>
      <c r="D95" s="2487"/>
      <c r="E95" s="2487"/>
      <c r="F95" s="2487"/>
      <c r="G95" s="2488"/>
      <c r="H95" s="2487"/>
      <c r="I95" s="2488"/>
      <c r="J95" s="2487"/>
      <c r="K95" s="2487"/>
      <c r="L95" s="2488"/>
      <c r="M95" s="2487"/>
      <c r="N95" s="2487"/>
      <c r="O95" s="2488"/>
      <c r="P95" s="2487"/>
      <c r="Q95" s="2487"/>
      <c r="R95" s="2489"/>
    </row>
    <row r="96" spans="2:18" s="798" customFormat="1">
      <c r="B96" s="2487"/>
      <c r="C96" s="2487"/>
      <c r="D96" s="2487"/>
      <c r="E96" s="2487"/>
      <c r="F96" s="2487"/>
      <c r="G96" s="2488"/>
      <c r="H96" s="2487"/>
      <c r="I96" s="2488"/>
      <c r="J96" s="2487"/>
      <c r="K96" s="2487"/>
      <c r="L96" s="2488"/>
      <c r="M96" s="2487"/>
      <c r="N96" s="2487"/>
      <c r="O96" s="2488"/>
      <c r="P96" s="2487"/>
      <c r="Q96" s="2487"/>
      <c r="R96" s="2489"/>
    </row>
    <row r="97" spans="2:18" s="798" customFormat="1">
      <c r="B97" s="2487"/>
      <c r="C97" s="2487"/>
      <c r="D97" s="2487"/>
      <c r="E97" s="2487"/>
      <c r="F97" s="2487"/>
      <c r="G97" s="2488"/>
      <c r="H97" s="2487"/>
      <c r="I97" s="2488"/>
      <c r="J97" s="2487"/>
      <c r="K97" s="2487"/>
      <c r="L97" s="2488"/>
      <c r="M97" s="2487"/>
      <c r="N97" s="2487"/>
      <c r="O97" s="2488"/>
      <c r="P97" s="2487"/>
      <c r="Q97" s="2487"/>
      <c r="R97" s="2489"/>
    </row>
    <row r="98" spans="2:18" s="798" customFormat="1">
      <c r="B98" s="2487"/>
      <c r="C98" s="2487"/>
      <c r="D98" s="2487"/>
      <c r="E98" s="2487"/>
      <c r="F98" s="2487"/>
      <c r="G98" s="2488"/>
      <c r="H98" s="2487"/>
      <c r="I98" s="2488"/>
      <c r="J98" s="2487"/>
      <c r="K98" s="2487"/>
      <c r="L98" s="2488"/>
      <c r="M98" s="2487"/>
      <c r="N98" s="2487"/>
      <c r="O98" s="2488"/>
      <c r="P98" s="2487"/>
      <c r="Q98" s="2487"/>
      <c r="R98" s="2489"/>
    </row>
    <row r="99" spans="2:18" s="798" customFormat="1">
      <c r="B99" s="2487"/>
      <c r="C99" s="2487"/>
      <c r="D99" s="2487"/>
      <c r="E99" s="2487"/>
      <c r="F99" s="2487"/>
      <c r="G99" s="2488"/>
      <c r="H99" s="2487"/>
      <c r="I99" s="2488"/>
      <c r="J99" s="2487"/>
      <c r="K99" s="2487"/>
      <c r="L99" s="2488"/>
      <c r="M99" s="2487"/>
      <c r="N99" s="2487"/>
      <c r="O99" s="2488"/>
      <c r="P99" s="2487"/>
      <c r="Q99" s="2487"/>
      <c r="R99" s="2489"/>
    </row>
    <row r="100" spans="2:18" s="798" customFormat="1">
      <c r="B100" s="2487"/>
      <c r="C100" s="2487"/>
      <c r="D100" s="2487"/>
      <c r="E100" s="2487"/>
      <c r="F100" s="2487"/>
      <c r="G100" s="2488"/>
      <c r="H100" s="2487"/>
      <c r="I100" s="2488"/>
      <c r="J100" s="2487"/>
      <c r="K100" s="2487"/>
      <c r="L100" s="2488"/>
      <c r="M100" s="2487"/>
      <c r="N100" s="2487"/>
      <c r="O100" s="2488"/>
      <c r="P100" s="2487"/>
      <c r="Q100" s="2487"/>
      <c r="R100" s="2489"/>
    </row>
    <row r="101" spans="2:18" s="798" customFormat="1">
      <c r="B101" s="2487"/>
      <c r="C101" s="2487"/>
      <c r="D101" s="2487"/>
      <c r="E101" s="2487"/>
      <c r="F101" s="2487"/>
      <c r="G101" s="2488"/>
      <c r="H101" s="2487"/>
      <c r="I101" s="2488"/>
      <c r="J101" s="2487"/>
      <c r="K101" s="2487"/>
      <c r="L101" s="2488"/>
      <c r="M101" s="2487"/>
      <c r="N101" s="2487"/>
      <c r="O101" s="2488"/>
      <c r="P101" s="2487"/>
      <c r="Q101" s="2487"/>
      <c r="R101" s="2489"/>
    </row>
    <row r="102" spans="2:18" s="798" customFormat="1">
      <c r="B102" s="2487"/>
      <c r="C102" s="2487"/>
      <c r="D102" s="2487"/>
      <c r="E102" s="2487"/>
      <c r="F102" s="2487"/>
      <c r="G102" s="2488"/>
      <c r="H102" s="2487"/>
      <c r="I102" s="2488"/>
      <c r="J102" s="2487"/>
      <c r="K102" s="2487"/>
      <c r="L102" s="2488"/>
      <c r="M102" s="2487"/>
      <c r="N102" s="2487"/>
      <c r="O102" s="2488"/>
      <c r="P102" s="2487"/>
      <c r="Q102" s="2487"/>
      <c r="R102" s="2489"/>
    </row>
    <row r="103" spans="2:18" s="798" customFormat="1">
      <c r="B103" s="2487"/>
      <c r="C103" s="2487"/>
      <c r="D103" s="2487"/>
      <c r="E103" s="2487"/>
      <c r="F103" s="2487"/>
      <c r="G103" s="2488"/>
      <c r="H103" s="2487"/>
      <c r="I103" s="2488"/>
      <c r="J103" s="2487"/>
      <c r="K103" s="2487"/>
      <c r="L103" s="2488"/>
      <c r="M103" s="2487"/>
      <c r="N103" s="2487"/>
      <c r="O103" s="2488"/>
      <c r="P103" s="2487"/>
      <c r="Q103" s="2487"/>
      <c r="R103" s="2489"/>
    </row>
    <row r="104" spans="2:18" s="798" customFormat="1">
      <c r="B104" s="2487"/>
      <c r="C104" s="2487"/>
      <c r="D104" s="2487"/>
      <c r="E104" s="2487"/>
      <c r="F104" s="2487"/>
      <c r="G104" s="2488"/>
      <c r="H104" s="2487"/>
      <c r="I104" s="2488"/>
      <c r="J104" s="2487"/>
      <c r="K104" s="2487"/>
      <c r="L104" s="2488"/>
      <c r="M104" s="2487"/>
      <c r="N104" s="2487"/>
      <c r="O104" s="2488"/>
      <c r="P104" s="2487"/>
      <c r="Q104" s="2487"/>
      <c r="R104" s="2489"/>
    </row>
    <row r="105" spans="2:18" s="798" customFormat="1">
      <c r="B105" s="2487"/>
      <c r="C105" s="2487"/>
      <c r="D105" s="2487"/>
      <c r="E105" s="2487"/>
      <c r="F105" s="2487"/>
      <c r="G105" s="2488"/>
      <c r="H105" s="2487"/>
      <c r="I105" s="2488"/>
      <c r="J105" s="2487"/>
      <c r="K105" s="2487"/>
      <c r="L105" s="2488"/>
      <c r="M105" s="2487"/>
      <c r="N105" s="2487"/>
      <c r="O105" s="2488"/>
      <c r="P105" s="2487"/>
      <c r="Q105" s="2487"/>
      <c r="R105" s="2489"/>
    </row>
    <row r="106" spans="2:18" s="798" customFormat="1">
      <c r="B106" s="2487"/>
      <c r="C106" s="2487"/>
      <c r="D106" s="2487"/>
      <c r="E106" s="2487"/>
      <c r="F106" s="2487"/>
      <c r="G106" s="2488"/>
      <c r="H106" s="2487"/>
      <c r="I106" s="2488"/>
      <c r="J106" s="2487"/>
      <c r="K106" s="2487"/>
      <c r="L106" s="2488"/>
      <c r="M106" s="2487"/>
      <c r="N106" s="2487"/>
      <c r="O106" s="2488"/>
      <c r="P106" s="2487"/>
      <c r="Q106" s="2487"/>
      <c r="R106" s="2489"/>
    </row>
    <row r="107" spans="2:18" s="798" customFormat="1">
      <c r="B107" s="2487"/>
      <c r="C107" s="2487"/>
      <c r="D107" s="2487"/>
      <c r="E107" s="2487"/>
      <c r="F107" s="2487"/>
      <c r="G107" s="2488"/>
      <c r="H107" s="2487"/>
      <c r="I107" s="2488"/>
      <c r="J107" s="2487"/>
      <c r="K107" s="2487"/>
      <c r="L107" s="2488"/>
      <c r="M107" s="2487"/>
      <c r="N107" s="2487"/>
      <c r="O107" s="2488"/>
      <c r="P107" s="2487"/>
      <c r="Q107" s="2487"/>
      <c r="R107" s="2489"/>
    </row>
    <row r="108" spans="2:18" s="798" customFormat="1">
      <c r="B108" s="2487"/>
      <c r="C108" s="2487"/>
      <c r="D108" s="2487"/>
      <c r="E108" s="2487"/>
      <c r="F108" s="2487"/>
      <c r="G108" s="2488"/>
      <c r="H108" s="2487"/>
      <c r="I108" s="2488"/>
      <c r="J108" s="2487"/>
      <c r="K108" s="2487"/>
      <c r="L108" s="2488"/>
      <c r="M108" s="2487"/>
      <c r="N108" s="2487"/>
      <c r="O108" s="2488"/>
      <c r="P108" s="2487"/>
      <c r="Q108" s="2487"/>
      <c r="R108" s="2489"/>
    </row>
    <row r="109" spans="2:18" s="798" customFormat="1">
      <c r="B109" s="2487"/>
      <c r="C109" s="2487"/>
      <c r="D109" s="2487"/>
      <c r="E109" s="2487"/>
      <c r="F109" s="2487"/>
      <c r="G109" s="2488"/>
      <c r="H109" s="2487"/>
      <c r="I109" s="2488"/>
      <c r="J109" s="2487"/>
      <c r="K109" s="2487"/>
      <c r="L109" s="2488"/>
      <c r="M109" s="2487"/>
      <c r="N109" s="2487"/>
      <c r="O109" s="2488"/>
      <c r="P109" s="2487"/>
      <c r="Q109" s="2487"/>
      <c r="R109" s="2489"/>
    </row>
    <row r="110" spans="2:18" s="798" customFormat="1">
      <c r="B110" s="2487"/>
      <c r="C110" s="2487"/>
      <c r="D110" s="2487"/>
      <c r="E110" s="2487"/>
      <c r="F110" s="2487"/>
      <c r="G110" s="2488"/>
      <c r="H110" s="2487"/>
      <c r="I110" s="2488"/>
      <c r="J110" s="2487"/>
      <c r="K110" s="2487"/>
      <c r="L110" s="2488"/>
      <c r="M110" s="2487"/>
      <c r="N110" s="2487"/>
      <c r="O110" s="2488"/>
      <c r="P110" s="2487"/>
      <c r="Q110" s="2487"/>
      <c r="R110" s="2489"/>
    </row>
    <row r="111" spans="2:18" s="798" customFormat="1">
      <c r="B111" s="2487"/>
      <c r="C111" s="2487"/>
      <c r="D111" s="2487"/>
      <c r="E111" s="2487"/>
      <c r="F111" s="2487"/>
      <c r="G111" s="2488"/>
      <c r="H111" s="2487"/>
      <c r="I111" s="2488"/>
      <c r="J111" s="2487"/>
      <c r="K111" s="2487"/>
      <c r="L111" s="2488"/>
      <c r="M111" s="2487"/>
      <c r="N111" s="2487"/>
      <c r="O111" s="2488"/>
      <c r="P111" s="2487"/>
      <c r="Q111" s="2487"/>
      <c r="R111" s="2489"/>
    </row>
    <row r="112" spans="2:18" s="798" customFormat="1">
      <c r="B112" s="2487"/>
      <c r="C112" s="2487"/>
      <c r="D112" s="2487"/>
      <c r="E112" s="2487"/>
      <c r="F112" s="2487"/>
      <c r="G112" s="2488"/>
      <c r="H112" s="2487"/>
      <c r="I112" s="2488"/>
      <c r="J112" s="2487"/>
      <c r="K112" s="2487"/>
      <c r="L112" s="2488"/>
      <c r="M112" s="2487"/>
      <c r="N112" s="2487"/>
      <c r="O112" s="2488"/>
      <c r="P112" s="2487"/>
      <c r="Q112" s="2487"/>
      <c r="R112" s="2489"/>
    </row>
    <row r="113" spans="2:18" s="798" customFormat="1">
      <c r="B113" s="2487"/>
      <c r="C113" s="2487"/>
      <c r="D113" s="2487"/>
      <c r="E113" s="2487"/>
      <c r="F113" s="2487"/>
      <c r="G113" s="2488"/>
      <c r="H113" s="2487"/>
      <c r="I113" s="2488"/>
      <c r="J113" s="2487"/>
      <c r="K113" s="2487"/>
      <c r="L113" s="2488"/>
      <c r="M113" s="2487"/>
      <c r="N113" s="2487"/>
      <c r="O113" s="2488"/>
      <c r="P113" s="2487"/>
      <c r="Q113" s="2487"/>
      <c r="R113" s="2489"/>
    </row>
    <row r="114" spans="2:18" s="798" customFormat="1">
      <c r="B114" s="2487"/>
      <c r="C114" s="2487"/>
      <c r="D114" s="2487"/>
      <c r="E114" s="2487"/>
      <c r="F114" s="2487"/>
      <c r="G114" s="2488"/>
      <c r="H114" s="2487"/>
      <c r="I114" s="2488"/>
      <c r="J114" s="2487"/>
      <c r="K114" s="2487"/>
      <c r="L114" s="2488"/>
      <c r="M114" s="2487"/>
      <c r="N114" s="2487"/>
      <c r="O114" s="2488"/>
      <c r="P114" s="2487"/>
      <c r="Q114" s="2487"/>
      <c r="R114" s="2489"/>
    </row>
    <row r="115" spans="2:18" s="798" customFormat="1">
      <c r="B115" s="2487"/>
      <c r="C115" s="2487"/>
      <c r="D115" s="2487"/>
      <c r="E115" s="2487"/>
      <c r="F115" s="2487"/>
      <c r="G115" s="2488"/>
      <c r="H115" s="2487"/>
      <c r="I115" s="2488"/>
      <c r="J115" s="2487"/>
      <c r="K115" s="2487"/>
      <c r="L115" s="2488"/>
      <c r="M115" s="2487"/>
      <c r="N115" s="2487"/>
      <c r="O115" s="2488"/>
      <c r="P115" s="2487"/>
      <c r="Q115" s="2487"/>
      <c r="R115" s="2489"/>
    </row>
    <row r="116" spans="2:18" s="798" customFormat="1">
      <c r="B116" s="2487"/>
      <c r="C116" s="2487"/>
      <c r="D116" s="2487"/>
      <c r="E116" s="2487"/>
      <c r="F116" s="2487"/>
      <c r="G116" s="2488"/>
      <c r="H116" s="2487"/>
      <c r="I116" s="2488"/>
      <c r="J116" s="2487"/>
      <c r="K116" s="2487"/>
      <c r="L116" s="2488"/>
      <c r="M116" s="2487"/>
      <c r="N116" s="2487"/>
      <c r="O116" s="2488"/>
      <c r="P116" s="2487"/>
      <c r="Q116" s="2487"/>
      <c r="R116" s="2489"/>
    </row>
    <row r="117" spans="2:18" s="798" customFormat="1">
      <c r="B117" s="2487"/>
      <c r="C117" s="2487"/>
      <c r="D117" s="2487"/>
      <c r="E117" s="2487"/>
      <c r="F117" s="2487"/>
      <c r="G117" s="2488"/>
      <c r="H117" s="2487"/>
      <c r="I117" s="2488"/>
      <c r="J117" s="2487"/>
      <c r="K117" s="2487"/>
      <c r="L117" s="2488"/>
      <c r="M117" s="2487"/>
      <c r="N117" s="2487"/>
      <c r="O117" s="2488"/>
      <c r="P117" s="2487"/>
      <c r="Q117" s="2487"/>
      <c r="R117" s="2489"/>
    </row>
    <row r="118" spans="2:18" s="798" customFormat="1">
      <c r="B118" s="2487"/>
      <c r="C118" s="2487"/>
      <c r="D118" s="2487"/>
      <c r="E118" s="2487"/>
      <c r="F118" s="2487"/>
      <c r="G118" s="2488"/>
      <c r="H118" s="2487"/>
      <c r="I118" s="2488"/>
      <c r="J118" s="2487"/>
      <c r="K118" s="2487"/>
      <c r="L118" s="2488"/>
      <c r="M118" s="2487"/>
      <c r="N118" s="2487"/>
      <c r="O118" s="2488"/>
      <c r="P118" s="2487"/>
      <c r="Q118" s="2487"/>
      <c r="R118" s="2489"/>
    </row>
    <row r="119" spans="2:18" s="798" customFormat="1">
      <c r="B119" s="2487"/>
      <c r="C119" s="2487"/>
      <c r="D119" s="2487"/>
      <c r="E119" s="2487"/>
      <c r="F119" s="2487"/>
      <c r="G119" s="2488"/>
      <c r="H119" s="2487"/>
      <c r="I119" s="2488"/>
      <c r="J119" s="2487"/>
      <c r="K119" s="2487"/>
      <c r="L119" s="2488"/>
      <c r="M119" s="2487"/>
      <c r="N119" s="2487"/>
      <c r="O119" s="2488"/>
      <c r="P119" s="2487"/>
      <c r="Q119" s="2487"/>
      <c r="R119" s="2489"/>
    </row>
    <row r="120" spans="2:18" s="798" customFormat="1">
      <c r="B120" s="2487"/>
      <c r="C120" s="2487"/>
      <c r="D120" s="2487"/>
      <c r="E120" s="2487"/>
      <c r="F120" s="2487"/>
      <c r="G120" s="2488"/>
      <c r="H120" s="2487"/>
      <c r="I120" s="2488"/>
      <c r="J120" s="2487"/>
      <c r="K120" s="2487"/>
      <c r="L120" s="2488"/>
      <c r="M120" s="2487"/>
      <c r="N120" s="2487"/>
      <c r="O120" s="2488"/>
      <c r="P120" s="2487"/>
      <c r="Q120" s="2487"/>
      <c r="R120" s="2489"/>
    </row>
    <row r="121" spans="2:18" s="798" customFormat="1">
      <c r="B121" s="2487"/>
      <c r="C121" s="2487"/>
      <c r="D121" s="2487"/>
      <c r="E121" s="2487"/>
      <c r="F121" s="2487"/>
      <c r="G121" s="2488"/>
      <c r="H121" s="2487"/>
      <c r="I121" s="2488"/>
      <c r="J121" s="2487"/>
      <c r="K121" s="2487"/>
      <c r="L121" s="2488"/>
      <c r="M121" s="2487"/>
      <c r="N121" s="2487"/>
      <c r="O121" s="2488"/>
      <c r="P121" s="2487"/>
      <c r="Q121" s="2487"/>
      <c r="R121" s="2489"/>
    </row>
    <row r="122" spans="2:18" s="798" customFormat="1">
      <c r="B122" s="2487"/>
      <c r="C122" s="2487"/>
      <c r="D122" s="2487"/>
      <c r="E122" s="2487"/>
      <c r="F122" s="2487"/>
      <c r="G122" s="2488"/>
      <c r="H122" s="2487"/>
      <c r="I122" s="2488"/>
      <c r="J122" s="2487"/>
      <c r="K122" s="2487"/>
      <c r="L122" s="2488"/>
      <c r="M122" s="2487"/>
      <c r="N122" s="2487"/>
      <c r="O122" s="2488"/>
      <c r="P122" s="2487"/>
      <c r="Q122" s="2487"/>
      <c r="R122" s="2489"/>
    </row>
    <row r="123" spans="2:18" s="798" customFormat="1">
      <c r="B123" s="2487"/>
      <c r="C123" s="2487"/>
      <c r="D123" s="2487"/>
      <c r="E123" s="2487"/>
      <c r="F123" s="2487"/>
      <c r="G123" s="2488"/>
      <c r="H123" s="2487"/>
      <c r="I123" s="2488"/>
      <c r="J123" s="2487"/>
      <c r="K123" s="2487"/>
      <c r="L123" s="2488"/>
      <c r="M123" s="2487"/>
      <c r="N123" s="2487"/>
      <c r="O123" s="2488"/>
      <c r="P123" s="2487"/>
      <c r="Q123" s="2487"/>
      <c r="R123" s="2489"/>
    </row>
    <row r="124" spans="2:18" s="798" customFormat="1">
      <c r="B124" s="2487"/>
      <c r="C124" s="2487"/>
      <c r="D124" s="2487"/>
      <c r="E124" s="2487"/>
      <c r="F124" s="2487"/>
      <c r="G124" s="2488"/>
      <c r="H124" s="2487"/>
      <c r="I124" s="2488"/>
      <c r="J124" s="2487"/>
      <c r="K124" s="2487"/>
      <c r="L124" s="2488"/>
      <c r="M124" s="2487"/>
      <c r="N124" s="2487"/>
      <c r="O124" s="2488"/>
      <c r="P124" s="2487"/>
      <c r="Q124" s="2487"/>
      <c r="R124" s="2489"/>
    </row>
    <row r="125" spans="2:18" s="798" customFormat="1">
      <c r="B125" s="2487"/>
      <c r="C125" s="2487"/>
      <c r="D125" s="2487"/>
      <c r="E125" s="2487"/>
      <c r="F125" s="2487"/>
      <c r="G125" s="2488"/>
      <c r="H125" s="2487"/>
      <c r="I125" s="2488"/>
      <c r="J125" s="2487"/>
      <c r="K125" s="2487"/>
      <c r="L125" s="2488"/>
      <c r="M125" s="2487"/>
      <c r="N125" s="2487"/>
      <c r="O125" s="2488"/>
      <c r="P125" s="2487"/>
      <c r="Q125" s="2487"/>
      <c r="R125" s="2489"/>
    </row>
    <row r="126" spans="2:18" s="798" customFormat="1">
      <c r="B126" s="2487"/>
      <c r="C126" s="2487"/>
      <c r="D126" s="2487"/>
      <c r="E126" s="2487"/>
      <c r="F126" s="2487"/>
      <c r="G126" s="2488"/>
      <c r="H126" s="2487"/>
      <c r="I126" s="2488"/>
      <c r="J126" s="2487"/>
      <c r="K126" s="2487"/>
      <c r="L126" s="2488"/>
      <c r="M126" s="2487"/>
      <c r="N126" s="2487"/>
      <c r="O126" s="2488"/>
      <c r="P126" s="2487"/>
      <c r="Q126" s="2487"/>
      <c r="R126" s="2489"/>
    </row>
    <row r="127" spans="2:18" s="798" customFormat="1">
      <c r="B127" s="2487"/>
      <c r="C127" s="2487"/>
      <c r="D127" s="2487"/>
      <c r="E127" s="2487"/>
      <c r="F127" s="2487"/>
      <c r="G127" s="2488"/>
      <c r="H127" s="2487"/>
      <c r="I127" s="2488"/>
      <c r="J127" s="2487"/>
      <c r="K127" s="2487"/>
      <c r="L127" s="2488"/>
      <c r="M127" s="2487"/>
      <c r="N127" s="2487"/>
      <c r="O127" s="2488"/>
      <c r="P127" s="2487"/>
      <c r="Q127" s="2487"/>
      <c r="R127" s="2489"/>
    </row>
    <row r="128" spans="2:18" s="798" customFormat="1">
      <c r="B128" s="2487"/>
      <c r="C128" s="2487"/>
      <c r="D128" s="2487"/>
      <c r="E128" s="2487"/>
      <c r="F128" s="2487"/>
      <c r="G128" s="2488"/>
      <c r="H128" s="2487"/>
      <c r="I128" s="2488"/>
      <c r="J128" s="2487"/>
      <c r="K128" s="2487"/>
      <c r="L128" s="2488"/>
      <c r="M128" s="2487"/>
      <c r="N128" s="2487"/>
      <c r="O128" s="2488"/>
      <c r="P128" s="2487"/>
      <c r="Q128" s="2487"/>
      <c r="R128" s="2489"/>
    </row>
    <row r="129" spans="2:18" s="798" customFormat="1">
      <c r="B129" s="2487"/>
      <c r="C129" s="2487"/>
      <c r="D129" s="2487"/>
      <c r="E129" s="2487"/>
      <c r="F129" s="2487"/>
      <c r="G129" s="2488"/>
      <c r="H129" s="2487"/>
      <c r="I129" s="2488"/>
      <c r="J129" s="2487"/>
      <c r="K129" s="2487"/>
      <c r="L129" s="2488"/>
      <c r="M129" s="2487"/>
      <c r="N129" s="2487"/>
      <c r="O129" s="2488"/>
      <c r="P129" s="2487"/>
      <c r="Q129" s="2487"/>
      <c r="R129" s="2489"/>
    </row>
    <row r="130" spans="2:18" s="798" customFormat="1">
      <c r="B130" s="2487"/>
      <c r="C130" s="2487"/>
      <c r="D130" s="2487"/>
      <c r="E130" s="2487"/>
      <c r="F130" s="2487"/>
      <c r="G130" s="2488"/>
      <c r="H130" s="2487"/>
      <c r="I130" s="2488"/>
      <c r="J130" s="2487"/>
      <c r="K130" s="2487"/>
      <c r="L130" s="2488"/>
      <c r="M130" s="2487"/>
      <c r="N130" s="2487"/>
      <c r="O130" s="2488"/>
      <c r="P130" s="2487"/>
      <c r="Q130" s="2487"/>
      <c r="R130" s="2489"/>
    </row>
    <row r="131" spans="2:18" s="798" customFormat="1">
      <c r="B131" s="2487"/>
      <c r="C131" s="2487"/>
      <c r="D131" s="2487"/>
      <c r="E131" s="2487"/>
      <c r="F131" s="2487"/>
      <c r="G131" s="2488"/>
      <c r="H131" s="2487"/>
      <c r="I131" s="2488"/>
      <c r="J131" s="2487"/>
      <c r="K131" s="2487"/>
      <c r="L131" s="2488"/>
      <c r="M131" s="2487"/>
      <c r="N131" s="2487"/>
      <c r="O131" s="2488"/>
      <c r="P131" s="2487"/>
      <c r="Q131" s="2487"/>
      <c r="R131" s="2489"/>
    </row>
    <row r="132" spans="2:18" s="798" customFormat="1">
      <c r="B132" s="2487"/>
      <c r="C132" s="2487"/>
      <c r="D132" s="2487"/>
      <c r="E132" s="2487"/>
      <c r="F132" s="2487"/>
      <c r="G132" s="2488"/>
      <c r="H132" s="2487"/>
      <c r="I132" s="2488"/>
      <c r="J132" s="2487"/>
      <c r="K132" s="2487"/>
      <c r="L132" s="2488"/>
      <c r="M132" s="2487"/>
      <c r="N132" s="2487"/>
      <c r="O132" s="2488"/>
      <c r="P132" s="2487"/>
      <c r="Q132" s="2487"/>
      <c r="R132" s="2489"/>
    </row>
    <row r="133" spans="2:18" s="798" customFormat="1">
      <c r="B133" s="2487"/>
      <c r="C133" s="2487"/>
      <c r="D133" s="2487"/>
      <c r="E133" s="2487"/>
      <c r="F133" s="2487"/>
      <c r="G133" s="2488"/>
      <c r="H133" s="2487"/>
      <c r="I133" s="2488"/>
      <c r="J133" s="2487"/>
      <c r="K133" s="2487"/>
      <c r="L133" s="2488"/>
      <c r="M133" s="2487"/>
      <c r="N133" s="2487"/>
      <c r="O133" s="2488"/>
      <c r="P133" s="2487"/>
      <c r="Q133" s="2487"/>
      <c r="R133" s="2489"/>
    </row>
    <row r="134" spans="2:18" s="798" customFormat="1">
      <c r="B134" s="2487"/>
      <c r="C134" s="2487"/>
      <c r="D134" s="2487"/>
      <c r="E134" s="2487"/>
      <c r="F134" s="2487"/>
      <c r="G134" s="2488"/>
      <c r="H134" s="2487"/>
      <c r="I134" s="2488"/>
      <c r="J134" s="2487"/>
      <c r="K134" s="2487"/>
      <c r="L134" s="2488"/>
      <c r="M134" s="2487"/>
      <c r="N134" s="2487"/>
      <c r="O134" s="2488"/>
      <c r="P134" s="2487"/>
      <c r="Q134" s="2487"/>
      <c r="R134" s="2489"/>
    </row>
    <row r="135" spans="2:18" s="798" customFormat="1">
      <c r="B135" s="2487"/>
      <c r="C135" s="2487"/>
      <c r="D135" s="2487"/>
      <c r="E135" s="2487"/>
      <c r="F135" s="2487"/>
      <c r="G135" s="2488"/>
      <c r="H135" s="2487"/>
      <c r="I135" s="2488"/>
      <c r="J135" s="2487"/>
      <c r="K135" s="2487"/>
      <c r="L135" s="2488"/>
      <c r="M135" s="2487"/>
      <c r="N135" s="2487"/>
      <c r="O135" s="2488"/>
      <c r="P135" s="2487"/>
      <c r="Q135" s="2487"/>
      <c r="R135" s="2489"/>
    </row>
    <row r="136" spans="2:18" s="798" customFormat="1">
      <c r="B136" s="2487"/>
      <c r="C136" s="2487"/>
      <c r="D136" s="2487"/>
      <c r="E136" s="2487"/>
      <c r="F136" s="2487"/>
      <c r="G136" s="2488"/>
      <c r="H136" s="2487"/>
      <c r="I136" s="2488"/>
      <c r="J136" s="2487"/>
      <c r="K136" s="2487"/>
      <c r="L136" s="2488"/>
      <c r="M136" s="2487"/>
      <c r="N136" s="2487"/>
      <c r="O136" s="2488"/>
      <c r="P136" s="2487"/>
      <c r="Q136" s="2487"/>
      <c r="R136" s="2489"/>
    </row>
    <row r="137" spans="2:18" s="798" customFormat="1">
      <c r="B137" s="2487"/>
      <c r="C137" s="2487"/>
      <c r="D137" s="2487"/>
      <c r="E137" s="2487"/>
      <c r="F137" s="2487"/>
      <c r="G137" s="2488"/>
      <c r="H137" s="2487"/>
      <c r="I137" s="2488"/>
      <c r="J137" s="2487"/>
      <c r="K137" s="2487"/>
      <c r="L137" s="2488"/>
      <c r="M137" s="2487"/>
      <c r="N137" s="2487"/>
      <c r="O137" s="2488"/>
      <c r="P137" s="2487"/>
      <c r="Q137" s="2487"/>
      <c r="R137" s="2489"/>
    </row>
    <row r="138" spans="2:18" s="798" customFormat="1">
      <c r="B138" s="2487"/>
      <c r="C138" s="2487"/>
      <c r="D138" s="2487"/>
      <c r="E138" s="2487"/>
      <c r="F138" s="2487"/>
      <c r="G138" s="2488"/>
      <c r="H138" s="2487"/>
      <c r="I138" s="2488"/>
      <c r="J138" s="2487"/>
      <c r="K138" s="2487"/>
      <c r="L138" s="2488"/>
      <c r="M138" s="2487"/>
      <c r="N138" s="2487"/>
      <c r="O138" s="2488"/>
      <c r="P138" s="2487"/>
      <c r="Q138" s="2487"/>
      <c r="R138" s="2489"/>
    </row>
    <row r="139" spans="2:18" s="798" customFormat="1">
      <c r="B139" s="2487"/>
      <c r="C139" s="2487"/>
      <c r="D139" s="2487"/>
      <c r="E139" s="2487"/>
      <c r="F139" s="2487"/>
      <c r="G139" s="2488"/>
      <c r="H139" s="2487"/>
      <c r="I139" s="2488"/>
      <c r="J139" s="2487"/>
      <c r="K139" s="2487"/>
      <c r="L139" s="2488"/>
      <c r="M139" s="2487"/>
      <c r="N139" s="2487"/>
      <c r="O139" s="2488"/>
      <c r="P139" s="2487"/>
      <c r="Q139" s="2487"/>
      <c r="R139" s="2489"/>
    </row>
    <row r="140" spans="2:18" s="798" customFormat="1">
      <c r="B140" s="2487"/>
      <c r="C140" s="2487"/>
      <c r="D140" s="2487"/>
      <c r="E140" s="2487"/>
      <c r="F140" s="2487"/>
      <c r="G140" s="2488"/>
      <c r="H140" s="2487"/>
      <c r="I140" s="2488"/>
      <c r="J140" s="2487"/>
      <c r="K140" s="2487"/>
      <c r="L140" s="2488"/>
      <c r="M140" s="2487"/>
      <c r="N140" s="2487"/>
      <c r="O140" s="2488"/>
      <c r="P140" s="2487"/>
      <c r="Q140" s="2487"/>
      <c r="R140" s="2489"/>
    </row>
    <row r="141" spans="2:18" s="798" customFormat="1">
      <c r="B141" s="2487"/>
      <c r="C141" s="2487"/>
      <c r="D141" s="2487"/>
      <c r="E141" s="2487"/>
      <c r="F141" s="2487"/>
      <c r="G141" s="2488"/>
      <c r="H141" s="2487"/>
      <c r="I141" s="2488"/>
      <c r="J141" s="2487"/>
      <c r="K141" s="2487"/>
      <c r="L141" s="2488"/>
      <c r="M141" s="2487"/>
      <c r="N141" s="2487"/>
      <c r="O141" s="2488"/>
      <c r="P141" s="2487"/>
      <c r="Q141" s="2487"/>
      <c r="R141" s="2489"/>
    </row>
    <row r="142" spans="2:18" s="798" customFormat="1">
      <c r="B142" s="2487"/>
      <c r="C142" s="2487"/>
      <c r="D142" s="2487"/>
      <c r="E142" s="2487"/>
      <c r="F142" s="2487"/>
      <c r="G142" s="2488"/>
      <c r="H142" s="2487"/>
      <c r="I142" s="2488"/>
      <c r="J142" s="2487"/>
      <c r="K142" s="2487"/>
      <c r="L142" s="2488"/>
      <c r="M142" s="2487"/>
      <c r="N142" s="2487"/>
      <c r="O142" s="2488"/>
      <c r="P142" s="2487"/>
      <c r="Q142" s="2487"/>
      <c r="R142" s="2489"/>
    </row>
    <row r="143" spans="2:18" s="798" customFormat="1">
      <c r="B143" s="2487"/>
      <c r="C143" s="2487"/>
      <c r="D143" s="2487"/>
      <c r="E143" s="2487"/>
      <c r="F143" s="2487"/>
      <c r="G143" s="2488"/>
      <c r="H143" s="2487"/>
      <c r="I143" s="2488"/>
      <c r="J143" s="2487"/>
      <c r="K143" s="2487"/>
      <c r="L143" s="2488"/>
      <c r="M143" s="2487"/>
      <c r="N143" s="2487"/>
      <c r="O143" s="2488"/>
      <c r="P143" s="2487"/>
      <c r="Q143" s="2487"/>
      <c r="R143" s="2489"/>
    </row>
    <row r="144" spans="2:18" s="798" customFormat="1">
      <c r="B144" s="2487"/>
      <c r="C144" s="2487"/>
      <c r="D144" s="2487"/>
      <c r="E144" s="2487"/>
      <c r="F144" s="2487"/>
      <c r="G144" s="2488"/>
      <c r="H144" s="2487"/>
      <c r="I144" s="2488"/>
      <c r="J144" s="2487"/>
      <c r="K144" s="2487"/>
      <c r="L144" s="2488"/>
      <c r="M144" s="2487"/>
      <c r="N144" s="2487"/>
      <c r="O144" s="2488"/>
      <c r="P144" s="2487"/>
      <c r="Q144" s="2487"/>
      <c r="R144" s="2489"/>
    </row>
    <row r="145" spans="2:18" s="798" customFormat="1">
      <c r="B145" s="2487"/>
      <c r="C145" s="2487"/>
      <c r="D145" s="2487"/>
      <c r="E145" s="2487"/>
      <c r="F145" s="2487"/>
      <c r="G145" s="2488"/>
      <c r="H145" s="2487"/>
      <c r="I145" s="2488"/>
      <c r="J145" s="2487"/>
      <c r="K145" s="2487"/>
      <c r="L145" s="2488"/>
      <c r="M145" s="2487"/>
      <c r="N145" s="2487"/>
      <c r="O145" s="2488"/>
      <c r="P145" s="2487"/>
      <c r="Q145" s="2487"/>
      <c r="R145" s="2489"/>
    </row>
    <row r="146" spans="2:18" s="798" customFormat="1">
      <c r="B146" s="2487"/>
      <c r="C146" s="2487"/>
      <c r="D146" s="2487"/>
      <c r="E146" s="2487"/>
      <c r="F146" s="2487"/>
      <c r="G146" s="2488"/>
      <c r="H146" s="2487"/>
      <c r="I146" s="2488"/>
      <c r="J146" s="2487"/>
      <c r="K146" s="2487"/>
      <c r="L146" s="2488"/>
      <c r="M146" s="2487"/>
      <c r="N146" s="2487"/>
      <c r="O146" s="2488"/>
      <c r="P146" s="2487"/>
      <c r="Q146" s="2487"/>
      <c r="R146" s="2489"/>
    </row>
    <row r="147" spans="2:18" s="798" customFormat="1">
      <c r="B147" s="2487"/>
      <c r="C147" s="2487"/>
      <c r="D147" s="2487"/>
      <c r="E147" s="2487"/>
      <c r="F147" s="2487"/>
      <c r="G147" s="2488"/>
      <c r="H147" s="2487"/>
      <c r="I147" s="2488"/>
      <c r="J147" s="2487"/>
      <c r="K147" s="2487"/>
      <c r="L147" s="2488"/>
      <c r="M147" s="2487"/>
      <c r="N147" s="2487"/>
      <c r="O147" s="2488"/>
      <c r="P147" s="2487"/>
      <c r="Q147" s="2487"/>
      <c r="R147" s="2489"/>
    </row>
    <row r="148" spans="2:18" s="798" customFormat="1">
      <c r="B148" s="2487"/>
      <c r="C148" s="2487"/>
      <c r="D148" s="2487"/>
      <c r="E148" s="2487"/>
      <c r="F148" s="2487"/>
      <c r="G148" s="2488"/>
      <c r="H148" s="2487"/>
      <c r="I148" s="2488"/>
      <c r="J148" s="2487"/>
      <c r="K148" s="2487"/>
      <c r="L148" s="2488"/>
      <c r="M148" s="2487"/>
      <c r="N148" s="2487"/>
      <c r="O148" s="2488"/>
      <c r="P148" s="2487"/>
      <c r="Q148" s="2487"/>
      <c r="R148" s="2489"/>
    </row>
    <row r="149" spans="2:18" s="798" customFormat="1">
      <c r="B149" s="2487"/>
      <c r="C149" s="2487"/>
      <c r="D149" s="2487"/>
      <c r="E149" s="2487"/>
      <c r="F149" s="2487"/>
      <c r="G149" s="2488"/>
      <c r="H149" s="2487"/>
      <c r="I149" s="2488"/>
      <c r="J149" s="2487"/>
      <c r="K149" s="2487"/>
      <c r="L149" s="2488"/>
      <c r="M149" s="2487"/>
      <c r="N149" s="2487"/>
      <c r="O149" s="2488"/>
      <c r="P149" s="2487"/>
      <c r="Q149" s="2487"/>
      <c r="R149" s="2489"/>
    </row>
    <row r="150" spans="2:18" s="798" customFormat="1">
      <c r="B150" s="2487"/>
      <c r="C150" s="2487"/>
      <c r="D150" s="2487"/>
      <c r="E150" s="2487"/>
      <c r="F150" s="2487"/>
      <c r="G150" s="2488"/>
      <c r="H150" s="2487"/>
      <c r="I150" s="2488"/>
      <c r="J150" s="2487"/>
      <c r="K150" s="2487"/>
      <c r="L150" s="2488"/>
      <c r="M150" s="2487"/>
      <c r="N150" s="2487"/>
      <c r="O150" s="2488"/>
      <c r="P150" s="2487"/>
      <c r="Q150" s="2487"/>
      <c r="R150" s="2489"/>
    </row>
    <row r="151" spans="2:18" s="798" customFormat="1">
      <c r="B151" s="2487"/>
      <c r="C151" s="2487"/>
      <c r="D151" s="2487"/>
      <c r="E151" s="2487"/>
      <c r="F151" s="2487"/>
      <c r="G151" s="2488"/>
      <c r="H151" s="2487"/>
      <c r="I151" s="2488"/>
      <c r="J151" s="2487"/>
      <c r="K151" s="2487"/>
      <c r="L151" s="2488"/>
      <c r="M151" s="2487"/>
      <c r="N151" s="2487"/>
      <c r="O151" s="2488"/>
      <c r="P151" s="2487"/>
      <c r="Q151" s="2487"/>
      <c r="R151" s="2489"/>
    </row>
    <row r="152" spans="2:18" s="798" customFormat="1">
      <c r="B152" s="2487"/>
      <c r="C152" s="2487"/>
      <c r="D152" s="2487"/>
      <c r="E152" s="2487"/>
      <c r="F152" s="2487"/>
      <c r="G152" s="2488"/>
      <c r="H152" s="2487"/>
      <c r="I152" s="2488"/>
      <c r="J152" s="2487"/>
      <c r="K152" s="2487"/>
      <c r="L152" s="2488"/>
      <c r="M152" s="2487"/>
      <c r="N152" s="2487"/>
      <c r="O152" s="2488"/>
      <c r="P152" s="2487"/>
      <c r="Q152" s="2487"/>
      <c r="R152" s="2489"/>
    </row>
    <row r="153" spans="2:18" s="798" customFormat="1">
      <c r="B153" s="2487"/>
      <c r="C153" s="2487"/>
      <c r="D153" s="2487"/>
      <c r="E153" s="2487"/>
      <c r="F153" s="2487"/>
      <c r="G153" s="2488"/>
      <c r="H153" s="2487"/>
      <c r="I153" s="2488"/>
      <c r="J153" s="2487"/>
      <c r="K153" s="2487"/>
      <c r="L153" s="2488"/>
      <c r="M153" s="2487"/>
      <c r="N153" s="2487"/>
      <c r="O153" s="2488"/>
      <c r="P153" s="2487"/>
      <c r="Q153" s="2487"/>
      <c r="R153" s="2489"/>
    </row>
    <row r="154" spans="2:18" s="798" customFormat="1">
      <c r="B154" s="2487"/>
      <c r="C154" s="2487"/>
      <c r="D154" s="2487"/>
      <c r="E154" s="2487"/>
      <c r="F154" s="2487"/>
      <c r="G154" s="2488"/>
      <c r="H154" s="2487"/>
      <c r="I154" s="2488"/>
      <c r="J154" s="2487"/>
      <c r="K154" s="2487"/>
      <c r="L154" s="2488"/>
      <c r="M154" s="2487"/>
      <c r="N154" s="2487"/>
      <c r="O154" s="2488"/>
      <c r="P154" s="2487"/>
      <c r="Q154" s="2487"/>
      <c r="R154" s="2489"/>
    </row>
    <row r="155" spans="2:18" s="798" customFormat="1">
      <c r="B155" s="2487"/>
      <c r="C155" s="2487"/>
      <c r="D155" s="2487"/>
      <c r="E155" s="2487"/>
      <c r="F155" s="2487"/>
      <c r="G155" s="2488"/>
      <c r="H155" s="2487"/>
      <c r="I155" s="2488"/>
      <c r="J155" s="2487"/>
      <c r="K155" s="2487"/>
      <c r="L155" s="2488"/>
      <c r="M155" s="2487"/>
      <c r="N155" s="2487"/>
      <c r="O155" s="2488"/>
      <c r="P155" s="2487"/>
      <c r="Q155" s="2487"/>
      <c r="R155" s="2489"/>
    </row>
    <row r="156" spans="2:18" s="798" customFormat="1">
      <c r="B156" s="2487"/>
      <c r="C156" s="2487"/>
      <c r="D156" s="2487"/>
      <c r="E156" s="2487"/>
      <c r="F156" s="2487"/>
      <c r="G156" s="2488"/>
      <c r="H156" s="2487"/>
      <c r="I156" s="2488"/>
      <c r="J156" s="2487"/>
      <c r="K156" s="2487"/>
      <c r="L156" s="2488"/>
      <c r="M156" s="2487"/>
      <c r="N156" s="2487"/>
      <c r="O156" s="2488"/>
      <c r="P156" s="2487"/>
      <c r="Q156" s="2487"/>
      <c r="R156" s="2489"/>
    </row>
    <row r="157" spans="2:18" s="798" customFormat="1">
      <c r="B157" s="2487"/>
      <c r="C157" s="2487"/>
      <c r="D157" s="2487"/>
      <c r="E157" s="2487"/>
      <c r="F157" s="2487"/>
      <c r="G157" s="2488"/>
      <c r="H157" s="2487"/>
      <c r="I157" s="2488"/>
      <c r="J157" s="2487"/>
      <c r="K157" s="2487"/>
      <c r="L157" s="2488"/>
      <c r="M157" s="2487"/>
      <c r="N157" s="2487"/>
      <c r="O157" s="2488"/>
      <c r="P157" s="2487"/>
      <c r="Q157" s="2487"/>
      <c r="R157" s="2489"/>
    </row>
    <row r="158" spans="2:18" s="798" customFormat="1">
      <c r="B158" s="2487"/>
      <c r="C158" s="2487"/>
      <c r="D158" s="2487"/>
      <c r="E158" s="2487"/>
      <c r="F158" s="2487"/>
      <c r="G158" s="2488"/>
      <c r="H158" s="2487"/>
      <c r="I158" s="2488"/>
      <c r="J158" s="2487"/>
      <c r="K158" s="2487"/>
      <c r="L158" s="2488"/>
      <c r="M158" s="2487"/>
      <c r="N158" s="2487"/>
      <c r="O158" s="2488"/>
      <c r="P158" s="2487"/>
      <c r="Q158" s="2487"/>
      <c r="R158" s="2489"/>
    </row>
    <row r="159" spans="2:18" s="798" customFormat="1">
      <c r="B159" s="2487"/>
      <c r="C159" s="2487"/>
      <c r="D159" s="2487"/>
      <c r="E159" s="2487"/>
      <c r="F159" s="2487"/>
      <c r="G159" s="2488"/>
      <c r="H159" s="2487"/>
      <c r="I159" s="2488"/>
      <c r="J159" s="2487"/>
      <c r="K159" s="2487"/>
      <c r="L159" s="2488"/>
      <c r="M159" s="2487"/>
      <c r="N159" s="2487"/>
      <c r="O159" s="2488"/>
      <c r="P159" s="2487"/>
      <c r="Q159" s="2487"/>
      <c r="R159" s="2489"/>
    </row>
    <row r="160" spans="2:18" s="798" customFormat="1">
      <c r="B160" s="2487"/>
      <c r="C160" s="2487"/>
      <c r="D160" s="2487"/>
      <c r="E160" s="2487"/>
      <c r="F160" s="2487"/>
      <c r="G160" s="2488"/>
      <c r="H160" s="2487"/>
      <c r="I160" s="2488"/>
      <c r="J160" s="2487"/>
      <c r="K160" s="2487"/>
      <c r="L160" s="2488"/>
      <c r="M160" s="2487"/>
      <c r="N160" s="2487"/>
      <c r="O160" s="2488"/>
      <c r="P160" s="2487"/>
      <c r="Q160" s="2487"/>
      <c r="R160" s="2489"/>
    </row>
    <row r="161" spans="2:18" s="798" customFormat="1">
      <c r="B161" s="2487"/>
      <c r="C161" s="2487"/>
      <c r="D161" s="2487"/>
      <c r="E161" s="2487"/>
      <c r="F161" s="2487"/>
      <c r="G161" s="2488"/>
      <c r="H161" s="2487"/>
      <c r="I161" s="2488"/>
      <c r="J161" s="2487"/>
      <c r="K161" s="2487"/>
      <c r="L161" s="2488"/>
      <c r="M161" s="2487"/>
      <c r="N161" s="2487"/>
      <c r="O161" s="2488"/>
      <c r="P161" s="2487"/>
      <c r="Q161" s="2487"/>
      <c r="R161" s="2489"/>
    </row>
    <row r="162" spans="2:18" s="798" customFormat="1">
      <c r="B162" s="2487"/>
      <c r="C162" s="2487"/>
      <c r="D162" s="2487"/>
      <c r="E162" s="2487"/>
      <c r="F162" s="2487"/>
      <c r="G162" s="2488"/>
      <c r="H162" s="2487"/>
      <c r="I162" s="2488"/>
      <c r="J162" s="2487"/>
      <c r="K162" s="2487"/>
      <c r="L162" s="2488"/>
      <c r="M162" s="2487"/>
      <c r="N162" s="2487"/>
      <c r="O162" s="2488"/>
      <c r="P162" s="2487"/>
      <c r="Q162" s="2487"/>
      <c r="R162" s="2489"/>
    </row>
    <row r="163" spans="2:18" s="798" customFormat="1">
      <c r="B163" s="2487"/>
      <c r="C163" s="2487"/>
      <c r="D163" s="2487"/>
      <c r="E163" s="2487"/>
      <c r="F163" s="2487"/>
      <c r="G163" s="2488"/>
      <c r="H163" s="2487"/>
      <c r="I163" s="2488"/>
      <c r="J163" s="2487"/>
      <c r="K163" s="2487"/>
      <c r="L163" s="2488"/>
      <c r="M163" s="2487"/>
      <c r="N163" s="2487"/>
      <c r="O163" s="2488"/>
      <c r="P163" s="2487"/>
      <c r="Q163" s="2487"/>
      <c r="R163" s="2489"/>
    </row>
    <row r="164" spans="2:18" s="798" customFormat="1">
      <c r="B164" s="2487"/>
      <c r="C164" s="2487"/>
      <c r="D164" s="2487"/>
      <c r="E164" s="2487"/>
      <c r="F164" s="2487"/>
      <c r="G164" s="2488"/>
      <c r="H164" s="2487"/>
      <c r="I164" s="2488"/>
      <c r="J164" s="2487"/>
      <c r="K164" s="2487"/>
      <c r="L164" s="2488"/>
      <c r="M164" s="2487"/>
      <c r="N164" s="2487"/>
      <c r="O164" s="2488"/>
      <c r="P164" s="2487"/>
      <c r="Q164" s="2487"/>
      <c r="R164" s="2489"/>
    </row>
    <row r="165" spans="2:18" s="798" customFormat="1">
      <c r="B165" s="2487"/>
      <c r="C165" s="2487"/>
      <c r="D165" s="2487"/>
      <c r="E165" s="2487"/>
      <c r="F165" s="2487"/>
      <c r="G165" s="2488"/>
      <c r="H165" s="2487"/>
      <c r="I165" s="2488"/>
      <c r="J165" s="2487"/>
      <c r="K165" s="2487"/>
      <c r="L165" s="2488"/>
      <c r="M165" s="2487"/>
      <c r="N165" s="2487"/>
      <c r="O165" s="2488"/>
      <c r="P165" s="2487"/>
      <c r="Q165" s="2487"/>
      <c r="R165" s="2489"/>
    </row>
    <row r="166" spans="2:18" s="798" customFormat="1">
      <c r="B166" s="2487"/>
      <c r="C166" s="2487"/>
      <c r="D166" s="2487"/>
      <c r="E166" s="2487"/>
      <c r="F166" s="2487"/>
      <c r="G166" s="2488"/>
      <c r="H166" s="2487"/>
      <c r="I166" s="2488"/>
      <c r="J166" s="2487"/>
      <c r="K166" s="2487"/>
      <c r="L166" s="2488"/>
      <c r="M166" s="2487"/>
      <c r="N166" s="2487"/>
      <c r="O166" s="2488"/>
      <c r="P166" s="2487"/>
      <c r="Q166" s="2487"/>
      <c r="R166" s="2489"/>
    </row>
    <row r="167" spans="2:18" s="798" customFormat="1">
      <c r="B167" s="2487"/>
      <c r="C167" s="2487"/>
      <c r="D167" s="2487"/>
      <c r="E167" s="2487"/>
      <c r="F167" s="2487"/>
      <c r="G167" s="2488"/>
      <c r="H167" s="2487"/>
      <c r="I167" s="2488"/>
      <c r="J167" s="2487"/>
      <c r="K167" s="2487"/>
      <c r="L167" s="2488"/>
      <c r="M167" s="2487"/>
      <c r="N167" s="2487"/>
      <c r="O167" s="2488"/>
      <c r="P167" s="2487"/>
      <c r="Q167" s="2487"/>
      <c r="R167" s="2489"/>
    </row>
    <row r="168" spans="2:18" s="798" customFormat="1">
      <c r="B168" s="2487"/>
      <c r="C168" s="2487"/>
      <c r="D168" s="2487"/>
      <c r="E168" s="2487"/>
      <c r="F168" s="2487"/>
      <c r="G168" s="2488"/>
      <c r="H168" s="2487"/>
      <c r="I168" s="2488"/>
      <c r="J168" s="2487"/>
      <c r="K168" s="2487"/>
      <c r="L168" s="2488"/>
      <c r="M168" s="2487"/>
      <c r="N168" s="2487"/>
      <c r="O168" s="2488"/>
      <c r="P168" s="2487"/>
      <c r="Q168" s="2487"/>
      <c r="R168" s="2489"/>
    </row>
    <row r="169" spans="2:18" s="798" customFormat="1">
      <c r="B169" s="2487"/>
      <c r="C169" s="2487"/>
      <c r="D169" s="2487"/>
      <c r="E169" s="2487"/>
      <c r="F169" s="2487"/>
      <c r="G169" s="2488"/>
      <c r="H169" s="2487"/>
      <c r="I169" s="2488"/>
      <c r="J169" s="2487"/>
      <c r="K169" s="2487"/>
      <c r="L169" s="2488"/>
      <c r="M169" s="2487"/>
      <c r="N169" s="2487"/>
      <c r="O169" s="2488"/>
      <c r="P169" s="2487"/>
      <c r="Q169" s="2487"/>
      <c r="R169" s="2489"/>
    </row>
    <row r="170" spans="2:18" s="798" customFormat="1">
      <c r="B170" s="2487"/>
      <c r="C170" s="2487"/>
      <c r="D170" s="2487"/>
      <c r="E170" s="2487"/>
      <c r="F170" s="2487"/>
      <c r="G170" s="2488"/>
      <c r="H170" s="2487"/>
      <c r="I170" s="2488"/>
      <c r="J170" s="2487"/>
      <c r="K170" s="2487"/>
      <c r="L170" s="2488"/>
      <c r="M170" s="2487"/>
      <c r="N170" s="2487"/>
      <c r="O170" s="2488"/>
      <c r="P170" s="2487"/>
      <c r="Q170" s="2487"/>
      <c r="R170" s="2489"/>
    </row>
    <row r="171" spans="2:18" s="798" customFormat="1">
      <c r="B171" s="2487"/>
      <c r="C171" s="2487"/>
      <c r="D171" s="2487"/>
      <c r="E171" s="2487"/>
      <c r="F171" s="2487"/>
      <c r="G171" s="2488"/>
      <c r="H171" s="2487"/>
      <c r="I171" s="2488"/>
      <c r="J171" s="2487"/>
      <c r="K171" s="2487"/>
      <c r="L171" s="2488"/>
      <c r="M171" s="2487"/>
      <c r="N171" s="2487"/>
      <c r="O171" s="2488"/>
      <c r="P171" s="2487"/>
      <c r="Q171" s="2487"/>
      <c r="R171" s="2489"/>
    </row>
    <row r="172" spans="2:18" s="798" customFormat="1">
      <c r="B172" s="2487"/>
      <c r="C172" s="2487"/>
      <c r="D172" s="2487"/>
      <c r="E172" s="2487"/>
      <c r="F172" s="2487"/>
      <c r="G172" s="2488"/>
      <c r="H172" s="2487"/>
      <c r="I172" s="2488"/>
      <c r="J172" s="2487"/>
      <c r="K172" s="2487"/>
      <c r="L172" s="2488"/>
      <c r="M172" s="2487"/>
      <c r="N172" s="2487"/>
      <c r="O172" s="2488"/>
      <c r="P172" s="2487"/>
      <c r="Q172" s="2487"/>
      <c r="R172" s="2489"/>
    </row>
    <row r="173" spans="2:18" s="798" customFormat="1">
      <c r="B173" s="2487"/>
      <c r="C173" s="2487"/>
      <c r="D173" s="2487"/>
      <c r="E173" s="2487"/>
      <c r="F173" s="2487"/>
      <c r="G173" s="2488"/>
      <c r="H173" s="2487"/>
      <c r="I173" s="2488"/>
      <c r="J173" s="2487"/>
      <c r="K173" s="2487"/>
      <c r="L173" s="2488"/>
      <c r="M173" s="2487"/>
      <c r="N173" s="2487"/>
      <c r="O173" s="2488"/>
      <c r="P173" s="2487"/>
      <c r="Q173" s="2487"/>
      <c r="R173" s="2489"/>
    </row>
    <row r="174" spans="2:18" s="798" customFormat="1">
      <c r="B174" s="2487"/>
      <c r="C174" s="2487"/>
      <c r="D174" s="2487"/>
      <c r="E174" s="2487"/>
      <c r="F174" s="2487"/>
      <c r="G174" s="2488"/>
      <c r="H174" s="2487"/>
      <c r="I174" s="2488"/>
      <c r="J174" s="2487"/>
      <c r="K174" s="2487"/>
      <c r="L174" s="2488"/>
      <c r="M174" s="2487"/>
      <c r="N174" s="2487"/>
      <c r="O174" s="2488"/>
      <c r="P174" s="2487"/>
      <c r="Q174" s="2487"/>
      <c r="R174" s="2489"/>
    </row>
    <row r="175" spans="2:18" s="798" customFormat="1">
      <c r="B175" s="2487"/>
      <c r="C175" s="2487"/>
      <c r="D175" s="2487"/>
      <c r="E175" s="2487"/>
      <c r="F175" s="2487"/>
      <c r="G175" s="2488"/>
      <c r="H175" s="2487"/>
      <c r="I175" s="2488"/>
      <c r="J175" s="2487"/>
      <c r="K175" s="2487"/>
      <c r="L175" s="2488"/>
      <c r="M175" s="2487"/>
      <c r="N175" s="2487"/>
      <c r="O175" s="2488"/>
      <c r="P175" s="2487"/>
      <c r="Q175" s="2487"/>
      <c r="R175" s="2489"/>
    </row>
    <row r="176" spans="2:18" s="798" customFormat="1">
      <c r="B176" s="2487"/>
      <c r="C176" s="2487"/>
      <c r="D176" s="2487"/>
      <c r="E176" s="2487"/>
      <c r="F176" s="2487"/>
      <c r="G176" s="2488"/>
      <c r="H176" s="2487"/>
      <c r="I176" s="2488"/>
      <c r="J176" s="2487"/>
      <c r="K176" s="2487"/>
      <c r="L176" s="2488"/>
      <c r="M176" s="2487"/>
      <c r="N176" s="2487"/>
      <c r="O176" s="2488"/>
      <c r="P176" s="2487"/>
      <c r="Q176" s="2487"/>
      <c r="R176" s="2489"/>
    </row>
    <row r="177" spans="1:18" s="798" customFormat="1">
      <c r="B177" s="2487"/>
      <c r="C177" s="2487"/>
      <c r="D177" s="2487"/>
      <c r="E177" s="2487"/>
      <c r="F177" s="2487"/>
      <c r="G177" s="2488"/>
      <c r="H177" s="2487"/>
      <c r="I177" s="2488"/>
      <c r="J177" s="2487"/>
      <c r="K177" s="2487"/>
      <c r="L177" s="2488"/>
      <c r="M177" s="2487"/>
      <c r="N177" s="2487"/>
      <c r="O177" s="2488"/>
      <c r="P177" s="2487"/>
      <c r="Q177" s="2487"/>
      <c r="R177" s="2489"/>
    </row>
    <row r="178" spans="1:18" s="798" customFormat="1">
      <c r="B178" s="2487"/>
      <c r="C178" s="2487"/>
      <c r="D178" s="2487"/>
      <c r="E178" s="2487"/>
      <c r="F178" s="2487"/>
      <c r="G178" s="2488"/>
      <c r="H178" s="2487"/>
      <c r="I178" s="2488"/>
      <c r="J178" s="2487"/>
      <c r="K178" s="2487"/>
      <c r="L178" s="2488"/>
      <c r="M178" s="2487"/>
      <c r="N178" s="2487"/>
      <c r="O178" s="2488"/>
      <c r="P178" s="2487"/>
      <c r="Q178" s="2487"/>
      <c r="R178" s="2489"/>
    </row>
    <row r="179" spans="1:18" s="798" customFormat="1">
      <c r="B179" s="2487"/>
      <c r="C179" s="2487"/>
      <c r="D179" s="2487"/>
      <c r="E179" s="2487"/>
      <c r="F179" s="2487"/>
      <c r="G179" s="2488"/>
      <c r="H179" s="2487"/>
      <c r="I179" s="2488"/>
      <c r="J179" s="2487"/>
      <c r="K179" s="2487"/>
      <c r="L179" s="2488"/>
      <c r="M179" s="2487"/>
      <c r="N179" s="2487"/>
      <c r="O179" s="2488"/>
      <c r="P179" s="2487"/>
      <c r="Q179" s="2487"/>
      <c r="R179" s="2489"/>
    </row>
    <row r="180" spans="1:18" s="798" customFormat="1">
      <c r="B180" s="2487"/>
      <c r="C180" s="2487"/>
      <c r="D180" s="2487"/>
      <c r="E180" s="2487"/>
      <c r="F180" s="2487"/>
      <c r="G180" s="2488"/>
      <c r="H180" s="2487"/>
      <c r="I180" s="2488"/>
      <c r="J180" s="2487"/>
      <c r="K180" s="2487"/>
      <c r="L180" s="2488"/>
      <c r="M180" s="2487"/>
      <c r="N180" s="2487"/>
      <c r="O180" s="2488"/>
      <c r="P180" s="2487"/>
      <c r="Q180" s="2487"/>
      <c r="R180" s="2489"/>
    </row>
    <row r="181" spans="1:18" s="798" customFormat="1">
      <c r="B181" s="2487"/>
      <c r="C181" s="2487"/>
      <c r="D181" s="2487"/>
      <c r="E181" s="2487"/>
      <c r="F181" s="2487"/>
      <c r="G181" s="2488"/>
      <c r="H181" s="2487"/>
      <c r="I181" s="2488"/>
      <c r="J181" s="2487"/>
      <c r="K181" s="2487"/>
      <c r="L181" s="2488"/>
      <c r="M181" s="2487"/>
      <c r="N181" s="2487"/>
      <c r="O181" s="2488"/>
      <c r="P181" s="2487"/>
      <c r="Q181" s="2487"/>
      <c r="R181" s="2489"/>
    </row>
    <row r="182" spans="1:18" s="798" customFormat="1">
      <c r="B182" s="2487"/>
      <c r="C182" s="2487"/>
      <c r="D182" s="2487"/>
      <c r="E182" s="2487"/>
      <c r="F182" s="2487"/>
      <c r="G182" s="2488"/>
      <c r="H182" s="2487"/>
      <c r="I182" s="2488"/>
      <c r="J182" s="2487"/>
      <c r="K182" s="2487"/>
      <c r="L182" s="2488"/>
      <c r="M182" s="2487"/>
      <c r="N182" s="2487"/>
      <c r="O182" s="2488"/>
      <c r="P182" s="2487"/>
      <c r="Q182" s="2487"/>
      <c r="R182" s="2489"/>
    </row>
    <row r="183" spans="1:18" s="798" customFormat="1">
      <c r="B183" s="2487"/>
      <c r="C183" s="2487"/>
      <c r="D183" s="2487"/>
      <c r="E183" s="2487"/>
      <c r="F183" s="2487"/>
      <c r="G183" s="2488"/>
      <c r="H183" s="2487"/>
      <c r="I183" s="2488"/>
      <c r="J183" s="2487"/>
      <c r="K183" s="2487"/>
      <c r="L183" s="2488"/>
      <c r="M183" s="2487"/>
      <c r="N183" s="2487"/>
      <c r="O183" s="2488"/>
      <c r="P183" s="2487"/>
      <c r="Q183" s="2487"/>
      <c r="R183" s="2489"/>
    </row>
    <row r="184" spans="1:18" s="798" customFormat="1">
      <c r="B184" s="2487"/>
      <c r="C184" s="2487"/>
      <c r="D184" s="2487"/>
      <c r="E184" s="2487"/>
      <c r="F184" s="2487"/>
      <c r="G184" s="2488"/>
      <c r="H184" s="2487"/>
      <c r="I184" s="2488"/>
      <c r="J184" s="2487"/>
      <c r="K184" s="2487"/>
      <c r="L184" s="2488"/>
      <c r="M184" s="2487"/>
      <c r="N184" s="2487"/>
      <c r="O184" s="2488"/>
      <c r="P184" s="2487"/>
      <c r="Q184" s="2487"/>
      <c r="R184" s="2489"/>
    </row>
    <row r="185" spans="1:18" s="798"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8"/>
      <c r="B186" s="2487"/>
      <c r="C186" s="2487"/>
      <c r="E186" s="2487"/>
      <c r="F186" s="2487"/>
      <c r="G186" s="2488"/>
    </row>
    <row r="187" spans="1:18">
      <c r="A187" s="798"/>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O20" sqref="O20"/>
    </sheetView>
  </sheetViews>
  <sheetFormatPr defaultColWidth="9" defaultRowHeight="13.5"/>
  <cols>
    <col min="1" max="1" width="25" style="2509" customWidth="1"/>
    <col min="2" max="9" width="15.75" style="2509" customWidth="1"/>
    <col min="10" max="16384" width="9" style="2509"/>
  </cols>
  <sheetData>
    <row r="1" spans="1:11" ht="16.5">
      <c r="A1" s="2508" t="s">
        <v>663</v>
      </c>
      <c r="B1" s="2508">
        <f>SUM(B14:B23)</f>
        <v>6634.57</v>
      </c>
      <c r="C1" s="2682"/>
      <c r="D1" s="2682"/>
      <c r="E1" s="2682"/>
      <c r="F1" s="2682"/>
      <c r="G1" s="2683"/>
      <c r="H1" s="2684"/>
      <c r="I1" s="2684"/>
      <c r="J1" s="2684"/>
      <c r="K1" s="2684"/>
    </row>
    <row r="2" spans="1:11" ht="16.5">
      <c r="A2" s="2508" t="s">
        <v>651</v>
      </c>
      <c r="B2" s="2508">
        <f>SUM(C14:C23)</f>
        <v>0</v>
      </c>
      <c r="C2" s="2682"/>
      <c r="D2" s="2682"/>
      <c r="E2" s="2682"/>
      <c r="F2" s="2682"/>
      <c r="G2" s="2683"/>
      <c r="H2" s="2684"/>
      <c r="I2" s="2684"/>
      <c r="J2" s="2684"/>
      <c r="K2" s="2684"/>
    </row>
    <row r="3" spans="1:11" ht="16.5">
      <c r="A3" s="2508" t="s">
        <v>660</v>
      </c>
      <c r="B3" s="2510">
        <f>项目基本情况!D3</f>
        <v>45498</v>
      </c>
      <c r="C3" s="2682"/>
      <c r="D3" s="2682"/>
      <c r="E3" s="2682"/>
      <c r="F3" s="2682"/>
      <c r="G3" s="2683"/>
      <c r="H3" s="2684"/>
      <c r="I3" s="2684"/>
      <c r="J3" s="2684"/>
      <c r="K3" s="2684"/>
    </row>
    <row r="4" spans="1:11" ht="33">
      <c r="A4" s="2508" t="s">
        <v>659</v>
      </c>
      <c r="B4" s="2508" t="s">
        <v>658</v>
      </c>
      <c r="C4" s="2508" t="s">
        <v>657</v>
      </c>
      <c r="D4" s="2508" t="s">
        <v>656</v>
      </c>
      <c r="E4" s="2682"/>
      <c r="F4" s="2683"/>
      <c r="G4" s="2683"/>
      <c r="H4" s="2684"/>
      <c r="I4" s="2684"/>
      <c r="J4" s="2684"/>
      <c r="K4" s="2684"/>
    </row>
    <row r="5" spans="1:11" ht="16.5">
      <c r="A5" s="2508" t="s">
        <v>655</v>
      </c>
      <c r="B5" s="2508">
        <f ca="1">SUM(D14:D23)</f>
        <v>40056</v>
      </c>
      <c r="C5" s="2508">
        <f ca="1">IF(B5=D14,结果表!H102,ROUND(B5*10000/$B$1,0))</f>
        <v>60375</v>
      </c>
      <c r="D5" s="2508" t="e">
        <f ca="1">ROUND(B5*10000/$B$2,0)</f>
        <v>#DIV/0!</v>
      </c>
      <c r="E5" s="2682"/>
      <c r="F5" s="2683"/>
      <c r="G5" s="2683"/>
      <c r="H5" s="2684"/>
      <c r="I5" s="2684"/>
      <c r="J5" s="2684"/>
      <c r="K5" s="2684"/>
    </row>
    <row r="6" spans="1:11" ht="16.5">
      <c r="A6" s="2508" t="s">
        <v>654</v>
      </c>
      <c r="B6" s="2508">
        <f ca="1">SUM(G14:G23)</f>
        <v>76394</v>
      </c>
      <c r="C6" s="2508">
        <f ca="1">IF(B6=G14,结果表!H108,ROUND(B6*10000/$B$1,0))</f>
        <v>115145</v>
      </c>
      <c r="D6" s="2508" t="e">
        <f ca="1">ROUND(B6*10000/$B$2,0)</f>
        <v>#DIV/0!</v>
      </c>
      <c r="E6" s="2682"/>
      <c r="F6" s="2683"/>
      <c r="G6" s="2683"/>
      <c r="H6" s="2684"/>
      <c r="I6" s="2684"/>
      <c r="J6" s="2684"/>
      <c r="K6" s="2684"/>
    </row>
    <row r="7" spans="1:11" ht="16.5">
      <c r="A7" s="2508" t="s">
        <v>662</v>
      </c>
      <c r="B7" s="2508">
        <f>SUM(H14:H23)</f>
        <v>0</v>
      </c>
      <c r="C7" s="2508" t="str">
        <f>IF(B7=H14,结果表!H110,ROUND(B7*10000/$B$1,0))</f>
        <v>——</v>
      </c>
      <c r="D7" s="2508" t="e">
        <f>ROUND(B7*10000/$B$2,0)</f>
        <v>#DIV/0!</v>
      </c>
      <c r="E7" s="2682"/>
      <c r="F7" s="2683"/>
      <c r="G7" s="2683"/>
      <c r="H7" s="2684"/>
      <c r="I7" s="2684"/>
      <c r="J7" s="2684"/>
      <c r="K7" s="2684"/>
    </row>
    <row r="8" spans="1:11" ht="16.5">
      <c r="A8" s="2508" t="s">
        <v>587</v>
      </c>
      <c r="B8" s="2508">
        <f>SUM(I14:I23)</f>
        <v>0</v>
      </c>
      <c r="C8" s="2508" t="str">
        <f>IF(B8=I14,结果表!H112,ROUND(B8*10000/$B$1,0))</f>
        <v>——</v>
      </c>
      <c r="D8" s="2508" t="e">
        <f>ROUND(B8*10000/$B$2,0)</f>
        <v>#DIV/0!</v>
      </c>
      <c r="E8" s="2682"/>
      <c r="F8" s="2683"/>
      <c r="G8" s="2683"/>
      <c r="H8" s="2684"/>
      <c r="I8" s="2684"/>
      <c r="J8" s="2684"/>
      <c r="K8" s="2684"/>
    </row>
    <row r="9" spans="1:11" ht="16.5">
      <c r="A9" s="2508" t="s">
        <v>653</v>
      </c>
      <c r="B9" s="2516"/>
      <c r="C9" s="2682"/>
      <c r="D9" s="2682"/>
      <c r="E9" s="2682"/>
      <c r="F9" s="2683"/>
      <c r="G9" s="2683"/>
      <c r="H9" s="2684"/>
      <c r="I9" s="2684"/>
      <c r="J9" s="2684"/>
      <c r="K9" s="2684"/>
    </row>
    <row r="10" spans="1:11" ht="16.5">
      <c r="A10" s="2508" t="s">
        <v>652</v>
      </c>
      <c r="B10" s="2508">
        <f>IF(E10="",0,ROUND(B1*(E10*365/G10)/10000,0))</f>
        <v>0</v>
      </c>
      <c r="C10" s="2508" t="s">
        <v>3353</v>
      </c>
      <c r="D10" s="2508" t="s">
        <v>3354</v>
      </c>
      <c r="E10" s="3437"/>
      <c r="F10" s="3441" t="s">
        <v>3355</v>
      </c>
      <c r="G10" s="3438"/>
      <c r="H10" s="2684"/>
      <c r="I10" s="2684"/>
      <c r="J10" s="2684"/>
      <c r="K10" s="2684"/>
    </row>
    <row r="11" spans="1:11" ht="16.5">
      <c r="A11" s="2508" t="s">
        <v>668</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667</v>
      </c>
      <c r="B13" s="2512" t="s">
        <v>664</v>
      </c>
      <c r="C13" s="2512" t="s">
        <v>666</v>
      </c>
      <c r="D13" s="2512" t="s">
        <v>665</v>
      </c>
      <c r="E13" s="2508" t="s">
        <v>657</v>
      </c>
      <c r="F13" s="2508" t="s">
        <v>656</v>
      </c>
      <c r="G13" s="2512" t="s">
        <v>650</v>
      </c>
      <c r="H13" s="2512" t="s">
        <v>661</v>
      </c>
      <c r="I13" s="2512" t="s">
        <v>649</v>
      </c>
      <c r="J13" s="2683"/>
    </row>
    <row r="14" spans="1:11" ht="16.5">
      <c r="A14" s="2513" t="s">
        <v>3574</v>
      </c>
      <c r="B14" s="2514">
        <f>典型户型修正!B22</f>
        <v>1243.8699999999999</v>
      </c>
      <c r="C14" s="2514"/>
      <c r="D14" s="2514">
        <f ca="1">典型户型修正!S22</f>
        <v>5162</v>
      </c>
      <c r="E14" s="2514">
        <f ca="1">ROUND(D14*10000/B14,0)</f>
        <v>41500</v>
      </c>
      <c r="F14" s="2514" t="e">
        <f ca="1">ROUND(D14*10000/C14,0)</f>
        <v>#DIV/0!</v>
      </c>
      <c r="G14" s="2514">
        <f ca="1">E14</f>
        <v>41500</v>
      </c>
      <c r="H14" s="2514"/>
      <c r="I14" s="2514"/>
      <c r="J14" s="2683"/>
    </row>
    <row r="15" spans="1:11" ht="16.5">
      <c r="A15" s="2513" t="s">
        <v>3575</v>
      </c>
      <c r="B15" s="2514">
        <f>'典型户型修正 (2)'!B22</f>
        <v>5390.7</v>
      </c>
      <c r="C15" s="2514"/>
      <c r="D15" s="2514">
        <f ca="1">'典型户型修正 (2)'!S22</f>
        <v>34894</v>
      </c>
      <c r="E15" s="2514">
        <f t="shared" ref="E15:E23" ca="1" si="0">ROUND(D15*10000/B15,0)</f>
        <v>64730</v>
      </c>
      <c r="F15" s="2514" t="e">
        <f t="shared" ref="F15:F23" ca="1" si="1">ROUND(D15*10000/C15,0)</f>
        <v>#DIV/0!</v>
      </c>
      <c r="G15" s="2514">
        <f ca="1">D15</f>
        <v>34894</v>
      </c>
      <c r="H15" s="2514"/>
      <c r="I15" s="2514"/>
      <c r="J15" s="2683"/>
    </row>
    <row r="16" spans="1:11" ht="16.5">
      <c r="A16" s="2513" t="s">
        <v>648</v>
      </c>
      <c r="B16" s="2515"/>
      <c r="C16" s="2515"/>
      <c r="D16" s="2515"/>
      <c r="E16" s="2514" t="e">
        <f t="shared" si="0"/>
        <v>#DIV/0!</v>
      </c>
      <c r="F16" s="2514" t="e">
        <f t="shared" si="1"/>
        <v>#DIV/0!</v>
      </c>
      <c r="G16" s="1329"/>
      <c r="H16" s="1329"/>
      <c r="I16" s="2515"/>
      <c r="J16" s="2684"/>
    </row>
    <row r="17" spans="1:11" ht="16.5">
      <c r="A17" s="2513" t="s">
        <v>647</v>
      </c>
      <c r="B17" s="2515"/>
      <c r="C17" s="2515"/>
      <c r="D17" s="2515"/>
      <c r="E17" s="2514" t="e">
        <f t="shared" si="0"/>
        <v>#DIV/0!</v>
      </c>
      <c r="F17" s="2514" t="e">
        <f t="shared" si="1"/>
        <v>#DIV/0!</v>
      </c>
      <c r="G17" s="1329"/>
      <c r="H17" s="1329"/>
      <c r="I17" s="2515"/>
      <c r="J17" s="2684"/>
    </row>
    <row r="18" spans="1:11" ht="16.5">
      <c r="A18" s="2513" t="s">
        <v>646</v>
      </c>
      <c r="B18" s="2515"/>
      <c r="C18" s="2515"/>
      <c r="D18" s="2515"/>
      <c r="E18" s="2514" t="e">
        <f t="shared" si="0"/>
        <v>#DIV/0!</v>
      </c>
      <c r="F18" s="2514" t="e">
        <f t="shared" si="1"/>
        <v>#DIV/0!</v>
      </c>
      <c r="G18" s="2515"/>
      <c r="H18" s="2515"/>
      <c r="I18" s="2515"/>
      <c r="J18" s="2684"/>
    </row>
    <row r="19" spans="1:11" ht="16.5">
      <c r="A19" s="2513" t="s">
        <v>645</v>
      </c>
      <c r="B19" s="2515"/>
      <c r="C19" s="2515"/>
      <c r="D19" s="2515"/>
      <c r="E19" s="2514" t="e">
        <f t="shared" si="0"/>
        <v>#DIV/0!</v>
      </c>
      <c r="F19" s="2514" t="e">
        <f t="shared" si="1"/>
        <v>#DIV/0!</v>
      </c>
      <c r="G19" s="2515"/>
      <c r="H19" s="2515"/>
      <c r="I19" s="2515"/>
      <c r="J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1"/>
  <sheetViews>
    <sheetView workbookViewId="0">
      <selection activeCell="H32" sqref="H32"/>
    </sheetView>
  </sheetViews>
  <sheetFormatPr defaultRowHeight="13.5"/>
  <cols>
    <col min="1" max="1" width="9" style="3477"/>
    <col min="2" max="2" width="13" style="3477" customWidth="1"/>
    <col min="3" max="3" width="14.25" style="3477" customWidth="1"/>
    <col min="4" max="4" width="15.375" style="3477" customWidth="1"/>
    <col min="5" max="5" width="22" style="3477" hidden="1" customWidth="1"/>
    <col min="6" max="6" width="19.25" style="3477" customWidth="1"/>
    <col min="7" max="7" width="12.875" style="3477" customWidth="1"/>
    <col min="8" max="8" width="17.5" style="3477" customWidth="1"/>
    <col min="9" max="9" width="12.125" style="3477" customWidth="1"/>
    <col min="10" max="10" width="9" style="3477"/>
    <col min="11" max="11" width="18.625" style="3477" bestFit="1" customWidth="1"/>
    <col min="12" max="12" width="24" style="3477" bestFit="1" customWidth="1"/>
    <col min="13" max="13" width="9" style="3477" customWidth="1"/>
    <col min="14" max="16384" width="9" style="3477"/>
  </cols>
  <sheetData>
    <row r="1" spans="1:16">
      <c r="G1" s="3471" t="s">
        <v>3411</v>
      </c>
    </row>
    <row r="2" spans="1:16">
      <c r="E2" s="3471" t="s">
        <v>3412</v>
      </c>
      <c r="F2" s="3471">
        <f ca="1">收益法商!C13</f>
        <v>2192507</v>
      </c>
      <c r="G2" s="3471">
        <f ca="1">'结果表 (2)'!G118</f>
        <v>8049</v>
      </c>
    </row>
    <row r="3" spans="1:16">
      <c r="E3" s="3471" t="s">
        <v>3413</v>
      </c>
      <c r="F3" s="3471">
        <f ca="1">'收益法 (元)'!C13</f>
        <v>1054669</v>
      </c>
      <c r="G3" s="3471">
        <f ca="1">结果表!G118</f>
        <v>9377</v>
      </c>
    </row>
    <row r="4" spans="1:16">
      <c r="A4" s="3472" t="s">
        <v>3380</v>
      </c>
      <c r="B4" s="3472" t="s">
        <v>3381</v>
      </c>
      <c r="C4" s="3472" t="s">
        <v>3382</v>
      </c>
      <c r="D4" s="3471" t="s">
        <v>3383</v>
      </c>
      <c r="E4" s="3471" t="s">
        <v>3414</v>
      </c>
      <c r="F4" s="3471" t="s">
        <v>3415</v>
      </c>
      <c r="G4" s="3471" t="s">
        <v>3416</v>
      </c>
      <c r="H4" s="3471" t="s">
        <v>3417</v>
      </c>
      <c r="I4" s="3471" t="s">
        <v>3418</v>
      </c>
      <c r="J4" s="3471"/>
      <c r="K4" s="3471"/>
      <c r="L4" s="3471"/>
      <c r="M4" s="3471" t="s">
        <v>3419</v>
      </c>
      <c r="N4" s="3471" t="s">
        <v>3420</v>
      </c>
      <c r="O4" s="3471" t="s">
        <v>3587</v>
      </c>
      <c r="P4" s="3471"/>
    </row>
    <row r="5" spans="1:16">
      <c r="A5" s="3473">
        <v>1</v>
      </c>
      <c r="B5" s="3473" t="s">
        <v>3384</v>
      </c>
      <c r="C5" s="3474">
        <v>410.74</v>
      </c>
      <c r="D5" s="3475">
        <v>46.297380580000002</v>
      </c>
      <c r="E5" s="3476">
        <v>3049</v>
      </c>
      <c r="F5" s="3476">
        <f ca="1">H5-G5</f>
        <v>2730</v>
      </c>
      <c r="G5" s="3476">
        <f ca="1">ROUND($G$2*C5/10000,0)</f>
        <v>331</v>
      </c>
      <c r="H5" s="3476">
        <f ca="1">'典型户型修正 (2)'!S24</f>
        <v>3061</v>
      </c>
      <c r="I5" s="3476" t="s">
        <v>671</v>
      </c>
      <c r="J5" s="3476" t="s">
        <v>3421</v>
      </c>
      <c r="K5" s="3476" t="s">
        <v>3435</v>
      </c>
      <c r="L5" s="3476" t="s">
        <v>3436</v>
      </c>
      <c r="M5" s="3476">
        <f t="shared" ref="M5:M31" si="0">E5/C5*10000</f>
        <v>74231.874178312311</v>
      </c>
      <c r="N5" s="3476">
        <v>75059.648439402052</v>
      </c>
      <c r="O5" s="3476">
        <f t="shared" ref="O5:O31" ca="1" si="1">H5/C5*10000</f>
        <v>74524.029799873388</v>
      </c>
      <c r="P5" s="3476"/>
    </row>
    <row r="6" spans="1:16">
      <c r="A6" s="3473">
        <v>2</v>
      </c>
      <c r="B6" s="3473" t="s">
        <v>3385</v>
      </c>
      <c r="C6" s="3474">
        <v>891.56</v>
      </c>
      <c r="D6" s="3475">
        <v>100.49396852</v>
      </c>
      <c r="E6" s="3476">
        <v>6551</v>
      </c>
      <c r="F6" s="3476">
        <f t="shared" ref="F6:F31" ca="1" si="2">H6-G6</f>
        <v>5344</v>
      </c>
      <c r="G6" s="3476">
        <f ca="1">ROUND($G$2*C6/10000,0)</f>
        <v>718</v>
      </c>
      <c r="H6" s="3476">
        <f ca="1">'典型户型修正 (2)'!S25</f>
        <v>6062</v>
      </c>
      <c r="I6" s="3476" t="s">
        <v>671</v>
      </c>
      <c r="J6" s="3476" t="s">
        <v>3421</v>
      </c>
      <c r="K6" s="3476" t="s">
        <v>3437</v>
      </c>
      <c r="L6" s="3476" t="s">
        <v>3423</v>
      </c>
      <c r="M6" s="3476">
        <f t="shared" si="0"/>
        <v>73477.94876396429</v>
      </c>
      <c r="N6" s="3476">
        <v>68475.481179056937</v>
      </c>
      <c r="O6" s="3476">
        <f t="shared" ca="1" si="1"/>
        <v>67993.180492619678</v>
      </c>
      <c r="P6" s="3476"/>
    </row>
    <row r="7" spans="1:16">
      <c r="A7" s="3473">
        <v>3</v>
      </c>
      <c r="B7" s="3473" t="s">
        <v>3386</v>
      </c>
      <c r="C7" s="3474">
        <v>820.83</v>
      </c>
      <c r="D7" s="3475">
        <v>92.521495110000004</v>
      </c>
      <c r="E7" s="3476">
        <v>6032</v>
      </c>
      <c r="F7" s="3476">
        <f t="shared" ca="1" si="2"/>
        <v>5395</v>
      </c>
      <c r="G7" s="3476">
        <f t="shared" ref="G7:G23" ca="1" si="3">ROUND($G$2*C7/10000,0)</f>
        <v>661</v>
      </c>
      <c r="H7" s="3476">
        <f ca="1">'典型户型修正 (2)'!S26</f>
        <v>6056</v>
      </c>
      <c r="I7" s="3476" t="s">
        <v>671</v>
      </c>
      <c r="J7" s="3476" t="s">
        <v>3421</v>
      </c>
      <c r="K7" s="3476" t="s">
        <v>3424</v>
      </c>
      <c r="L7" s="3476" t="s">
        <v>3422</v>
      </c>
      <c r="M7" s="3476">
        <f t="shared" si="0"/>
        <v>73486.592838955694</v>
      </c>
      <c r="N7" s="3476">
        <v>74302.839808486533</v>
      </c>
      <c r="O7" s="3476">
        <f t="shared" ca="1" si="1"/>
        <v>73778.979813115991</v>
      </c>
      <c r="P7" s="3476"/>
    </row>
    <row r="8" spans="1:16">
      <c r="A8" s="3473">
        <v>4</v>
      </c>
      <c r="B8" s="3473" t="s">
        <v>3387</v>
      </c>
      <c r="C8" s="3474">
        <v>114.12</v>
      </c>
      <c r="D8" s="3475">
        <v>12.863264040000001</v>
      </c>
      <c r="E8" s="3476">
        <v>865</v>
      </c>
      <c r="F8" s="3476">
        <f t="shared" ca="1" si="2"/>
        <v>776</v>
      </c>
      <c r="G8" s="3476">
        <f t="shared" ca="1" si="3"/>
        <v>92</v>
      </c>
      <c r="H8" s="3476">
        <f ca="1">'典型户型修正 (2)'!S27</f>
        <v>868</v>
      </c>
      <c r="I8" s="3476" t="s">
        <v>671</v>
      </c>
      <c r="J8" s="3476" t="s">
        <v>3421</v>
      </c>
      <c r="K8" s="3476" t="s">
        <v>3425</v>
      </c>
      <c r="L8" s="3476" t="s">
        <v>3422</v>
      </c>
      <c r="M8" s="3476">
        <f t="shared" si="0"/>
        <v>75797.406239046613</v>
      </c>
      <c r="N8" s="3476">
        <v>76586.049772169645</v>
      </c>
      <c r="O8" s="3476">
        <f t="shared" ca="1" si="1"/>
        <v>76060.28741675429</v>
      </c>
      <c r="P8" s="3476"/>
    </row>
    <row r="9" spans="1:16">
      <c r="A9" s="3473">
        <v>5</v>
      </c>
      <c r="B9" s="3473" t="s">
        <v>3388</v>
      </c>
      <c r="C9" s="3474">
        <v>229.57</v>
      </c>
      <c r="D9" s="3475">
        <v>25.87644169</v>
      </c>
      <c r="E9" s="3476">
        <v>1317</v>
      </c>
      <c r="F9" s="3476">
        <f t="shared" ca="1" si="2"/>
        <v>1152</v>
      </c>
      <c r="G9" s="3476">
        <f t="shared" ca="1" si="3"/>
        <v>185</v>
      </c>
      <c r="H9" s="3476">
        <f ca="1">'典型户型修正 (2)'!S28</f>
        <v>1337</v>
      </c>
      <c r="I9" s="3476" t="s">
        <v>671</v>
      </c>
      <c r="J9" s="3476" t="s">
        <v>3426</v>
      </c>
      <c r="K9" s="3476" t="s">
        <v>3441</v>
      </c>
      <c r="L9" s="3476" t="s">
        <v>3427</v>
      </c>
      <c r="M9" s="3476">
        <f t="shared" si="0"/>
        <v>57368.123012588752</v>
      </c>
      <c r="N9" s="3476">
        <v>58631.354271028446</v>
      </c>
      <c r="O9" s="3476">
        <f t="shared" ca="1" si="1"/>
        <v>58239.316983926474</v>
      </c>
      <c r="P9" s="3476"/>
    </row>
    <row r="10" spans="1:16">
      <c r="A10" s="3473">
        <v>6</v>
      </c>
      <c r="B10" s="3473" t="s">
        <v>3389</v>
      </c>
      <c r="C10" s="3474">
        <v>174.61</v>
      </c>
      <c r="D10" s="3475">
        <v>19.68151537</v>
      </c>
      <c r="E10" s="3476">
        <v>1012</v>
      </c>
      <c r="F10" s="3476">
        <f t="shared" ca="1" si="2"/>
        <v>886</v>
      </c>
      <c r="G10" s="3476">
        <f t="shared" ca="1" si="3"/>
        <v>141</v>
      </c>
      <c r="H10" s="3476">
        <f ca="1">'典型户型修正 (2)'!S29</f>
        <v>1027</v>
      </c>
      <c r="I10" s="3476" t="s">
        <v>671</v>
      </c>
      <c r="J10" s="3476" t="s">
        <v>3426</v>
      </c>
      <c r="K10" s="3476" t="s">
        <v>3442</v>
      </c>
      <c r="L10" s="3476" t="s">
        <v>3427</v>
      </c>
      <c r="M10" s="3476">
        <f t="shared" si="0"/>
        <v>57957.734379474256</v>
      </c>
      <c r="N10" s="3476">
        <v>59217.685126854121</v>
      </c>
      <c r="O10" s="3476">
        <f t="shared" ca="1" si="1"/>
        <v>58816.791707233264</v>
      </c>
      <c r="P10" s="3476"/>
    </row>
    <row r="11" spans="1:16">
      <c r="A11" s="3473">
        <v>7</v>
      </c>
      <c r="B11" s="3473" t="s">
        <v>3390</v>
      </c>
      <c r="C11" s="3474">
        <v>579.52</v>
      </c>
      <c r="D11" s="3475">
        <v>65.321755839999994</v>
      </c>
      <c r="E11" s="3476">
        <v>3258</v>
      </c>
      <c r="F11" s="3476">
        <f t="shared" ca="1" si="2"/>
        <v>2841</v>
      </c>
      <c r="G11" s="3476">
        <f t="shared" ca="1" si="3"/>
        <v>466</v>
      </c>
      <c r="H11" s="3476">
        <f ca="1">'典型户型修正 (2)'!S30</f>
        <v>3307</v>
      </c>
      <c r="I11" s="3476" t="s">
        <v>671</v>
      </c>
      <c r="J11" s="3476" t="s">
        <v>3426</v>
      </c>
      <c r="K11" s="3476" t="s">
        <v>3428</v>
      </c>
      <c r="L11" s="3476" t="s">
        <v>3427</v>
      </c>
      <c r="M11" s="3476">
        <f t="shared" si="0"/>
        <v>56218.939812258417</v>
      </c>
      <c r="N11" s="3476">
        <v>57478.602981778029</v>
      </c>
      <c r="O11" s="3476">
        <f t="shared" ca="1" si="1"/>
        <v>57064.467145223636</v>
      </c>
      <c r="P11" s="3476"/>
    </row>
    <row r="12" spans="1:16">
      <c r="A12" s="3473">
        <v>8</v>
      </c>
      <c r="B12" s="3473" t="s">
        <v>3391</v>
      </c>
      <c r="C12" s="3474">
        <v>392.45</v>
      </c>
      <c r="D12" s="3475">
        <v>44.235786650000001</v>
      </c>
      <c r="E12" s="3476">
        <v>2229</v>
      </c>
      <c r="F12" s="3476">
        <f t="shared" ca="1" si="2"/>
        <v>1946</v>
      </c>
      <c r="G12" s="3476">
        <f t="shared" ca="1" si="3"/>
        <v>316</v>
      </c>
      <c r="H12" s="3476">
        <f ca="1">'典型户型修正 (2)'!S31</f>
        <v>2262</v>
      </c>
      <c r="I12" s="3476" t="s">
        <v>671</v>
      </c>
      <c r="J12" s="3476" t="s">
        <v>3426</v>
      </c>
      <c r="K12" s="3476" t="s">
        <v>3443</v>
      </c>
      <c r="L12" s="3476" t="s">
        <v>3427</v>
      </c>
      <c r="M12" s="3476">
        <f t="shared" si="0"/>
        <v>56797.044209453437</v>
      </c>
      <c r="N12" s="3476">
        <v>58045.610905847883</v>
      </c>
      <c r="O12" s="3476">
        <f t="shared" ca="1" si="1"/>
        <v>57637.915658045611</v>
      </c>
      <c r="P12" s="3476"/>
    </row>
    <row r="13" spans="1:16">
      <c r="A13" s="3473">
        <v>9</v>
      </c>
      <c r="B13" s="3473" t="s">
        <v>3392</v>
      </c>
      <c r="C13" s="3474">
        <v>129.91</v>
      </c>
      <c r="D13" s="3475">
        <v>14.64306547</v>
      </c>
      <c r="E13" s="3476">
        <v>753</v>
      </c>
      <c r="F13" s="3476">
        <f t="shared" ca="1" si="2"/>
        <v>659</v>
      </c>
      <c r="G13" s="3476">
        <f t="shared" ca="1" si="3"/>
        <v>105</v>
      </c>
      <c r="H13" s="3476">
        <f ca="1">'典型户型修正 (2)'!S32</f>
        <v>764</v>
      </c>
      <c r="I13" s="3476" t="s">
        <v>671</v>
      </c>
      <c r="J13" s="3476" t="s">
        <v>3426</v>
      </c>
      <c r="K13" s="3476" t="s">
        <v>3443</v>
      </c>
      <c r="L13" s="3476" t="s">
        <v>3427</v>
      </c>
      <c r="M13" s="3476">
        <f t="shared" si="0"/>
        <v>57963.205295974134</v>
      </c>
      <c r="N13" s="3476">
        <v>59194.82718805327</v>
      </c>
      <c r="O13" s="3476">
        <f t="shared" ca="1" si="1"/>
        <v>58809.945346778542</v>
      </c>
      <c r="P13" s="3476"/>
    </row>
    <row r="14" spans="1:16">
      <c r="A14" s="3473">
        <v>10</v>
      </c>
      <c r="B14" s="3473" t="s">
        <v>3393</v>
      </c>
      <c r="C14" s="3474">
        <v>130.21</v>
      </c>
      <c r="D14" s="3475">
        <v>14.67688057</v>
      </c>
      <c r="E14" s="3476">
        <v>755</v>
      </c>
      <c r="F14" s="3476">
        <f t="shared" ca="1" si="2"/>
        <v>661</v>
      </c>
      <c r="G14" s="3476">
        <f t="shared" ca="1" si="3"/>
        <v>105</v>
      </c>
      <c r="H14" s="3476">
        <f ca="1">'典型户型修正 (2)'!S33</f>
        <v>766</v>
      </c>
      <c r="I14" s="3476" t="s">
        <v>671</v>
      </c>
      <c r="J14" s="3476" t="s">
        <v>3426</v>
      </c>
      <c r="K14" s="3476" t="s">
        <v>3428</v>
      </c>
      <c r="L14" s="3476" t="s">
        <v>3427</v>
      </c>
      <c r="M14" s="3476">
        <f t="shared" si="0"/>
        <v>57983.25781429997</v>
      </c>
      <c r="N14" s="3476">
        <v>59212.0420858613</v>
      </c>
      <c r="O14" s="3476">
        <f t="shared" ca="1" si="1"/>
        <v>58828.047000998384</v>
      </c>
      <c r="P14" s="3476"/>
    </row>
    <row r="15" spans="1:16">
      <c r="A15" s="3473">
        <v>11</v>
      </c>
      <c r="B15" s="3473" t="s">
        <v>3394</v>
      </c>
      <c r="C15" s="3474">
        <v>219.79</v>
      </c>
      <c r="D15" s="3475">
        <v>24.774069430000001</v>
      </c>
      <c r="E15" s="3476">
        <v>1261</v>
      </c>
      <c r="F15" s="3476">
        <f t="shared" ca="1" si="2"/>
        <v>1103</v>
      </c>
      <c r="G15" s="3476">
        <f t="shared" ca="1" si="3"/>
        <v>177</v>
      </c>
      <c r="H15" s="3476">
        <f ca="1">'典型户型修正 (2)'!S34</f>
        <v>1280</v>
      </c>
      <c r="I15" s="3476" t="s">
        <v>671</v>
      </c>
      <c r="J15" s="3476" t="s">
        <v>3426</v>
      </c>
      <c r="K15" s="3476" t="s">
        <v>3424</v>
      </c>
      <c r="L15" s="3476" t="s">
        <v>3427</v>
      </c>
      <c r="M15" s="3476">
        <f t="shared" si="0"/>
        <v>57372.946903862779</v>
      </c>
      <c r="N15" s="3476">
        <v>58646.890213385508</v>
      </c>
      <c r="O15" s="3476">
        <f t="shared" ca="1" si="1"/>
        <v>58237.408435324636</v>
      </c>
      <c r="P15" s="3476"/>
    </row>
    <row r="16" spans="1:16">
      <c r="A16" s="3473">
        <v>12</v>
      </c>
      <c r="B16" s="3473" t="s">
        <v>3395</v>
      </c>
      <c r="C16" s="3474">
        <v>147.19999999999999</v>
      </c>
      <c r="D16" s="3475">
        <v>16.591942400000001</v>
      </c>
      <c r="E16" s="3476">
        <v>853</v>
      </c>
      <c r="F16" s="3476">
        <f t="shared" ca="1" si="2"/>
        <v>748</v>
      </c>
      <c r="G16" s="3476">
        <f t="shared" ca="1" si="3"/>
        <v>118</v>
      </c>
      <c r="H16" s="3476">
        <f ca="1">'典型户型修正 (2)'!S35</f>
        <v>866</v>
      </c>
      <c r="I16" s="3476" t="s">
        <v>671</v>
      </c>
      <c r="J16" s="3476" t="s">
        <v>3426</v>
      </c>
      <c r="K16" s="3476" t="s">
        <v>3424</v>
      </c>
      <c r="L16" s="3476" t="s">
        <v>3427</v>
      </c>
      <c r="M16" s="3476">
        <f t="shared" si="0"/>
        <v>57948.369565217392</v>
      </c>
      <c r="N16" s="3476">
        <v>59239.130434782615</v>
      </c>
      <c r="O16" s="3476">
        <f t="shared" ca="1" si="1"/>
        <v>58831.52173913044</v>
      </c>
      <c r="P16" s="3476"/>
    </row>
    <row r="17" spans="1:16">
      <c r="A17" s="3473">
        <v>13</v>
      </c>
      <c r="B17" s="3473" t="s">
        <v>3396</v>
      </c>
      <c r="C17" s="3474">
        <v>221.24</v>
      </c>
      <c r="D17" s="3475">
        <v>24.937509080000002</v>
      </c>
      <c r="E17" s="3476">
        <v>1269</v>
      </c>
      <c r="F17" s="3476">
        <f t="shared" ca="1" si="2"/>
        <v>1110</v>
      </c>
      <c r="G17" s="3476">
        <f t="shared" ca="1" si="3"/>
        <v>178</v>
      </c>
      <c r="H17" s="3476">
        <f ca="1">'典型户型修正 (2)'!S36</f>
        <v>1288</v>
      </c>
      <c r="I17" s="3476" t="s">
        <v>671</v>
      </c>
      <c r="J17" s="3476" t="s">
        <v>3426</v>
      </c>
      <c r="K17" s="3476" t="s">
        <v>3428</v>
      </c>
      <c r="L17" s="3476" t="s">
        <v>3427</v>
      </c>
      <c r="M17" s="3476">
        <f t="shared" si="0"/>
        <v>57358.524679081536</v>
      </c>
      <c r="N17" s="3476">
        <v>58624.118604230694</v>
      </c>
      <c r="O17" s="3476">
        <f t="shared" ca="1" si="1"/>
        <v>58217.320556861319</v>
      </c>
      <c r="P17" s="3476"/>
    </row>
    <row r="18" spans="1:16">
      <c r="A18" s="3473">
        <v>14</v>
      </c>
      <c r="B18" s="3473" t="s">
        <v>3397</v>
      </c>
      <c r="C18" s="3474">
        <v>341.21</v>
      </c>
      <c r="D18" s="3475">
        <v>38.460167570000003</v>
      </c>
      <c r="E18" s="3476">
        <v>1938</v>
      </c>
      <c r="F18" s="3476">
        <f t="shared" ca="1" si="2"/>
        <v>1692</v>
      </c>
      <c r="G18" s="3476">
        <f t="shared" ca="1" si="3"/>
        <v>275</v>
      </c>
      <c r="H18" s="3476">
        <f ca="1">'典型户型修正 (2)'!S37</f>
        <v>1967</v>
      </c>
      <c r="I18" s="3476" t="s">
        <v>671</v>
      </c>
      <c r="J18" s="3476" t="s">
        <v>3426</v>
      </c>
      <c r="K18" s="3476" t="s">
        <v>3429</v>
      </c>
      <c r="L18" s="3476" t="s">
        <v>3427</v>
      </c>
      <c r="M18" s="3476">
        <f t="shared" si="0"/>
        <v>56797.866416576304</v>
      </c>
      <c r="N18" s="3476">
        <v>58058.087394859467</v>
      </c>
      <c r="O18" s="3476">
        <f t="shared" ca="1" si="1"/>
        <v>57647.782890302165</v>
      </c>
      <c r="P18" s="3476"/>
    </row>
    <row r="19" spans="1:16">
      <c r="A19" s="3473">
        <v>15</v>
      </c>
      <c r="B19" s="3473" t="s">
        <v>3398</v>
      </c>
      <c r="C19" s="3474">
        <v>105.02</v>
      </c>
      <c r="D19" s="3475">
        <v>11.837539339999999</v>
      </c>
      <c r="E19" s="3476">
        <v>609</v>
      </c>
      <c r="F19" s="3476">
        <f t="shared" ca="1" si="2"/>
        <v>533</v>
      </c>
      <c r="G19" s="3476">
        <f t="shared" ca="1" si="3"/>
        <v>85</v>
      </c>
      <c r="H19" s="3476">
        <f ca="1">'典型户型修正 (2)'!S38</f>
        <v>618</v>
      </c>
      <c r="I19" s="3476" t="s">
        <v>671</v>
      </c>
      <c r="J19" s="3476" t="s">
        <v>3426</v>
      </c>
      <c r="K19" s="3476" t="s">
        <v>3428</v>
      </c>
      <c r="L19" s="3476" t="s">
        <v>3427</v>
      </c>
      <c r="M19" s="3476">
        <f t="shared" si="0"/>
        <v>57988.954484860027</v>
      </c>
      <c r="N19" s="3476">
        <v>59226.813940201871</v>
      </c>
      <c r="O19" s="3476">
        <f t="shared" ca="1" si="1"/>
        <v>58845.934107788999</v>
      </c>
      <c r="P19" s="3476"/>
    </row>
    <row r="20" spans="1:16">
      <c r="A20" s="3473">
        <v>16</v>
      </c>
      <c r="B20" s="3473" t="s">
        <v>3399</v>
      </c>
      <c r="C20" s="3474">
        <v>105.26</v>
      </c>
      <c r="D20" s="3475">
        <v>11.86459142</v>
      </c>
      <c r="E20" s="3476">
        <v>610</v>
      </c>
      <c r="F20" s="3476">
        <f t="shared" ca="1" si="2"/>
        <v>534</v>
      </c>
      <c r="G20" s="3476">
        <f t="shared" ca="1" si="3"/>
        <v>85</v>
      </c>
      <c r="H20" s="3476">
        <f ca="1">'典型户型修正 (2)'!S39</f>
        <v>619</v>
      </c>
      <c r="I20" s="3476" t="s">
        <v>671</v>
      </c>
      <c r="J20" s="3476" t="s">
        <v>3426</v>
      </c>
      <c r="K20" s="3476" t="s">
        <v>3430</v>
      </c>
      <c r="L20" s="3476" t="s">
        <v>3427</v>
      </c>
      <c r="M20" s="3476">
        <f t="shared" si="0"/>
        <v>57951.738552156559</v>
      </c>
      <c r="N20" s="3476">
        <v>59186.775603268099</v>
      </c>
      <c r="O20" s="3476">
        <f t="shared" ca="1" si="1"/>
        <v>58806.764202926082</v>
      </c>
      <c r="P20" s="3476"/>
    </row>
    <row r="21" spans="1:16">
      <c r="A21" s="3473">
        <v>17</v>
      </c>
      <c r="B21" s="3473" t="s">
        <v>3400</v>
      </c>
      <c r="C21" s="3474">
        <v>56.19</v>
      </c>
      <c r="D21" s="3475">
        <v>6.33356823</v>
      </c>
      <c r="E21" s="3476">
        <v>368</v>
      </c>
      <c r="F21" s="3476">
        <f t="shared" ca="1" si="2"/>
        <v>352</v>
      </c>
      <c r="G21" s="3476">
        <f t="shared" ca="1" si="3"/>
        <v>45</v>
      </c>
      <c r="H21" s="3476">
        <f ca="1">'典型户型修正 (2)'!S40</f>
        <v>397</v>
      </c>
      <c r="I21" s="3476" t="s">
        <v>671</v>
      </c>
      <c r="J21" s="3476" t="s">
        <v>3426</v>
      </c>
      <c r="K21" s="3476" t="s">
        <v>3431</v>
      </c>
      <c r="L21" s="3476" t="s">
        <v>3432</v>
      </c>
      <c r="M21" s="3476">
        <f t="shared" si="0"/>
        <v>65492.080441359678</v>
      </c>
      <c r="N21" s="3476">
        <v>71187.043957999645</v>
      </c>
      <c r="O21" s="3476">
        <f t="shared" ca="1" si="1"/>
        <v>70653.141128314644</v>
      </c>
      <c r="P21" s="3476"/>
    </row>
    <row r="22" spans="1:16">
      <c r="A22" s="3473">
        <v>18</v>
      </c>
      <c r="B22" s="3473" t="s">
        <v>3401</v>
      </c>
      <c r="C22" s="3474">
        <v>43.73</v>
      </c>
      <c r="D22" s="3475">
        <v>4.9291144100000004</v>
      </c>
      <c r="E22" s="3476">
        <v>286</v>
      </c>
      <c r="F22" s="3476">
        <f t="shared" ca="1" si="2"/>
        <v>225</v>
      </c>
      <c r="G22" s="3476">
        <f t="shared" ca="1" si="3"/>
        <v>35</v>
      </c>
      <c r="H22" s="3476">
        <f ca="1">'典型户型修正 (2)'!S41</f>
        <v>260</v>
      </c>
      <c r="I22" s="3476" t="s">
        <v>671</v>
      </c>
      <c r="J22" s="3476" t="s">
        <v>3426</v>
      </c>
      <c r="K22" s="3476" t="s">
        <v>3424</v>
      </c>
      <c r="L22" s="3476" t="s">
        <v>3427</v>
      </c>
      <c r="M22" s="3476">
        <f t="shared" si="0"/>
        <v>65401.326320603708</v>
      </c>
      <c r="N22" s="3476">
        <v>59684.42716670478</v>
      </c>
      <c r="O22" s="3476">
        <f t="shared" ca="1" si="1"/>
        <v>59455.751200548824</v>
      </c>
      <c r="P22" s="3476"/>
    </row>
    <row r="23" spans="1:16">
      <c r="A23" s="3473">
        <v>19</v>
      </c>
      <c r="B23" s="3473" t="s">
        <v>3402</v>
      </c>
      <c r="C23" s="3474">
        <v>277.54000000000002</v>
      </c>
      <c r="D23" s="3475">
        <v>31.283476180000001</v>
      </c>
      <c r="E23" s="3476">
        <v>2081</v>
      </c>
      <c r="F23" s="3476">
        <f t="shared" ca="1" si="2"/>
        <v>1866</v>
      </c>
      <c r="G23" s="3476">
        <f t="shared" ca="1" si="3"/>
        <v>223</v>
      </c>
      <c r="H23" s="3476">
        <f ca="1">'典型户型修正 (2)'!S42</f>
        <v>2089</v>
      </c>
      <c r="I23" s="3476" t="s">
        <v>671</v>
      </c>
      <c r="J23" s="3476" t="s">
        <v>3421</v>
      </c>
      <c r="K23" s="3476" t="s">
        <v>3433</v>
      </c>
      <c r="L23" s="3476" t="s">
        <v>3422</v>
      </c>
      <c r="M23" s="3476">
        <f t="shared" si="0"/>
        <v>74980.183036679387</v>
      </c>
      <c r="N23" s="3476">
        <v>75808.892411904584</v>
      </c>
      <c r="O23" s="3476">
        <f t="shared" ca="1" si="1"/>
        <v>75268.429775888158</v>
      </c>
      <c r="P23" s="3476"/>
    </row>
    <row r="24" spans="1:16">
      <c r="A24" s="3473">
        <v>20</v>
      </c>
      <c r="B24" s="3473" t="s">
        <v>3403</v>
      </c>
      <c r="C24" s="3474">
        <v>206.15</v>
      </c>
      <c r="D24" s="3475">
        <v>23.236609550000001</v>
      </c>
      <c r="E24" s="3476">
        <v>844</v>
      </c>
      <c r="F24" s="3476">
        <f t="shared" ca="1" si="2"/>
        <v>662</v>
      </c>
      <c r="G24" s="3476">
        <f t="shared" ref="G24:G31" ca="1" si="4">ROUND($G$3*C24/10000,0)</f>
        <v>193</v>
      </c>
      <c r="H24" s="3476">
        <f ca="1">典型户型修正!S24</f>
        <v>855</v>
      </c>
      <c r="I24" s="3476" t="s">
        <v>21</v>
      </c>
      <c r="J24" s="3476" t="s">
        <v>3438</v>
      </c>
      <c r="K24" s="3476"/>
      <c r="L24" s="3476" t="s">
        <v>3440</v>
      </c>
      <c r="M24" s="3476">
        <f t="shared" si="0"/>
        <v>40941.062333252492</v>
      </c>
      <c r="N24" s="3476">
        <v>43366.480717923841</v>
      </c>
      <c r="O24" s="3476">
        <f t="shared" ca="1" si="1"/>
        <v>41474.654377880186</v>
      </c>
      <c r="P24" s="3476"/>
    </row>
    <row r="25" spans="1:16">
      <c r="A25" s="3473">
        <v>21</v>
      </c>
      <c r="B25" s="3473" t="s">
        <v>3404</v>
      </c>
      <c r="C25" s="3474">
        <v>171.04</v>
      </c>
      <c r="D25" s="3475">
        <v>19.27911568</v>
      </c>
      <c r="E25" s="3476">
        <v>700</v>
      </c>
      <c r="F25" s="3476">
        <f t="shared" ca="1" si="2"/>
        <v>550</v>
      </c>
      <c r="G25" s="3476">
        <f t="shared" ca="1" si="4"/>
        <v>160</v>
      </c>
      <c r="H25" s="3476">
        <f ca="1">典型户型修正!S25</f>
        <v>710</v>
      </c>
      <c r="I25" s="3476" t="s">
        <v>21</v>
      </c>
      <c r="J25" s="3476" t="s">
        <v>3438</v>
      </c>
      <c r="K25" s="3476"/>
      <c r="L25" s="3476" t="s">
        <v>3440</v>
      </c>
      <c r="M25" s="3476">
        <f t="shared" si="0"/>
        <v>40926.099158091674</v>
      </c>
      <c r="N25" s="3476">
        <v>43381.665107577181</v>
      </c>
      <c r="O25" s="3476">
        <f t="shared" ca="1" si="1"/>
        <v>41510.75771749299</v>
      </c>
      <c r="P25" s="3476"/>
    </row>
    <row r="26" spans="1:16">
      <c r="A26" s="3473">
        <v>22</v>
      </c>
      <c r="B26" s="3473" t="s">
        <v>3405</v>
      </c>
      <c r="C26" s="3474">
        <v>171.97</v>
      </c>
      <c r="D26" s="3475">
        <v>19.383942489999999</v>
      </c>
      <c r="E26" s="3476">
        <v>704</v>
      </c>
      <c r="F26" s="3476">
        <f t="shared" ca="1" si="2"/>
        <v>553</v>
      </c>
      <c r="G26" s="3476">
        <f t="shared" ca="1" si="4"/>
        <v>161</v>
      </c>
      <c r="H26" s="3476">
        <f ca="1">典型户型修正!S26</f>
        <v>714</v>
      </c>
      <c r="I26" s="3476" t="s">
        <v>21</v>
      </c>
      <c r="J26" s="3476" t="s">
        <v>3438</v>
      </c>
      <c r="K26" s="3476"/>
      <c r="L26" s="3476" t="s">
        <v>3440</v>
      </c>
      <c r="M26" s="3476">
        <f t="shared" si="0"/>
        <v>40937.372797580974</v>
      </c>
      <c r="N26" s="3476">
        <v>43379.659242891204</v>
      </c>
      <c r="O26" s="3476">
        <f t="shared" ca="1" si="1"/>
        <v>41518.869570273884</v>
      </c>
      <c r="P26" s="3476"/>
    </row>
    <row r="27" spans="1:16">
      <c r="A27" s="3473">
        <v>23</v>
      </c>
      <c r="B27" s="3473" t="s">
        <v>3406</v>
      </c>
      <c r="C27" s="3474">
        <v>108.47</v>
      </c>
      <c r="D27" s="3475">
        <v>12.22641299</v>
      </c>
      <c r="E27" s="3476">
        <v>444</v>
      </c>
      <c r="F27" s="3476">
        <f t="shared" ca="1" si="2"/>
        <v>348</v>
      </c>
      <c r="G27" s="3476">
        <f t="shared" ca="1" si="4"/>
        <v>102</v>
      </c>
      <c r="H27" s="3476">
        <f ca="1">典型户型修正!S27</f>
        <v>450</v>
      </c>
      <c r="I27" s="3476" t="s">
        <v>21</v>
      </c>
      <c r="J27" s="3476" t="s">
        <v>3438</v>
      </c>
      <c r="K27" s="3476"/>
      <c r="L27" s="3476" t="s">
        <v>3440</v>
      </c>
      <c r="M27" s="3476">
        <f t="shared" si="0"/>
        <v>40932.97685996128</v>
      </c>
      <c r="N27" s="3476">
        <v>43329.952982391449</v>
      </c>
      <c r="O27" s="3476">
        <f t="shared" ca="1" si="1"/>
        <v>41486.125195906701</v>
      </c>
      <c r="P27" s="3476"/>
    </row>
    <row r="28" spans="1:16">
      <c r="A28" s="3473">
        <v>24</v>
      </c>
      <c r="B28" s="3473" t="s">
        <v>3407</v>
      </c>
      <c r="C28" s="3474">
        <v>108.47</v>
      </c>
      <c r="D28" s="3475">
        <v>12.22641299</v>
      </c>
      <c r="E28" s="3476">
        <v>444</v>
      </c>
      <c r="F28" s="3476">
        <f t="shared" ca="1" si="2"/>
        <v>348</v>
      </c>
      <c r="G28" s="3476">
        <f t="shared" ca="1" si="4"/>
        <v>102</v>
      </c>
      <c r="H28" s="3476">
        <f ca="1">典型户型修正!S28</f>
        <v>450</v>
      </c>
      <c r="I28" s="3476" t="s">
        <v>21</v>
      </c>
      <c r="J28" s="3476" t="s">
        <v>3438</v>
      </c>
      <c r="K28" s="3476"/>
      <c r="L28" s="3609" t="s">
        <v>3439</v>
      </c>
      <c r="M28" s="3476">
        <f t="shared" si="0"/>
        <v>40932.97685996128</v>
      </c>
      <c r="N28" s="3476">
        <v>43329.952982391449</v>
      </c>
      <c r="O28" s="3476">
        <f t="shared" ca="1" si="1"/>
        <v>41486.125195906701</v>
      </c>
      <c r="P28" s="3476"/>
    </row>
    <row r="29" spans="1:16">
      <c r="A29" s="3473">
        <v>25</v>
      </c>
      <c r="B29" s="3473" t="s">
        <v>3408</v>
      </c>
      <c r="C29" s="3474">
        <v>138.01</v>
      </c>
      <c r="D29" s="3475">
        <v>15.556073169999999</v>
      </c>
      <c r="E29" s="3476">
        <v>565</v>
      </c>
      <c r="F29" s="3476">
        <f t="shared" ca="1" si="2"/>
        <v>444</v>
      </c>
      <c r="G29" s="3476">
        <f t="shared" ca="1" si="4"/>
        <v>129</v>
      </c>
      <c r="H29" s="3476">
        <f ca="1">典型户型修正!S29</f>
        <v>573</v>
      </c>
      <c r="I29" s="3476" t="s">
        <v>21</v>
      </c>
      <c r="J29" s="3476" t="s">
        <v>3438</v>
      </c>
      <c r="K29" s="3476"/>
      <c r="L29" s="3610"/>
      <c r="M29" s="3476">
        <f t="shared" si="0"/>
        <v>40939.062386783567</v>
      </c>
      <c r="N29" s="3476">
        <v>43402.651981740455</v>
      </c>
      <c r="O29" s="3476">
        <f t="shared" ca="1" si="1"/>
        <v>41518.730526773426</v>
      </c>
      <c r="P29" s="3476"/>
    </row>
    <row r="30" spans="1:16">
      <c r="A30" s="3473">
        <v>26</v>
      </c>
      <c r="B30" s="3473" t="s">
        <v>3409</v>
      </c>
      <c r="C30" s="3474">
        <v>138.01</v>
      </c>
      <c r="D30" s="3475">
        <v>15.556073169999999</v>
      </c>
      <c r="E30" s="3476">
        <v>565</v>
      </c>
      <c r="F30" s="3476">
        <f t="shared" ca="1" si="2"/>
        <v>444</v>
      </c>
      <c r="G30" s="3476">
        <f t="shared" ca="1" si="4"/>
        <v>129</v>
      </c>
      <c r="H30" s="3476">
        <f ca="1">典型户型修正!S30</f>
        <v>573</v>
      </c>
      <c r="I30" s="3476" t="s">
        <v>21</v>
      </c>
      <c r="J30" s="3476" t="s">
        <v>3438</v>
      </c>
      <c r="K30" s="3476"/>
      <c r="L30" s="3609" t="s">
        <v>3439</v>
      </c>
      <c r="M30" s="3476">
        <f t="shared" si="0"/>
        <v>40939.062386783567</v>
      </c>
      <c r="N30" s="3476">
        <v>43402.651981740455</v>
      </c>
      <c r="O30" s="3476">
        <f t="shared" ca="1" si="1"/>
        <v>41518.730526773426</v>
      </c>
      <c r="P30" s="3476"/>
    </row>
    <row r="31" spans="1:16">
      <c r="A31" s="3473">
        <v>27</v>
      </c>
      <c r="B31" s="3473" t="s">
        <v>3410</v>
      </c>
      <c r="C31" s="3474">
        <v>201.75</v>
      </c>
      <c r="D31" s="3475">
        <v>22.740654750000001</v>
      </c>
      <c r="E31" s="3476">
        <v>826</v>
      </c>
      <c r="F31" s="3476">
        <f t="shared" ca="1" si="2"/>
        <v>648</v>
      </c>
      <c r="G31" s="3476">
        <f t="shared" ca="1" si="4"/>
        <v>189</v>
      </c>
      <c r="H31" s="3476">
        <f ca="1">典型户型修正!S31</f>
        <v>837</v>
      </c>
      <c r="I31" s="3476" t="s">
        <v>21</v>
      </c>
      <c r="J31" s="3476" t="s">
        <v>3438</v>
      </c>
      <c r="K31" s="3476"/>
      <c r="L31" s="3610"/>
      <c r="M31" s="3476">
        <f t="shared" si="0"/>
        <v>40941.75960346964</v>
      </c>
      <c r="N31" s="3476">
        <v>43370.508054522921</v>
      </c>
      <c r="O31" s="3476">
        <f t="shared" ca="1" si="1"/>
        <v>41486.988847583641</v>
      </c>
      <c r="P31" s="3476"/>
    </row>
    <row r="32" spans="1:16" s="3479" customFormat="1">
      <c r="A32" s="3607" t="s">
        <v>3434</v>
      </c>
      <c r="B32" s="3608"/>
      <c r="C32" s="3478">
        <f>SUM(C5:C31)</f>
        <v>6634.5700000000006</v>
      </c>
      <c r="D32" s="3478">
        <f t="shared" ref="D32:H32" si="5">SUM(D5:D31)</f>
        <v>747.8288266899998</v>
      </c>
      <c r="E32" s="3478">
        <f t="shared" si="5"/>
        <v>40188</v>
      </c>
      <c r="F32" s="3478">
        <f t="shared" ca="1" si="5"/>
        <v>34550</v>
      </c>
      <c r="G32" s="3478">
        <f t="shared" ca="1" si="5"/>
        <v>5506</v>
      </c>
      <c r="H32" s="3478">
        <f t="shared" ca="1" si="5"/>
        <v>40056</v>
      </c>
      <c r="I32" s="3478"/>
      <c r="J32" s="3471"/>
      <c r="K32" s="3471"/>
      <c r="L32" s="3471"/>
      <c r="M32" s="3471"/>
      <c r="N32" s="3471"/>
      <c r="O32" s="3471"/>
      <c r="P32" s="3471"/>
    </row>
    <row r="33" spans="4:8">
      <c r="E33" s="3480"/>
      <c r="F33" s="3480"/>
      <c r="G33" s="3480" t="s">
        <v>3578</v>
      </c>
      <c r="H33" s="3478">
        <v>40534</v>
      </c>
    </row>
    <row r="34" spans="4:8">
      <c r="D34" s="3481"/>
      <c r="E34" s="3482"/>
      <c r="F34" s="3482"/>
      <c r="G34" s="3482"/>
      <c r="H34" s="3482">
        <f ca="1">H32-H33</f>
        <v>-478</v>
      </c>
    </row>
    <row r="35" spans="4:8">
      <c r="D35" s="3481"/>
      <c r="E35" s="3480"/>
      <c r="F35" s="3480"/>
      <c r="G35" s="3480"/>
      <c r="H35" s="3480"/>
    </row>
    <row r="36" spans="4:8">
      <c r="D36" s="3481"/>
      <c r="E36" s="3482"/>
      <c r="F36" s="3482"/>
      <c r="G36" s="3482"/>
      <c r="H36" s="3482"/>
    </row>
    <row r="37" spans="4:8">
      <c r="D37" s="3481"/>
    </row>
    <row r="38" spans="4:8">
      <c r="D38" s="3481"/>
    </row>
    <row r="39" spans="4:8">
      <c r="D39" s="3481"/>
    </row>
    <row r="40" spans="4:8">
      <c r="D40" s="3481"/>
    </row>
    <row r="41" spans="4:8">
      <c r="D41" s="3481"/>
    </row>
    <row r="42" spans="4:8">
      <c r="D42" s="3481"/>
    </row>
    <row r="43" spans="4:8">
      <c r="D43" s="3481"/>
    </row>
    <row r="44" spans="4:8">
      <c r="D44" s="3481"/>
    </row>
    <row r="45" spans="4:8">
      <c r="D45" s="3481"/>
    </row>
    <row r="46" spans="4:8">
      <c r="D46" s="3481"/>
    </row>
    <row r="47" spans="4:8">
      <c r="D47" s="3481"/>
    </row>
    <row r="48" spans="4:8">
      <c r="D48" s="3481"/>
    </row>
    <row r="49" spans="4:4">
      <c r="D49" s="3481"/>
    </row>
    <row r="50" spans="4:4">
      <c r="D50" s="3481"/>
    </row>
    <row r="51" spans="4:4">
      <c r="D51" s="3481"/>
    </row>
    <row r="52" spans="4:4">
      <c r="D52" s="3481"/>
    </row>
    <row r="53" spans="4:4">
      <c r="D53" s="3481"/>
    </row>
    <row r="54" spans="4:4">
      <c r="D54" s="3481"/>
    </row>
    <row r="55" spans="4:4">
      <c r="D55" s="3481"/>
    </row>
    <row r="56" spans="4:4">
      <c r="D56" s="3481"/>
    </row>
    <row r="57" spans="4:4">
      <c r="D57" s="3481"/>
    </row>
    <row r="58" spans="4:4">
      <c r="D58" s="3481"/>
    </row>
    <row r="59" spans="4:4">
      <c r="D59" s="3481"/>
    </row>
    <row r="60" spans="4:4">
      <c r="D60" s="3481"/>
    </row>
    <row r="61" spans="4:4">
      <c r="D61" s="3481"/>
    </row>
  </sheetData>
  <mergeCells count="3">
    <mergeCell ref="A32:B32"/>
    <mergeCell ref="L28:L29"/>
    <mergeCell ref="L30:L31"/>
  </mergeCells>
  <phoneticPr fontId="13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518" t="str">
        <f>项目基本情况!B1</f>
        <v>北京市房地产抵押价值预评估</v>
      </c>
      <c r="C37" s="3518"/>
      <c r="D37" s="3518"/>
      <c r="E37" s="3518"/>
      <c r="F37" s="3518"/>
      <c r="G37" s="3518"/>
      <c r="H37" s="3518"/>
      <c r="I37" s="3518"/>
    </row>
    <row r="38" spans="1:9">
      <c r="A38" s="843"/>
      <c r="B38" s="843"/>
    </row>
    <row r="39" spans="1:9">
      <c r="A39" s="841" t="s">
        <v>371</v>
      </c>
      <c r="B39" s="841" t="s">
        <v>373</v>
      </c>
    </row>
    <row r="40" spans="1:9">
      <c r="A40" s="841"/>
      <c r="B40" s="1472">
        <f>项目基本情况!B5</f>
        <v>0</v>
      </c>
    </row>
    <row r="41" spans="1:9">
      <c r="A41" s="841"/>
      <c r="B41" s="841"/>
    </row>
    <row r="42" spans="1:9">
      <c r="A42" s="841" t="s">
        <v>371</v>
      </c>
      <c r="B42" s="841" t="s">
        <v>374</v>
      </c>
    </row>
    <row r="43" spans="1:9">
      <c r="A43" s="841"/>
      <c r="B43" s="1472" t="s">
        <v>375</v>
      </c>
    </row>
    <row r="44" spans="1:9">
      <c r="A44" s="841"/>
      <c r="B44" s="841"/>
    </row>
    <row r="45" spans="1:9">
      <c r="A45" s="841" t="s">
        <v>371</v>
      </c>
      <c r="B45" s="841" t="s">
        <v>376</v>
      </c>
    </row>
    <row r="46" spans="1:9" s="841" customFormat="1" ht="12.75">
      <c r="B46" s="1472" t="str">
        <f ca="1">项目基本情况!K4</f>
        <v>郑燚（注册号：1120070131)、吴薇（注册号：1419970001)</v>
      </c>
    </row>
    <row r="47" spans="1:9">
      <c r="A47" s="841"/>
      <c r="B47" s="841" t="str">
        <f>项目基本情况!K5</f>
        <v>（注册号：0)、（注册号：0)</v>
      </c>
    </row>
    <row r="48" spans="1:9">
      <c r="A48" s="841" t="s">
        <v>371</v>
      </c>
      <c r="B48" s="841"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25" sqref="G25"/>
    </sheetView>
  </sheetViews>
  <sheetFormatPr defaultColWidth="12.625" defaultRowHeight="21.75" customHeight="1"/>
  <cols>
    <col min="1" max="2" width="12.625" style="1751"/>
    <col min="3" max="4" width="12.625" style="1751" customWidth="1"/>
    <col min="5" max="9" width="12.625" style="1751"/>
    <col min="10" max="11" width="12.625" style="724" customWidth="1"/>
    <col min="12" max="12" width="12.625" style="724"/>
    <col min="13" max="13" width="14.125" style="724" bestFit="1" customWidth="1"/>
    <col min="14" max="26" width="12.625" style="724"/>
    <col min="27" max="35" width="12.625" style="1750"/>
    <col min="36" max="16384" width="12.625" style="1751"/>
  </cols>
  <sheetData>
    <row r="1" spans="1:12" ht="21.75" customHeight="1" thickBot="1">
      <c r="A1" s="1635" t="s">
        <v>1260</v>
      </c>
      <c r="B1" s="1745"/>
      <c r="C1" s="1746" t="s">
        <v>21</v>
      </c>
      <c r="D1" s="1745"/>
      <c r="E1" s="1745"/>
      <c r="F1" s="1747" t="s">
        <v>1261</v>
      </c>
      <c r="G1" s="1559" t="s">
        <v>3526</v>
      </c>
      <c r="H1" s="1748" t="str">
        <f>IF(G1="现房","——","估价对象范围")</f>
        <v>——</v>
      </c>
      <c r="I1" s="1749" t="s">
        <v>3527</v>
      </c>
    </row>
    <row r="2" spans="1:12" ht="21.75" customHeight="1" thickBot="1">
      <c r="A2" s="3678" t="str">
        <f>项目基本情况!S2</f>
        <v>北京市房地产</v>
      </c>
      <c r="B2" s="3679"/>
      <c r="C2" s="3679"/>
      <c r="D2" s="3679"/>
      <c r="E2" s="3679"/>
      <c r="F2" s="3679"/>
      <c r="G2" s="3679"/>
      <c r="H2" s="3679"/>
      <c r="I2" s="3680"/>
    </row>
    <row r="3" spans="1:12" ht="12.75">
      <c r="A3" s="3682" t="s">
        <v>1262</v>
      </c>
      <c r="B3" s="3683"/>
      <c r="C3" s="3683"/>
      <c r="D3" s="3683"/>
      <c r="E3" s="3683"/>
      <c r="F3" s="3683"/>
      <c r="G3" s="3683"/>
      <c r="H3" s="3683"/>
      <c r="I3" s="3683"/>
    </row>
    <row r="4" spans="1:12" ht="14.25">
      <c r="A4" s="1752" t="s">
        <v>1263</v>
      </c>
      <c r="B4" s="1753" t="s">
        <v>1264</v>
      </c>
      <c r="C4" s="1754" t="s">
        <v>3528</v>
      </c>
      <c r="D4" s="1754" t="s">
        <v>3525</v>
      </c>
      <c r="E4" s="3687" t="s">
        <v>1265</v>
      </c>
      <c r="F4" s="3688"/>
      <c r="G4" s="3688"/>
      <c r="H4" s="3688"/>
      <c r="I4" s="3689"/>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26" t="s">
        <v>1266</v>
      </c>
      <c r="B5" s="3681">
        <v>25</v>
      </c>
      <c r="C5" s="3684"/>
      <c r="D5" s="3672"/>
      <c r="E5" s="131" t="s">
        <v>1267</v>
      </c>
      <c r="F5" s="1755"/>
      <c r="G5" s="1755"/>
      <c r="H5" s="1755"/>
      <c r="I5" s="1371"/>
    </row>
    <row r="6" spans="1:12" ht="12.75">
      <c r="A6" s="3626"/>
      <c r="B6" s="3681"/>
      <c r="C6" s="3686"/>
      <c r="D6" s="3672"/>
      <c r="E6" s="131" t="s">
        <v>1268</v>
      </c>
      <c r="F6" s="1755"/>
      <c r="G6" s="1755"/>
      <c r="H6" s="1755"/>
      <c r="I6" s="1371"/>
    </row>
    <row r="7" spans="1:12" ht="12.75">
      <c r="A7" s="3626"/>
      <c r="B7" s="3681"/>
      <c r="C7" s="3685"/>
      <c r="D7" s="3672"/>
      <c r="E7" s="131" t="s">
        <v>1269</v>
      </c>
      <c r="F7" s="1755"/>
      <c r="G7" s="1755"/>
      <c r="H7" s="1755"/>
      <c r="I7" s="1371"/>
    </row>
    <row r="8" spans="1:12" ht="12.75">
      <c r="A8" s="3626" t="s">
        <v>1270</v>
      </c>
      <c r="B8" s="3681">
        <v>15</v>
      </c>
      <c r="C8" s="3684"/>
      <c r="D8" s="3672"/>
      <c r="E8" s="131" t="s">
        <v>1271</v>
      </c>
      <c r="F8" s="1755"/>
      <c r="G8" s="1755"/>
      <c r="H8" s="1755"/>
      <c r="I8" s="1371"/>
    </row>
    <row r="9" spans="1:12" ht="12.75">
      <c r="A9" s="3626"/>
      <c r="B9" s="3681"/>
      <c r="C9" s="3685"/>
      <c r="D9" s="3672"/>
      <c r="E9" s="131" t="s">
        <v>1272</v>
      </c>
      <c r="F9" s="1755"/>
      <c r="G9" s="1755"/>
      <c r="H9" s="1755"/>
      <c r="I9" s="1371"/>
    </row>
    <row r="10" spans="1:12" ht="12.75">
      <c r="A10" s="3626" t="s">
        <v>1273</v>
      </c>
      <c r="B10" s="3681">
        <v>15</v>
      </c>
      <c r="C10" s="3684"/>
      <c r="D10" s="3672"/>
      <c r="E10" s="131" t="s">
        <v>1274</v>
      </c>
      <c r="F10" s="1755"/>
      <c r="G10" s="1755"/>
      <c r="H10" s="1755"/>
      <c r="I10" s="1371"/>
    </row>
    <row r="11" spans="1:12" ht="12.75">
      <c r="A11" s="3626"/>
      <c r="B11" s="3681"/>
      <c r="C11" s="3685"/>
      <c r="D11" s="3672"/>
      <c r="E11" s="131" t="s">
        <v>1275</v>
      </c>
      <c r="F11" s="1755"/>
      <c r="G11" s="1755"/>
      <c r="H11" s="1755"/>
      <c r="I11" s="1371"/>
    </row>
    <row r="12" spans="1:12" ht="12.75">
      <c r="A12" s="3626" t="s">
        <v>1276</v>
      </c>
      <c r="B12" s="3681">
        <v>15</v>
      </c>
      <c r="C12" s="3684"/>
      <c r="D12" s="3672"/>
      <c r="E12" s="131" t="s">
        <v>1277</v>
      </c>
      <c r="F12" s="1755"/>
      <c r="G12" s="1755"/>
      <c r="H12" s="1755"/>
      <c r="I12" s="1371"/>
    </row>
    <row r="13" spans="1:12" ht="12.75">
      <c r="A13" s="3626"/>
      <c r="B13" s="3681"/>
      <c r="C13" s="3685"/>
      <c r="D13" s="3672"/>
      <c r="E13" s="131" t="s">
        <v>1278</v>
      </c>
      <c r="F13" s="1755"/>
      <c r="G13" s="1755"/>
      <c r="H13" s="1755"/>
      <c r="I13" s="1371"/>
    </row>
    <row r="14" spans="1:12" ht="12.75">
      <c r="A14" s="3626" t="s">
        <v>1279</v>
      </c>
      <c r="B14" s="3681">
        <v>30</v>
      </c>
      <c r="C14" s="3684">
        <v>7</v>
      </c>
      <c r="D14" s="3672">
        <v>3</v>
      </c>
      <c r="E14" s="131" t="s">
        <v>1280</v>
      </c>
      <c r="F14" s="1755"/>
      <c r="G14" s="1755"/>
      <c r="H14" s="1755"/>
      <c r="I14" s="1371"/>
    </row>
    <row r="15" spans="1:12" ht="12.75">
      <c r="A15" s="3626"/>
      <c r="B15" s="3681"/>
      <c r="C15" s="3686"/>
      <c r="D15" s="3672"/>
      <c r="E15" s="131" t="s">
        <v>1281</v>
      </c>
      <c r="F15" s="1755"/>
      <c r="G15" s="1755"/>
      <c r="H15" s="1755"/>
      <c r="I15" s="1371"/>
    </row>
    <row r="16" spans="1:12" ht="12.75">
      <c r="A16" s="3626"/>
      <c r="B16" s="3681"/>
      <c r="C16" s="3685"/>
      <c r="D16" s="3672"/>
      <c r="E16" s="131" t="s">
        <v>1282</v>
      </c>
      <c r="F16" s="1755"/>
      <c r="G16" s="1755"/>
      <c r="H16" s="1755"/>
      <c r="I16" s="1371"/>
    </row>
    <row r="17" spans="1:36" ht="15">
      <c r="A17" s="1756" t="s">
        <v>1283</v>
      </c>
      <c r="B17" s="56"/>
      <c r="C17" s="132">
        <f>SUM(C5:C16)</f>
        <v>7</v>
      </c>
      <c r="D17" s="132">
        <f>SUM(D5:D16)</f>
        <v>3</v>
      </c>
      <c r="E17" s="129"/>
      <c r="F17" s="129"/>
      <c r="G17" s="129"/>
      <c r="H17" s="129"/>
      <c r="I17" s="129"/>
      <c r="K17" s="302"/>
      <c r="L17" s="302" t="s">
        <v>1284</v>
      </c>
      <c r="M17" s="302" t="s">
        <v>1285</v>
      </c>
    </row>
    <row r="18" spans="1:36" ht="31.9" customHeight="1" thickBot="1">
      <c r="A18" s="1757" t="s">
        <v>1286</v>
      </c>
      <c r="B18" s="1758"/>
      <c r="C18" s="133">
        <f>ROUND(C17/SUM(C17:D17),2)</f>
        <v>0.7</v>
      </c>
      <c r="D18" s="133">
        <f>1-C18</f>
        <v>0.30000000000000004</v>
      </c>
      <c r="E18" s="3703" t="s">
        <v>2128</v>
      </c>
      <c r="F18" s="3704"/>
      <c r="G18" s="3704"/>
      <c r="H18" s="3704"/>
      <c r="I18" s="3704"/>
      <c r="K18" s="302" t="s">
        <v>1287</v>
      </c>
      <c r="L18" s="302">
        <f>IF(C1="",'数据-汇总表'!E3,SUMIF(项目类型,C1,'数据-汇总表'!E17:E26)+SUMIF(项目类型,C1,'数据-汇总表'!I17:I26))</f>
        <v>206.15</v>
      </c>
      <c r="M18" s="302">
        <f>IF(C1="",'数据-汇总表'!E3,SUMIF(项目类型,C1,'数据-汇总表'!E17:E26))</f>
        <v>206.15</v>
      </c>
    </row>
    <row r="19" spans="1:36" ht="15">
      <c r="A19" s="1759" t="s">
        <v>1288</v>
      </c>
      <c r="B19" s="1760" t="s">
        <v>1289</v>
      </c>
      <c r="C19" s="134">
        <f ca="1">SUMIF(INDIRECT("'"&amp;C4&amp;"'"&amp;"!A:A"),结果表!B19,INDIRECT("'"&amp;C4&amp;"'"&amp;"!B:B"))</f>
        <v>966.65800000000002</v>
      </c>
      <c r="D19" s="135">
        <f ca="1">SUMIF(INDIRECT("'"&amp;D4&amp;"'"&amp;"!A:A"),结果表!B19,INDIRECT("'"&amp;D4&amp;"'"&amp;"!B:B"))</f>
        <v>595.50990000000002</v>
      </c>
      <c r="E19" s="1759" t="s">
        <v>1290</v>
      </c>
      <c r="F19" s="1760" t="s">
        <v>1289</v>
      </c>
      <c r="G19" s="136">
        <f ca="1">ROUND(C19*$C$18+D19*$D$18,0)</f>
        <v>855</v>
      </c>
      <c r="H19" s="1761" t="s">
        <v>1291</v>
      </c>
      <c r="I19" s="129"/>
      <c r="K19" s="302" t="s">
        <v>1292</v>
      </c>
      <c r="L19" s="302">
        <f>IF(C1="",'数据-汇总表'!D3,SUMIF(项目类型,C1,'数据-汇总表'!D17:D26)+SUMIF(项目类型,C1,'数据-汇总表'!H17:H27))</f>
        <v>23.24</v>
      </c>
      <c r="M19" s="302">
        <f>IF(C1="",'数据-汇总表'!D3,SUMIF(项目类型,C1,'数据-汇总表'!D17:D26))</f>
        <v>23.24</v>
      </c>
    </row>
    <row r="20" spans="1:36" ht="15">
      <c r="A20" s="1762"/>
      <c r="B20" s="1025" t="s">
        <v>1293</v>
      </c>
      <c r="C20" s="137">
        <f ca="1">SUMIF(INDIRECT("'"&amp;C4&amp;"'"&amp;"!A:A"),结果表!B20,INDIRECT("'"&amp;C4&amp;"'"&amp;"!B:B"))</f>
        <v>46891</v>
      </c>
      <c r="D20" s="138">
        <f ca="1">SUMIF(INDIRECT("'"&amp;D4&amp;"'"&amp;"!A:A"),结果表!B20,INDIRECT("'"&amp;D4&amp;"'"&amp;"!B:B"))</f>
        <v>28887</v>
      </c>
      <c r="E20" s="1762"/>
      <c r="F20" s="1025" t="s">
        <v>1293</v>
      </c>
      <c r="G20" s="139">
        <f ca="1">ROUND(C20*$C$18+D20*$D$18,0)</f>
        <v>41490</v>
      </c>
      <c r="H20" s="807" t="s">
        <v>1294</v>
      </c>
      <c r="I20" s="129"/>
    </row>
    <row r="21" spans="1:36" ht="15" customHeight="1" thickBot="1">
      <c r="A21" s="827"/>
      <c r="B21" s="1763" t="s">
        <v>1295</v>
      </c>
      <c r="C21" s="718">
        <f ca="1">ROUND(C19*10000/L19,0)</f>
        <v>415946</v>
      </c>
      <c r="D21" s="719">
        <f ca="1">ROUND(D19*10000/L19,0)</f>
        <v>256244</v>
      </c>
      <c r="E21" s="827"/>
      <c r="F21" s="1763" t="s">
        <v>1295</v>
      </c>
      <c r="G21" s="140">
        <f ca="1">ROUND(G19*10000/L19,0)</f>
        <v>367900</v>
      </c>
      <c r="H21" s="1764" t="s">
        <v>1294</v>
      </c>
      <c r="I21" s="129"/>
    </row>
    <row r="22" spans="1:36" ht="15" thickBot="1">
      <c r="A22" s="1686" t="s">
        <v>1296</v>
      </c>
      <c r="B22" s="1765"/>
      <c r="C22" s="1766"/>
      <c r="D22" s="720">
        <f ca="1">IF(C19&lt;D19,D19/C19-1,C19/D19-1)</f>
        <v>0.62324421474773128</v>
      </c>
      <c r="E22" s="129"/>
      <c r="F22" s="129"/>
      <c r="G22" s="129"/>
      <c r="H22" s="129"/>
      <c r="I22" s="129"/>
    </row>
    <row r="23" spans="1:36" ht="13.5" thickBot="1">
      <c r="A23" s="1745"/>
      <c r="B23" s="1745"/>
      <c r="C23" s="1745"/>
      <c r="D23" s="1745"/>
      <c r="E23" s="129"/>
      <c r="F23" s="129"/>
      <c r="G23" s="129"/>
      <c r="H23" s="129"/>
      <c r="I23" s="129"/>
    </row>
    <row r="24" spans="1:36" ht="14.25">
      <c r="A24" s="3696" t="s">
        <v>1297</v>
      </c>
      <c r="B24" s="1760" t="s">
        <v>1289</v>
      </c>
      <c r="C24" s="136">
        <f>IF(B30=0,0,D30)</f>
        <v>0</v>
      </c>
      <c r="D24" s="1767"/>
      <c r="E24" s="129"/>
      <c r="F24" s="129"/>
      <c r="G24" s="129"/>
      <c r="H24" s="129"/>
      <c r="I24" s="129"/>
    </row>
    <row r="25" spans="1:36" ht="14.25">
      <c r="A25" s="3697"/>
      <c r="B25" s="1025" t="s">
        <v>1293</v>
      </c>
      <c r="C25" s="141">
        <f>IF(B30=0,0,C30)</f>
        <v>0</v>
      </c>
      <c r="D25" s="1768"/>
      <c r="E25" s="129"/>
      <c r="F25" s="129"/>
      <c r="G25" s="129"/>
      <c r="H25" s="129"/>
      <c r="I25" s="129"/>
    </row>
    <row r="26" spans="1:36" ht="13.5" customHeight="1">
      <c r="A26" s="1769" t="s">
        <v>1298</v>
      </c>
      <c r="B26" s="142" t="s">
        <v>1299</v>
      </c>
      <c r="C26" s="142" t="s">
        <v>1300</v>
      </c>
      <c r="D26" s="143" t="s">
        <v>1301</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1302</v>
      </c>
      <c r="B30" s="142"/>
      <c r="C30" s="142"/>
      <c r="D30" s="142"/>
      <c r="E30" s="2301" t="s">
        <v>2129</v>
      </c>
      <c r="F30" s="129"/>
      <c r="G30" s="129"/>
      <c r="H30" s="129"/>
      <c r="I30" s="129"/>
    </row>
    <row r="31" spans="1:36" s="2307" customFormat="1" ht="26.45" customHeight="1" thickTop="1" thickBot="1">
      <c r="A31" s="2302"/>
      <c r="B31" s="2303"/>
      <c r="C31" s="2303"/>
      <c r="D31" s="2303"/>
      <c r="E31" s="2303"/>
      <c r="F31" s="2303"/>
      <c r="G31" s="2303"/>
      <c r="H31" s="2303"/>
      <c r="I31" s="2304" t="s">
        <v>2130</v>
      </c>
      <c r="J31" s="2685"/>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1303</v>
      </c>
      <c r="B32" s="1772"/>
      <c r="C32" s="144">
        <f ca="1">IF(D32="总价",G19-C24,G20-C25)</f>
        <v>41490</v>
      </c>
      <c r="D32" s="1773" t="s">
        <v>3576</v>
      </c>
      <c r="E32" s="129"/>
      <c r="F32" s="129"/>
      <c r="G32" s="129"/>
      <c r="H32" s="129"/>
      <c r="I32" s="129"/>
    </row>
    <row r="33" spans="1:15" ht="15">
      <c r="A33" s="785" t="s">
        <v>1304</v>
      </c>
      <c r="B33" s="1774"/>
      <c r="C33" s="1775" t="s">
        <v>3577</v>
      </c>
      <c r="D33" s="1776" t="s">
        <v>3525</v>
      </c>
      <c r="E33" s="1777" t="s">
        <v>1305</v>
      </c>
      <c r="F33" s="1778" t="str">
        <f>IF(D32="楼面单价","取值（单价）","取值（总价）")</f>
        <v>取值（单价）</v>
      </c>
      <c r="G33" s="129"/>
      <c r="H33" s="129"/>
      <c r="I33" s="129"/>
    </row>
    <row r="34" spans="1:15" ht="15">
      <c r="A34" s="1779"/>
      <c r="B34" s="1780" t="s">
        <v>1306</v>
      </c>
      <c r="C34" s="148">
        <f ca="1">IF(C33="自定义",F34,C32-C35)</f>
        <v>32113</v>
      </c>
      <c r="D34" s="860">
        <f ca="1">IF(C33="自定义",ROUND(C34/C32,3),IF(C33="收益比率",SUMIF(INDIRECT("'"&amp;D33&amp;"'"&amp;"!b:b"),"土地收益比率",INDIRECT("'"&amp;D33&amp;"'"&amp;"!c:c")),SUMIF(INDIRECT("'"&amp;D33&amp;"'"&amp;"!b:b"),"土地成本比率",INDIRECT("'"&amp;D33&amp;"'"&amp;"!c:c"))))</f>
        <v>0.77400000000000002</v>
      </c>
      <c r="E34" s="1781" t="s">
        <v>1307</v>
      </c>
      <c r="F34" s="1328"/>
      <c r="G34" s="129"/>
      <c r="H34" s="129"/>
      <c r="I34" s="129"/>
    </row>
    <row r="35" spans="1:15" ht="15.75" thickBot="1">
      <c r="A35" s="1782"/>
      <c r="B35" s="1783" t="s">
        <v>1308</v>
      </c>
      <c r="C35" s="1168">
        <f ca="1">IF(C33="自定义",F35,ROUND(C32*D35,0))</f>
        <v>9377</v>
      </c>
      <c r="D35" s="1169">
        <f ca="1">IF(C33="自定义",ROUND(C35/C32,3),IF(C33="收益比率",SUMIF(INDIRECT("'"&amp;D33&amp;"'"&amp;"!b:b"),"建筑物收益比率",INDIRECT("'"&amp;D33&amp;"'"&amp;"!c:c")),SUMIF(INDIRECT("'"&amp;D33&amp;"'"&amp;"!b:b"),"建筑物成本比率",INDIRECT("'"&amp;D33&amp;"'"&amp;"!c:c"))))</f>
        <v>0.22600000000000001</v>
      </c>
      <c r="E35" s="1784" t="s">
        <v>1309</v>
      </c>
      <c r="F35" s="154"/>
      <c r="G35" s="129"/>
      <c r="H35" s="129"/>
      <c r="I35" s="129"/>
    </row>
    <row r="36" spans="1:15" ht="15.75" thickBot="1">
      <c r="A36" s="3673" t="s">
        <v>1310</v>
      </c>
      <c r="B36" s="1785" t="s">
        <v>1311</v>
      </c>
      <c r="C36" s="145"/>
      <c r="D36" s="1786"/>
      <c r="E36" s="1787"/>
      <c r="F36" s="1788"/>
      <c r="G36" s="129"/>
      <c r="H36" s="129"/>
      <c r="I36" s="129"/>
    </row>
    <row r="37" spans="1:15" ht="15.75" thickBot="1">
      <c r="A37" s="3674"/>
      <c r="B37" s="1672" t="s">
        <v>1312</v>
      </c>
      <c r="C37" s="147"/>
      <c r="D37" s="1137"/>
      <c r="E37" s="1137"/>
      <c r="F37" s="1788"/>
      <c r="G37" s="129"/>
      <c r="H37" s="129"/>
      <c r="I37" s="129"/>
    </row>
    <row r="38" spans="1:15" ht="15.75" thickBot="1">
      <c r="A38" s="3675"/>
      <c r="B38" s="1789" t="s">
        <v>1313</v>
      </c>
      <c r="C38" s="673"/>
      <c r="D38" s="1790" t="s">
        <v>1314</v>
      </c>
      <c r="E38" s="1137"/>
      <c r="F38" s="1788"/>
      <c r="G38" s="129"/>
      <c r="H38" s="129"/>
      <c r="I38" s="129"/>
    </row>
    <row r="39" spans="1:15" ht="15">
      <c r="A39" s="1762" t="s">
        <v>1315</v>
      </c>
      <c r="B39" s="1791" t="s">
        <v>1316</v>
      </c>
      <c r="C39" s="1792" t="s">
        <v>1317</v>
      </c>
      <c r="D39" s="1792" t="s">
        <v>1318</v>
      </c>
      <c r="E39" s="1793" t="s">
        <v>1319</v>
      </c>
      <c r="F39" s="1788"/>
      <c r="G39" s="129"/>
      <c r="H39" s="129"/>
      <c r="I39" s="129"/>
    </row>
    <row r="40" spans="1:15" ht="14.25">
      <c r="A40" s="1794" t="s">
        <v>1320</v>
      </c>
      <c r="B40" s="149"/>
      <c r="C40" s="150"/>
      <c r="D40" s="150"/>
      <c r="E40" s="151"/>
      <c r="F40" s="1788"/>
      <c r="G40" s="129"/>
      <c r="H40" s="129"/>
      <c r="I40" s="129"/>
    </row>
    <row r="41" spans="1:15" ht="14.25">
      <c r="A41" s="1794" t="s">
        <v>1321</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1322</v>
      </c>
      <c r="B44" s="1799"/>
      <c r="C44" s="1799"/>
      <c r="D44" s="1800"/>
      <c r="E44" s="1800"/>
      <c r="F44" s="1801"/>
      <c r="G44" s="1801"/>
      <c r="H44" s="1801"/>
      <c r="I44" s="1801"/>
      <c r="J44" s="1802" t="s">
        <v>1323</v>
      </c>
      <c r="K44" s="1803"/>
      <c r="L44" s="1803"/>
      <c r="M44" s="1803"/>
      <c r="N44" s="1803"/>
      <c r="O44" s="1803"/>
    </row>
    <row r="45" spans="1:15" ht="14.25" customHeight="1" thickBot="1">
      <c r="A45" s="3693" t="s">
        <v>1324</v>
      </c>
      <c r="B45" s="3694"/>
      <c r="C45" s="3695"/>
      <c r="D45" s="155">
        <f ca="1">ROUND(H101*F45,0)</f>
        <v>855</v>
      </c>
      <c r="E45" s="156" t="s">
        <v>1325</v>
      </c>
      <c r="F45" s="157">
        <v>1</v>
      </c>
      <c r="G45" s="158" t="s">
        <v>1326</v>
      </c>
      <c r="H45" s="129"/>
      <c r="I45" s="129"/>
      <c r="J45" s="3613" t="s">
        <v>1327</v>
      </c>
      <c r="K45" s="3613"/>
      <c r="L45" s="3613"/>
      <c r="M45" s="3613"/>
      <c r="N45" s="3613"/>
      <c r="O45" s="3613"/>
    </row>
    <row r="46" spans="1:15" ht="14.25" customHeight="1">
      <c r="A46" s="3690" t="s">
        <v>1328</v>
      </c>
      <c r="B46" s="3691"/>
      <c r="C46" s="3691"/>
      <c r="D46" s="3691"/>
      <c r="E46" s="3691"/>
      <c r="F46" s="3691"/>
      <c r="G46" s="3692"/>
      <c r="H46" s="1804"/>
      <c r="I46" s="159"/>
      <c r="J46" s="2519">
        <v>1</v>
      </c>
      <c r="K46" s="3614" t="s">
        <v>1329</v>
      </c>
      <c r="L46" s="3614"/>
      <c r="M46" s="3615"/>
      <c r="N46" s="3615"/>
      <c r="O46" s="3615"/>
    </row>
    <row r="47" spans="1:15" ht="12" customHeight="1">
      <c r="A47" s="160" t="s">
        <v>1330</v>
      </c>
      <c r="B47" s="161"/>
      <c r="C47" s="162"/>
      <c r="D47" s="1085" t="s">
        <v>1331</v>
      </c>
      <c r="E47" s="302" t="s">
        <v>1332</v>
      </c>
      <c r="F47" s="163" t="s">
        <v>1333</v>
      </c>
      <c r="G47" s="2542" t="s">
        <v>1334</v>
      </c>
      <c r="H47" s="2543"/>
      <c r="I47" s="159"/>
      <c r="J47" s="2519">
        <v>2</v>
      </c>
      <c r="K47" s="3614" t="s">
        <v>1335</v>
      </c>
      <c r="L47" s="3614"/>
      <c r="M47" s="3616">
        <f>'数据-取费表'!B2</f>
        <v>45498</v>
      </c>
      <c r="N47" s="3616"/>
      <c r="O47" s="3616"/>
    </row>
    <row r="48" spans="1:15" ht="25.5">
      <c r="A48" s="3676" t="s">
        <v>1336</v>
      </c>
      <c r="B48" s="3677"/>
      <c r="C48" s="3677"/>
      <c r="D48" s="2322" t="b">
        <f>IF(H48="情况1",0,IF(H48="情况2",D52,IF(H48="情况3",D53,IF(H48="情况4",D54))))</f>
        <v>0</v>
      </c>
      <c r="E48" s="2332" t="str">
        <f>IF(H48="情况4","(销售额-原购置价)×税（费）率","销售额×税（费）率")</f>
        <v>销售额×税（费）率</v>
      </c>
      <c r="F48" s="2544">
        <f>IF(H48="情况1","免征",'数据-取费表'!B41)</f>
        <v>5.6000000000000001E-2</v>
      </c>
      <c r="G48" s="2545" t="s">
        <v>1337</v>
      </c>
      <c r="H48" s="2546"/>
      <c r="I48" s="1804"/>
      <c r="J48" s="2519">
        <v>3</v>
      </c>
      <c r="K48" s="3614" t="s">
        <v>1338</v>
      </c>
      <c r="L48" s="3614"/>
      <c r="M48" s="3617">
        <f ca="1">H101</f>
        <v>855</v>
      </c>
      <c r="N48" s="3617"/>
      <c r="O48" s="3617"/>
    </row>
    <row r="49" spans="1:35" ht="25.5" customHeight="1">
      <c r="A49" s="2331" t="s">
        <v>1339</v>
      </c>
      <c r="B49" s="3662" t="s">
        <v>1340</v>
      </c>
      <c r="C49" s="3662"/>
      <c r="D49" s="1588">
        <v>0</v>
      </c>
      <c r="E49" s="324" t="s">
        <v>1341</v>
      </c>
      <c r="F49" s="2422" t="s">
        <v>28</v>
      </c>
      <c r="G49" s="3645"/>
      <c r="H49" s="2308" t="s">
        <v>2131</v>
      </c>
      <c r="I49" s="2309"/>
      <c r="J49" s="2519">
        <v>4</v>
      </c>
      <c r="K49" s="3614" t="str">
        <f>IF(项目基本情况!E8="房地产抵押价值","房地产抵押价值","抵押担保权已注销时的房地产抵押价值")</f>
        <v>房地产抵押价值</v>
      </c>
      <c r="L49" s="3614"/>
      <c r="M49" s="3617">
        <f ca="1">IF(项目基本情况!E8="房地产抵押价值",H107,H109)</f>
        <v>855</v>
      </c>
      <c r="N49" s="3617"/>
      <c r="O49" s="3617"/>
    </row>
    <row r="50" spans="1:35" ht="25.5" customHeight="1">
      <c r="A50" s="2547"/>
      <c r="B50" s="3662" t="s">
        <v>1342</v>
      </c>
      <c r="C50" s="3662"/>
      <c r="D50" s="2548"/>
      <c r="E50" s="332"/>
      <c r="F50" s="2422"/>
      <c r="G50" s="3646"/>
      <c r="H50" s="2310" t="s">
        <v>2132</v>
      </c>
      <c r="I50" s="2309"/>
      <c r="J50" s="3613" t="s">
        <v>1343</v>
      </c>
      <c r="K50" s="3613"/>
      <c r="L50" s="3613"/>
      <c r="M50" s="3613"/>
      <c r="N50" s="3613"/>
      <c r="O50" s="3613"/>
    </row>
    <row r="51" spans="1:35" ht="20.45" customHeight="1">
      <c r="A51" s="2549"/>
      <c r="B51" s="3662" t="s">
        <v>1344</v>
      </c>
      <c r="C51" s="3662"/>
      <c r="D51" s="1085"/>
      <c r="E51" s="327"/>
      <c r="F51" s="2422"/>
      <c r="G51" s="3647"/>
      <c r="H51" s="2310" t="s">
        <v>2133</v>
      </c>
      <c r="I51" s="2309"/>
      <c r="J51" s="2520" t="s">
        <v>1345</v>
      </c>
      <c r="K51" s="3614" t="s">
        <v>1346</v>
      </c>
      <c r="L51" s="3614"/>
      <c r="M51" s="2520" t="s">
        <v>1347</v>
      </c>
      <c r="N51" s="2520" t="s">
        <v>1348</v>
      </c>
      <c r="O51" s="2520" t="s">
        <v>1349</v>
      </c>
    </row>
    <row r="52" spans="1:35" ht="24" customHeight="1">
      <c r="A52" s="2333" t="s">
        <v>1350</v>
      </c>
      <c r="B52" s="3662" t="s">
        <v>1351</v>
      </c>
      <c r="C52" s="3662"/>
      <c r="D52" s="1085">
        <f ca="1">ROUND(D45*'数据-取费表'!B41/(1+'数据-取费表'!C42),0)</f>
        <v>46</v>
      </c>
      <c r="E52" s="2332" t="s">
        <v>1352</v>
      </c>
      <c r="F52" s="2550">
        <f>'数据-取费表'!B41</f>
        <v>5.6000000000000001E-2</v>
      </c>
      <c r="G52" s="2551"/>
      <c r="H52" s="2540"/>
      <c r="I52" s="1805"/>
      <c r="J52" s="2519">
        <v>1</v>
      </c>
      <c r="K52" s="3639" t="s">
        <v>1353</v>
      </c>
      <c r="L52" s="3639"/>
      <c r="M52" s="2521" t="b">
        <f>D48</f>
        <v>0</v>
      </c>
      <c r="N52" s="2519" t="str">
        <f>E48</f>
        <v>销售额×税（费）率</v>
      </c>
      <c r="O52" s="2522">
        <f>F48</f>
        <v>5.6000000000000001E-2</v>
      </c>
    </row>
    <row r="53" spans="1:35" ht="12" customHeight="1">
      <c r="A53" s="2333" t="s">
        <v>1354</v>
      </c>
      <c r="B53" s="3663" t="s">
        <v>2284</v>
      </c>
      <c r="C53" s="3664"/>
      <c r="D53" s="1085">
        <f ca="1">ROUND(D45*'数据-取费表'!B41/(1+'数据-取费表'!C42),0)</f>
        <v>46</v>
      </c>
      <c r="E53" s="2332" t="s">
        <v>1352</v>
      </c>
      <c r="F53" s="2550">
        <f>'数据-取费表'!B41</f>
        <v>5.6000000000000001E-2</v>
      </c>
      <c r="G53" s="2551"/>
      <c r="H53" s="2540"/>
      <c r="I53" s="1805"/>
      <c r="J53" s="2519">
        <v>2</v>
      </c>
      <c r="K53" s="3639" t="s">
        <v>1355</v>
      </c>
      <c r="L53" s="3639"/>
      <c r="M53" s="2521">
        <f t="shared" ref="M53:O54" ca="1" si="0">D55</f>
        <v>0</v>
      </c>
      <c r="N53" s="2519" t="str">
        <f t="shared" si="0"/>
        <v>销售额×税（费）率</v>
      </c>
      <c r="O53" s="2522" t="str">
        <f t="shared" si="0"/>
        <v>免征</v>
      </c>
    </row>
    <row r="54" spans="1:35" ht="12" customHeight="1">
      <c r="A54" s="2333" t="s">
        <v>1356</v>
      </c>
      <c r="B54" s="3663" t="s">
        <v>2285</v>
      </c>
      <c r="C54" s="3664"/>
      <c r="D54" s="1085">
        <f ca="1">C68</f>
        <v>46</v>
      </c>
      <c r="E54" s="327" t="s">
        <v>1357</v>
      </c>
      <c r="F54" s="2550">
        <f>'数据-取费表'!B41</f>
        <v>5.6000000000000001E-2</v>
      </c>
      <c r="G54" s="2551"/>
      <c r="H54" s="2552"/>
      <c r="I54" s="1805"/>
      <c r="J54" s="2519">
        <v>3</v>
      </c>
      <c r="K54" s="3639" t="s">
        <v>1358</v>
      </c>
      <c r="L54" s="3639"/>
      <c r="M54" s="2521">
        <f t="shared" ca="1" si="0"/>
        <v>484</v>
      </c>
      <c r="N54" s="2519" t="str">
        <f t="shared" si="0"/>
        <v>增值额×税（费）率</v>
      </c>
      <c r="O54" s="2523" t="str">
        <f t="shared" si="0"/>
        <v>免征</v>
      </c>
    </row>
    <row r="55" spans="1:35" ht="24" customHeight="1">
      <c r="A55" s="3699" t="s">
        <v>1359</v>
      </c>
      <c r="B55" s="3677"/>
      <c r="C55" s="3677"/>
      <c r="D55" s="2322">
        <f ca="1">IF(H55="个人住宅",0,ROUND(D45*I55,0))</f>
        <v>0</v>
      </c>
      <c r="E55" s="2332" t="s">
        <v>1360</v>
      </c>
      <c r="F55" s="2550" t="str">
        <f>IF(H55="正常",I55,"免征")</f>
        <v>免征</v>
      </c>
      <c r="G55" s="2551"/>
      <c r="H55" s="2546"/>
      <c r="I55" s="165">
        <f>'数据-取费表'!B49</f>
        <v>5.0000000000000001E-4</v>
      </c>
      <c r="J55" s="2519">
        <f>IF(H59="非个人房产","",4)</f>
        <v>4</v>
      </c>
      <c r="K55" s="3639" t="str">
        <f>IF(H59="非个人房产","——","个人所得税")</f>
        <v>个人所得税</v>
      </c>
      <c r="L55" s="3639"/>
      <c r="M55" s="2524">
        <f ca="1">D59</f>
        <v>8</v>
      </c>
      <c r="N55" s="2038" t="str">
        <f>E59</f>
        <v>差额计税</v>
      </c>
      <c r="O55" s="2525">
        <f>F59</f>
        <v>0.01</v>
      </c>
    </row>
    <row r="56" spans="1:35" ht="24.75">
      <c r="A56" s="3699" t="s">
        <v>1361</v>
      </c>
      <c r="B56" s="3677"/>
      <c r="C56" s="3677"/>
      <c r="D56" s="2322">
        <f ca="1">IF(H56="个人住宅",D57,D58)</f>
        <v>484</v>
      </c>
      <c r="E56" s="2332" t="s">
        <v>1362</v>
      </c>
      <c r="F56" s="2550" t="str">
        <f>IF(H56="正常",F58,"免征")</f>
        <v>免征</v>
      </c>
      <c r="G56" s="2553" t="s">
        <v>1363</v>
      </c>
      <c r="H56" s="2554"/>
      <c r="I56" s="1806"/>
      <c r="J56" s="2519" t="str">
        <f>IF(项目基本情况!K6="上海银行",IF(J55="",4,J55+1),"")</f>
        <v/>
      </c>
      <c r="K56" s="3620" t="str">
        <f>IF(项目基本情况!K6="上海银行","其他处置费用","")</f>
        <v/>
      </c>
      <c r="L56" s="3621"/>
      <c r="M56" s="2521" t="str">
        <f>IF(项目基本情况!K6="上海银行",M69,"")</f>
        <v/>
      </c>
      <c r="N56" s="3620" t="str">
        <f>IF(项目基本情况!K6="上海银行","包含处置中涉及的律师、诉讼、拍卖、评估等费用","")</f>
        <v/>
      </c>
      <c r="O56" s="3623"/>
    </row>
    <row r="57" spans="1:35" ht="12.75">
      <c r="A57" s="2333" t="s">
        <v>1339</v>
      </c>
      <c r="B57" s="3663" t="s">
        <v>1364</v>
      </c>
      <c r="C57" s="3664"/>
      <c r="D57" s="1588">
        <v>0</v>
      </c>
      <c r="E57" s="324" t="s">
        <v>1341</v>
      </c>
      <c r="F57" s="302"/>
      <c r="G57" s="2551"/>
      <c r="H57" s="2555"/>
      <c r="I57" s="1806"/>
      <c r="J57" s="3639">
        <f>IF(AND(J55="",J56=""),4,IF(项目基本情况!K6="上海银行",结果表!J56+1,结果表!J55+1))</f>
        <v>5</v>
      </c>
      <c r="K57" s="3639" t="s">
        <v>1365</v>
      </c>
      <c r="L57" s="2526" t="s">
        <v>1366</v>
      </c>
      <c r="M57" s="2527"/>
      <c r="N57" s="2528">
        <f ca="1">SUMIF(M52:M56,"&lt;9e307")</f>
        <v>492</v>
      </c>
      <c r="O57" s="2529"/>
      <c r="P57" s="2686">
        <f ca="1">N57/M49</f>
        <v>0.57543859649122808</v>
      </c>
    </row>
    <row r="58" spans="1:35" ht="24.75">
      <c r="A58" s="2333" t="s">
        <v>1350</v>
      </c>
      <c r="B58" s="3663" t="s">
        <v>1367</v>
      </c>
      <c r="C58" s="3662"/>
      <c r="D58" s="2322">
        <f ca="1">IF(H58="转让取得",C81,C97)</f>
        <v>484</v>
      </c>
      <c r="E58" s="2332" t="s">
        <v>1362</v>
      </c>
      <c r="F58" s="302" t="s">
        <v>28</v>
      </c>
      <c r="G58" s="2551"/>
      <c r="H58" s="2554"/>
      <c r="I58" s="1806"/>
      <c r="J58" s="3639"/>
      <c r="K58" s="3639"/>
      <c r="L58" s="2526" t="s">
        <v>1368</v>
      </c>
      <c r="M58" s="2530"/>
      <c r="N58" s="2531" t="str">
        <f ca="1">NUMBERSTRING(INT(N57*10000),2)&amp;"元整"</f>
        <v>肆佰玖拾贰万元整</v>
      </c>
      <c r="O58" s="2532"/>
    </row>
    <row r="59" spans="1:35" ht="24.75" thickBot="1">
      <c r="A59" s="3643" t="s">
        <v>1369</v>
      </c>
      <c r="B59" s="3644"/>
      <c r="C59" s="3644"/>
      <c r="D59" s="2556">
        <f ca="1">IF(H59="非个人房产","——",IF(H59="个人住宅（满五唯一有凭证）",0,IF(H59="个人其他（无凭证）",ROUND(D45*F59,0),ROUND(C67*F59,0))))</f>
        <v>8</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1363</v>
      </c>
      <c r="H59" s="2312"/>
      <c r="I59" s="2311" t="s">
        <v>2134</v>
      </c>
      <c r="J59" s="3641">
        <f>J57+1</f>
        <v>6</v>
      </c>
      <c r="K59" s="3639" t="s">
        <v>1370</v>
      </c>
      <c r="L59" s="2519" t="s">
        <v>1366</v>
      </c>
      <c r="M59" s="2533"/>
      <c r="N59" s="2534">
        <f ca="1">M49-N57</f>
        <v>363</v>
      </c>
      <c r="O59" s="2535"/>
    </row>
    <row r="60" spans="1:35" ht="12" customHeight="1">
      <c r="A60" s="1807"/>
      <c r="B60" s="1745"/>
      <c r="C60" s="1745"/>
      <c r="D60" s="1745"/>
      <c r="E60" s="1576"/>
      <c r="F60" s="1806"/>
      <c r="G60" s="1806"/>
      <c r="H60" s="1808"/>
      <c r="I60" s="129"/>
      <c r="J60" s="3642"/>
      <c r="K60" s="3639"/>
      <c r="L60" s="2526" t="s">
        <v>1368</v>
      </c>
      <c r="M60" s="2530"/>
      <c r="N60" s="2531" t="str">
        <f ca="1">NUMBERSTRING(INT(N59*10000),2)&amp;"元整"</f>
        <v>叁佰陆拾叁万元整</v>
      </c>
      <c r="O60" s="2532"/>
    </row>
    <row r="61" spans="1:35" ht="13.5" thickBot="1">
      <c r="A61" s="3698" t="s">
        <v>1371</v>
      </c>
      <c r="B61" s="3698"/>
      <c r="C61" s="3698"/>
      <c r="D61" s="3698"/>
      <c r="E61" s="3698"/>
      <c r="F61" s="1806"/>
      <c r="G61" s="1806"/>
      <c r="H61" s="1808"/>
      <c r="I61" s="129"/>
      <c r="J61" s="2519">
        <f>J59+1</f>
        <v>7</v>
      </c>
      <c r="K61" s="3639" t="s">
        <v>1372</v>
      </c>
      <c r="L61" s="3639"/>
      <c r="M61" s="2536"/>
      <c r="N61" s="2537">
        <f ca="1">ROUND(N59*10000/'数据-汇总表'!E3,0)</f>
        <v>5884</v>
      </c>
      <c r="O61" s="2538"/>
    </row>
    <row r="62" spans="1:35" ht="12.75">
      <c r="A62" s="3658" t="s">
        <v>1373</v>
      </c>
      <c r="B62" s="3659"/>
      <c r="C62" s="2019"/>
      <c r="D62" s="2019" t="s">
        <v>1374</v>
      </c>
      <c r="E62" s="166" t="s">
        <v>1375</v>
      </c>
      <c r="F62" s="1806"/>
      <c r="G62" s="1806"/>
      <c r="H62" s="1808"/>
      <c r="I62" s="129"/>
    </row>
    <row r="63" spans="1:35" ht="12.75">
      <c r="A63" s="173" t="s">
        <v>330</v>
      </c>
      <c r="B63" s="167" t="s">
        <v>1376</v>
      </c>
      <c r="C63" s="2560">
        <f ca="1">ROUND((C64+C65)/(1+'数据-取费表'!C42),0)</f>
        <v>814</v>
      </c>
      <c r="D63" s="167"/>
      <c r="E63" s="168"/>
      <c r="F63" s="1806"/>
      <c r="G63" s="1806"/>
      <c r="H63" s="1808"/>
      <c r="I63" s="129"/>
      <c r="J63" s="3622" t="s">
        <v>1377</v>
      </c>
      <c r="K63" s="1330" t="s">
        <v>1378</v>
      </c>
      <c r="L63" s="1330">
        <f ca="1">IF(M49&gt;10000,M49*0.5%,IF(AND(M49&gt;1000,M49&lt;=10000),M49*1%,IF(AND(M49&gt;100,M49&lt;=1000),M49*3%,IF(AND(M49&gt;10,M49&lt;=100),M49*5%,M49*8%))))</f>
        <v>25.65</v>
      </c>
      <c r="M63" s="302">
        <f ca="1">ROUND(L63,1)</f>
        <v>25.7</v>
      </c>
      <c r="N63" s="2539"/>
      <c r="Z63" s="1750"/>
      <c r="AI63" s="1751"/>
    </row>
    <row r="64" spans="1:35" ht="14.25" customHeight="1">
      <c r="A64" s="169" t="s">
        <v>325</v>
      </c>
      <c r="B64" s="170" t="s">
        <v>1379</v>
      </c>
      <c r="C64" s="2561">
        <f ca="1">D45</f>
        <v>855</v>
      </c>
      <c r="D64" s="170" t="s">
        <v>26</v>
      </c>
      <c r="E64" s="172"/>
      <c r="F64" s="1806"/>
      <c r="G64" s="1806"/>
      <c r="H64" s="1808"/>
      <c r="I64" s="129"/>
      <c r="J64" s="3622"/>
      <c r="K64" s="1330" t="s">
        <v>1380</v>
      </c>
      <c r="L64" s="1330">
        <f ca="1">IF(M49&gt;2000,M49*0.5%,IF(AND(M49&gt;1000,M49&lt;=2000),M49*0.6%,IF(AND(M49&gt;500,M49&lt;=1000),M49*0.7%,IF(AND(M49&gt;200,M49&lt;=500),M49*0.8%,IF(AND(M49&gt;100,M49&lt;=200),M49*0.9%,IF(AND(M49&gt;50,M49&lt;=100),M49*1%,IF(AND(M49&gt;20,M49&lt;=50),M49*1.5%,IF(AND(M49&gt;10,M49&lt;=20),M49*2%,IF(AND(M49&gt;1,M49&lt;=10),M49*2.5%)))))))))</f>
        <v>5.9849999999999994</v>
      </c>
      <c r="M64" s="302">
        <f t="shared" ref="M64:M65" ca="1" si="1">ROUND(L64,1)</f>
        <v>6</v>
      </c>
      <c r="N64" s="2540" t="s">
        <v>1381</v>
      </c>
      <c r="Z64" s="1750"/>
      <c r="AI64" s="1751"/>
    </row>
    <row r="65" spans="1:35" ht="14.25" customHeight="1">
      <c r="A65" s="169" t="s">
        <v>326</v>
      </c>
      <c r="B65" s="170" t="s">
        <v>1382</v>
      </c>
      <c r="C65" s="2562"/>
      <c r="D65" s="170"/>
      <c r="E65" s="172"/>
      <c r="F65" s="1806"/>
      <c r="G65" s="1806"/>
      <c r="H65" s="1808"/>
      <c r="I65" s="129"/>
      <c r="J65" s="3622"/>
      <c r="K65" s="1330" t="s">
        <v>1383</v>
      </c>
      <c r="L65" s="1330">
        <f ca="1">IF(M49&gt;1000,M49*0.1%,IF(AND(M49&gt;500,M49&lt;=1000),M49*0.5%,IF(AND(M49&gt;50,M49&lt;=500),M49*1%,IF(AND(M49&gt;1,M49&lt;=50),M49*1.5%))))</f>
        <v>4.2750000000000004</v>
      </c>
      <c r="M65" s="302">
        <f t="shared" ca="1" si="1"/>
        <v>4.3</v>
      </c>
      <c r="N65" s="2540" t="s">
        <v>1381</v>
      </c>
      <c r="Z65" s="1750"/>
      <c r="AI65" s="1751"/>
    </row>
    <row r="66" spans="1:35" ht="14.25" customHeight="1">
      <c r="A66" s="173" t="s">
        <v>327</v>
      </c>
      <c r="B66" s="174" t="s">
        <v>1384</v>
      </c>
      <c r="C66" s="2563"/>
      <c r="D66" s="174" t="s">
        <v>26</v>
      </c>
      <c r="E66" s="1336" t="s">
        <v>669</v>
      </c>
      <c r="F66" s="1806"/>
      <c r="G66" s="1806"/>
      <c r="H66" s="1808"/>
      <c r="I66" s="129"/>
      <c r="J66" s="3622"/>
      <c r="K66" s="1330" t="s">
        <v>1385</v>
      </c>
      <c r="L66" s="1330">
        <f ca="1">M49*0.5%</f>
        <v>4.2750000000000004</v>
      </c>
      <c r="M66" s="302">
        <f ca="1">IF(L66&gt;0.5,0.5,ROUND(L66,0))</f>
        <v>0.5</v>
      </c>
      <c r="N66" s="2540" t="s">
        <v>1386</v>
      </c>
      <c r="Z66" s="1750"/>
      <c r="AI66" s="1751"/>
    </row>
    <row r="67" spans="1:35" ht="14.25" customHeight="1">
      <c r="A67" s="173" t="s">
        <v>328</v>
      </c>
      <c r="B67" s="174" t="s">
        <v>1387</v>
      </c>
      <c r="C67" s="2564">
        <f ca="1">C63-C66</f>
        <v>814</v>
      </c>
      <c r="D67" s="170" t="s">
        <v>26</v>
      </c>
      <c r="E67" s="172"/>
      <c r="F67" s="1806"/>
      <c r="G67" s="1806"/>
      <c r="H67" s="1808"/>
      <c r="I67" s="129"/>
      <c r="J67" s="3622"/>
      <c r="K67" s="1330" t="s">
        <v>1388</v>
      </c>
      <c r="L67" s="1330">
        <f ca="1">IF(M49&gt;=10000,(8.25+(M49-10000)*0.01%),IF(AND(M49&gt;=8000,M49&lt;10000),(7.85+(M49-8000)*0.02%),IF(AND(M49&gt;=5000,M49&lt;8000),(6.65+(M49-5000)*0.04%),IF(AND(M49&gt;=2000,M49&lt;5000),(4.25+(PM49-2000)*0.08%),IF(AND(M49&gt;=1000,M49&lt;2000),(2.75+(M49-1000)*0.15%),IF(AND(M49&gt;=100,M49&lt;1000),(0.5+(M49-100)*0.25%),IF(AND(M49&gt;0,M49&lt;100),M49*0.5%)))))))</f>
        <v>2.3875000000000002</v>
      </c>
      <c r="M67" s="302">
        <f ca="1">ROUND(L67*0.9,1)</f>
        <v>2.1</v>
      </c>
      <c r="N67" s="2539"/>
      <c r="Z67" s="1750"/>
      <c r="AI67" s="1751"/>
    </row>
    <row r="68" spans="1:35" ht="14.25" customHeight="1" thickBot="1">
      <c r="A68" s="176" t="s">
        <v>329</v>
      </c>
      <c r="B68" s="177" t="s">
        <v>1389</v>
      </c>
      <c r="C68" s="2565">
        <f ca="1">IF(C67&lt;=0,0,ROUND(C67*D68,0))</f>
        <v>46</v>
      </c>
      <c r="D68" s="2566">
        <f>'数据-取费表'!B41</f>
        <v>5.6000000000000001E-2</v>
      </c>
      <c r="E68" s="178"/>
      <c r="F68" s="1806"/>
      <c r="G68" s="1806"/>
      <c r="H68" s="1808"/>
      <c r="I68" s="129"/>
      <c r="J68" s="3622"/>
      <c r="K68" s="1330" t="s">
        <v>1390</v>
      </c>
      <c r="L68" s="1330">
        <f ca="1">IF(M49&gt;10000,M49*0.5%,IF(AND(M49&gt;5000,M49&lt;=10000),M49*1%,IF(AND(M49&gt;1000,M49&lt;=5000),M49*2%,IF(AND(M49&gt;200,M49&lt;=1000),M49*3%,M49*5%))))</f>
        <v>25.65</v>
      </c>
      <c r="M68" s="302">
        <f ca="1">ROUND(L68,1)</f>
        <v>25.7</v>
      </c>
      <c r="N68" s="2539"/>
      <c r="Z68" s="1750"/>
      <c r="AI68" s="1751"/>
    </row>
    <row r="69" spans="1:35" s="1770" customFormat="1" ht="16.5" customHeight="1">
      <c r="A69" s="1809"/>
      <c r="B69" s="1810"/>
      <c r="C69" s="1811"/>
      <c r="D69" s="1812"/>
      <c r="E69" s="1813"/>
      <c r="F69" s="1576"/>
      <c r="G69" s="1576"/>
      <c r="H69" s="1575"/>
      <c r="I69" s="1745"/>
      <c r="J69" s="3622"/>
      <c r="K69" s="1330" t="s">
        <v>1391</v>
      </c>
      <c r="L69" s="1330"/>
      <c r="M69" s="302">
        <f ca="1">ROUND(SUM(M63:M68),0)</f>
        <v>64</v>
      </c>
      <c r="N69" s="2541">
        <f ca="1">M69/M49</f>
        <v>7.4853801169590645E-2</v>
      </c>
      <c r="O69" s="724"/>
      <c r="P69" s="724"/>
      <c r="Q69" s="724"/>
      <c r="R69" s="724"/>
      <c r="S69" s="724"/>
      <c r="T69" s="724"/>
      <c r="U69" s="724"/>
      <c r="V69" s="724"/>
      <c r="W69" s="724"/>
      <c r="X69" s="724"/>
      <c r="Y69" s="724"/>
      <c r="Z69" s="1750"/>
      <c r="AA69" s="1750"/>
      <c r="AB69" s="1750"/>
      <c r="AC69" s="1750"/>
      <c r="AD69" s="1750"/>
      <c r="AE69" s="1750"/>
      <c r="AF69" s="1750"/>
      <c r="AG69" s="1750"/>
      <c r="AH69" s="1750"/>
    </row>
    <row r="70" spans="1:35" s="1815" customFormat="1" ht="15" thickBot="1">
      <c r="A70" s="3666" t="s">
        <v>1392</v>
      </c>
      <c r="B70" s="3667"/>
      <c r="C70" s="3667"/>
      <c r="D70" s="3667"/>
      <c r="E70" s="3667"/>
      <c r="F70" s="3667"/>
      <c r="G70" s="3667"/>
      <c r="H70" s="3667"/>
      <c r="I70" s="1814"/>
      <c r="J70" s="2687"/>
      <c r="K70" s="2687"/>
      <c r="L70" s="2687"/>
      <c r="M70" s="2687"/>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58" t="s">
        <v>1373</v>
      </c>
      <c r="B71" s="3659"/>
      <c r="C71" s="2019"/>
      <c r="D71" s="2019" t="s">
        <v>1374</v>
      </c>
      <c r="E71" s="179" t="s">
        <v>1375</v>
      </c>
      <c r="F71" s="180"/>
      <c r="G71" s="180"/>
      <c r="H71" s="181"/>
      <c r="I71" s="1818"/>
      <c r="J71" s="2687"/>
      <c r="K71" s="2687"/>
      <c r="L71" s="2687"/>
      <c r="M71" s="2687"/>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1393</v>
      </c>
      <c r="C72" s="2564">
        <f ca="1">ROUND(D45/(1+'数据-取费表'!C42),0)</f>
        <v>814</v>
      </c>
      <c r="D72" s="170" t="s">
        <v>26</v>
      </c>
      <c r="E72" s="2329"/>
      <c r="F72" s="2328"/>
      <c r="G72" s="2328"/>
      <c r="H72" s="182"/>
      <c r="I72" s="1818"/>
      <c r="J72" s="2687"/>
      <c r="K72" s="2687"/>
      <c r="L72" s="2687"/>
      <c r="M72" s="2687"/>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1394</v>
      </c>
      <c r="C73" s="2564">
        <f ca="1">C74+C78</f>
        <v>5</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1395</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1396</v>
      </c>
      <c r="C75" s="2567"/>
      <c r="D75" s="170" t="s">
        <v>26</v>
      </c>
      <c r="E75" s="184" t="s">
        <v>1397</v>
      </c>
      <c r="F75" s="2568"/>
      <c r="G75" s="184" t="s">
        <v>1398</v>
      </c>
      <c r="H75" s="2569"/>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1399</v>
      </c>
      <c r="C76" s="170">
        <f>IF(F75="购房发票",ROUND(C75*H75*D76,0),0)</f>
        <v>0</v>
      </c>
      <c r="D76" s="2570">
        <v>0.05</v>
      </c>
      <c r="E76" s="3663" t="s">
        <v>1400</v>
      </c>
      <c r="F76" s="3662"/>
      <c r="G76" s="3662"/>
      <c r="H76" s="3665"/>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1401</v>
      </c>
      <c r="C77" s="170">
        <f>ROUND(IF(G77="个人住宅",0,IF(G77="2016年5月1日前购买",C75*D77,C75*D77/(1+'数据-取费表'!C42))),0)</f>
        <v>0</v>
      </c>
      <c r="D77" s="2571">
        <f>'数据-取费表'!B48+'数据-取费表'!B49</f>
        <v>3.0499999999999999E-2</v>
      </c>
      <c r="E77" s="2322" t="s">
        <v>1402</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1403</v>
      </c>
      <c r="C78" s="2572">
        <f ca="1">ROUND(D45*D78/(1+'数据-取费表'!C42),0)</f>
        <v>5</v>
      </c>
      <c r="D78" s="2573">
        <f>'数据-取费表'!B43</f>
        <v>6.000000000000001E-3</v>
      </c>
      <c r="E78" s="3655" t="s">
        <v>1404</v>
      </c>
      <c r="F78" s="3656"/>
      <c r="G78" s="3656"/>
      <c r="H78" s="3657"/>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1405</v>
      </c>
      <c r="C79" s="2564">
        <f ca="1">C72-C73</f>
        <v>809</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1406</v>
      </c>
      <c r="C80" s="2574">
        <f ca="1">IF(C79&lt;=0,0,C79/C73)</f>
        <v>161.80000000000001</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1407</v>
      </c>
      <c r="C81" s="2575">
        <f ca="1">ROUND(IF(C79&lt;=0,0,IF(C80&gt;=200%,C79*60%-C73*35%,IF(C80&gt;=100%,C79*50%-C73*15%,IF(C80&gt;=50%,C79*40%-C73*5%,IF(C80&lt;50%,C79*30%,0))))),0)</f>
        <v>484</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9"/>
      <c r="B82" s="680"/>
      <c r="C82" s="4"/>
      <c r="D82" s="4"/>
      <c r="E82" s="680"/>
      <c r="F82" s="680"/>
      <c r="G82" s="680"/>
      <c r="H82" s="681"/>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66" t="s">
        <v>1408</v>
      </c>
      <c r="B83" s="3667"/>
      <c r="C83" s="3667"/>
      <c r="D83" s="3667"/>
      <c r="E83" s="3667"/>
      <c r="F83" s="3667"/>
      <c r="G83" s="3667"/>
      <c r="H83" s="3667"/>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58" t="s">
        <v>1373</v>
      </c>
      <c r="B84" s="3659"/>
      <c r="C84" s="2019"/>
      <c r="D84" s="2019" t="s">
        <v>1374</v>
      </c>
      <c r="E84" s="179" t="s">
        <v>1375</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1393</v>
      </c>
      <c r="C85" s="2564">
        <f ca="1">ROUND(D45/(1+'数据-取费表'!C42),0)</f>
        <v>814</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1394</v>
      </c>
      <c r="C86" s="2564">
        <f ca="1">IF(H88="仅含出让金",C87+C90+C91+C92+C93+C94,C87+C91+C92+C93+C94)</f>
        <v>5</v>
      </c>
      <c r="D86" s="2577"/>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1409</v>
      </c>
      <c r="C87" s="2572">
        <f>C88+C89</f>
        <v>0</v>
      </c>
      <c r="D87" s="2573"/>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1410</v>
      </c>
      <c r="C88" s="2578"/>
      <c r="D88" s="2573"/>
      <c r="E88" s="193" t="s">
        <v>1411</v>
      </c>
      <c r="F88" s="2325"/>
      <c r="G88" s="194" t="s">
        <v>1412</v>
      </c>
      <c r="H88" s="1822"/>
      <c r="I88" s="1819"/>
      <c r="J88" s="2517" t="s">
        <v>2281</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1401</v>
      </c>
      <c r="C89" s="2572">
        <f>ROUND(C88*D89,0)</f>
        <v>0</v>
      </c>
      <c r="D89" s="2573">
        <f>'数据-取费表'!B48+'数据-取费表'!B49</f>
        <v>3.0499999999999999E-2</v>
      </c>
      <c r="E89" s="193" t="s">
        <v>1413</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1414</v>
      </c>
      <c r="C90" s="2578"/>
      <c r="D90" s="2573"/>
      <c r="E90" s="193" t="str">
        <f>IF(H88="-","土地取得成本中已包含该笔费用"," ")</f>
        <v xml:space="preserve"> </v>
      </c>
      <c r="F90" s="2325"/>
      <c r="G90" s="3624" t="s">
        <v>2126</v>
      </c>
      <c r="H90" s="3625"/>
      <c r="I90" s="1819"/>
      <c r="J90" s="2517" t="s">
        <v>2282</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1415</v>
      </c>
      <c r="B91" s="170" t="s">
        <v>1416</v>
      </c>
      <c r="C91" s="2572">
        <f>IF(H91="——",成本法!C33,I91)</f>
        <v>0</v>
      </c>
      <c r="D91" s="2573"/>
      <c r="E91" s="3655" t="s">
        <v>1417</v>
      </c>
      <c r="F91" s="3656"/>
      <c r="G91" s="3656"/>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1418</v>
      </c>
      <c r="B92" s="170" t="s">
        <v>1419</v>
      </c>
      <c r="C92" s="2572">
        <f>ROUND((C87+C90+C91)*D92,0)</f>
        <v>0</v>
      </c>
      <c r="D92" s="2579"/>
      <c r="E92" s="3655" t="s">
        <v>1420</v>
      </c>
      <c r="F92" s="3656"/>
      <c r="G92" s="3656"/>
      <c r="H92" s="3657"/>
      <c r="I92" s="1819"/>
      <c r="J92" s="2518" t="s">
        <v>2283</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1421</v>
      </c>
      <c r="B93" s="170" t="s">
        <v>1403</v>
      </c>
      <c r="C93" s="2572">
        <f ca="1">ROUND(D45*D93/(1+'数据-取费表'!C42),0)</f>
        <v>5</v>
      </c>
      <c r="D93" s="2573">
        <f>'数据-取费表'!B43</f>
        <v>6.000000000000001E-3</v>
      </c>
      <c r="E93" s="3655" t="s">
        <v>1404</v>
      </c>
      <c r="F93" s="3656"/>
      <c r="G93" s="3656"/>
      <c r="H93" s="3657"/>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1422</v>
      </c>
      <c r="B94" s="170" t="s">
        <v>1423</v>
      </c>
      <c r="C94" s="2578">
        <f>ROUND((C87+C90+C91)*D94,0)</f>
        <v>0</v>
      </c>
      <c r="D94" s="2573">
        <v>0.2</v>
      </c>
      <c r="E94" s="3700" t="s">
        <v>1424</v>
      </c>
      <c r="F94" s="3701"/>
      <c r="G94" s="3701"/>
      <c r="H94" s="3702"/>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1405</v>
      </c>
      <c r="C95" s="2564">
        <f ca="1">ROUND(C85-C86,0)</f>
        <v>809</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1406</v>
      </c>
      <c r="C96" s="2574">
        <f ca="1">IF(C95&lt;=0,0,C95/C86)</f>
        <v>161.80000000000001</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1407</v>
      </c>
      <c r="C97" s="2575">
        <f ca="1">ROUND(IF(C95&lt;=0,0,IF(C96&gt;=200%,C95*60%-C86*35%,IF(C96&gt;=100%,C95*50%-C86*15%,IF(C96&gt;=50%,C95*40%-C86*5%,IF(C96&lt;50%,C95*30%,0))))),0)</f>
        <v>484</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1425</v>
      </c>
      <c r="B99" s="1745"/>
      <c r="C99" s="1745"/>
      <c r="D99" s="1745"/>
      <c r="E99" s="1576"/>
      <c r="F99" s="1576"/>
      <c r="G99" s="1576"/>
      <c r="H99" s="1575"/>
      <c r="I99" s="129"/>
    </row>
    <row r="100" spans="1:35" ht="18.75" customHeight="1">
      <c r="A100" s="3601" t="s">
        <v>1426</v>
      </c>
      <c r="B100" s="3602"/>
      <c r="C100" s="3602"/>
      <c r="D100" s="3640"/>
      <c r="E100" s="3602" t="s">
        <v>1427</v>
      </c>
      <c r="F100" s="3602"/>
      <c r="G100" s="3602"/>
      <c r="H100" s="3640"/>
      <c r="I100" s="129"/>
    </row>
    <row r="101" spans="1:35" ht="18.75" customHeight="1">
      <c r="A101" s="3648" t="s">
        <v>1428</v>
      </c>
      <c r="B101" s="3649"/>
      <c r="C101" s="2581" t="str">
        <f>C4</f>
        <v>比较法-办公</v>
      </c>
      <c r="D101" s="2582" t="str">
        <f>D4</f>
        <v>收益法 (元)</v>
      </c>
      <c r="E101" s="3618" t="s">
        <v>1429</v>
      </c>
      <c r="F101" s="3619"/>
      <c r="G101" s="1825" t="s">
        <v>1430</v>
      </c>
      <c r="H101" s="2591">
        <f ca="1">H118</f>
        <v>855</v>
      </c>
      <c r="I101" s="129"/>
    </row>
    <row r="102" spans="1:35" ht="18.75" customHeight="1">
      <c r="A102" s="3650" t="s">
        <v>1431</v>
      </c>
      <c r="B102" s="2580" t="s">
        <v>1430</v>
      </c>
      <c r="C102" s="2581">
        <f ca="1">IF(D32="楼面单价",ROUND(C19,0),C19)</f>
        <v>967</v>
      </c>
      <c r="D102" s="2582">
        <f ca="1">IF(D32="楼面单价",ROUND(D19,0),D19)</f>
        <v>596</v>
      </c>
      <c r="E102" s="3618"/>
      <c r="F102" s="3619"/>
      <c r="G102" s="1825" t="s">
        <v>1432</v>
      </c>
      <c r="H102" s="2551">
        <f ca="1">I118</f>
        <v>41490</v>
      </c>
      <c r="I102" s="129"/>
    </row>
    <row r="103" spans="1:35" ht="42.75" customHeight="1">
      <c r="A103" s="3650"/>
      <c r="B103" s="2580" t="s">
        <v>1432</v>
      </c>
      <c r="C103" s="2583">
        <f ca="1">C20</f>
        <v>46891</v>
      </c>
      <c r="D103" s="2584">
        <f ca="1">D20</f>
        <v>28887</v>
      </c>
      <c r="E103" s="3611" t="s">
        <v>1433</v>
      </c>
      <c r="F103" s="3612"/>
      <c r="G103" s="1826" t="s">
        <v>1434</v>
      </c>
      <c r="H103" s="2591">
        <f>IF(D36="正常操作",H104+H105+H106,H105+H106)</f>
        <v>0</v>
      </c>
      <c r="I103" s="129"/>
    </row>
    <row r="104" spans="1:35" ht="18.75" customHeight="1">
      <c r="A104" s="3650" t="s">
        <v>1435</v>
      </c>
      <c r="B104" s="2585" t="s">
        <v>1430</v>
      </c>
      <c r="C104" s="2586">
        <f ca="1">H118</f>
        <v>855</v>
      </c>
      <c r="D104" s="2587"/>
      <c r="E104" s="1672" t="s">
        <v>1436</v>
      </c>
      <c r="F104" s="1664"/>
      <c r="G104" s="1826" t="s">
        <v>1434</v>
      </c>
      <c r="H104" s="2592">
        <f>IF(D36="同一抵押权人同一抵押物续贷",C36&amp;"（续贷，未扣减，详见特别提示）",C36)</f>
        <v>0</v>
      </c>
      <c r="I104" s="129"/>
    </row>
    <row r="105" spans="1:35" ht="18.75" customHeight="1" thickBot="1">
      <c r="A105" s="3660"/>
      <c r="B105" s="2588" t="s">
        <v>1432</v>
      </c>
      <c r="C105" s="2589">
        <f ca="1">I118</f>
        <v>41490</v>
      </c>
      <c r="D105" s="2590"/>
      <c r="E105" s="1672" t="s">
        <v>1437</v>
      </c>
      <c r="F105" s="1664"/>
      <c r="G105" s="1826" t="s">
        <v>1434</v>
      </c>
      <c r="H105" s="2593">
        <f>C37</f>
        <v>0</v>
      </c>
      <c r="I105" s="129"/>
    </row>
    <row r="106" spans="1:35" ht="18.75" customHeight="1">
      <c r="A106" s="1745" t="s">
        <v>1438</v>
      </c>
      <c r="B106" s="1745"/>
      <c r="C106" s="1745"/>
      <c r="D106" s="1745"/>
      <c r="E106" s="1827" t="s">
        <v>1439</v>
      </c>
      <c r="F106" s="1664"/>
      <c r="G106" s="1826" t="s">
        <v>1434</v>
      </c>
      <c r="H106" s="2593">
        <f>C38</f>
        <v>0</v>
      </c>
      <c r="I106" s="129"/>
    </row>
    <row r="107" spans="1:35" ht="18.75" customHeight="1">
      <c r="A107" s="129"/>
      <c r="B107" s="129"/>
      <c r="C107" s="129"/>
      <c r="D107" s="129"/>
      <c r="E107" s="3651" t="str">
        <f>IF(项目基本情况!E8="已注销","——","3.房地产抵押价值")</f>
        <v>3.房地产抵押价值</v>
      </c>
      <c r="F107" s="3619"/>
      <c r="G107" s="1825" t="s">
        <v>1430</v>
      </c>
      <c r="H107" s="2591">
        <f ca="1">IF(E107="——","——",H101-H103)</f>
        <v>855</v>
      </c>
      <c r="I107" s="129"/>
    </row>
    <row r="108" spans="1:35" ht="18.75" customHeight="1">
      <c r="A108" s="129"/>
      <c r="B108" s="129"/>
      <c r="C108" s="129"/>
      <c r="D108" s="129"/>
      <c r="E108" s="3651"/>
      <c r="F108" s="3619"/>
      <c r="G108" s="1825" t="s">
        <v>1432</v>
      </c>
      <c r="H108" s="2551">
        <f ca="1">IF(H107=H101,H102,ROUND(H107*10000/'数据-汇总表'!E3,0))</f>
        <v>41490</v>
      </c>
      <c r="I108" s="129"/>
    </row>
    <row r="109" spans="1:35" ht="18.75" customHeight="1">
      <c r="A109" s="129"/>
      <c r="B109" s="129"/>
      <c r="C109" s="129"/>
      <c r="D109" s="129"/>
      <c r="E109" s="3651" t="str">
        <f>IF(项目基本情况!E8="已注销及未注销","4.抵押担保权已注销时的房地产抵押价值",IF(项目基本情况!E8="已注销","3.抵押担保权已注销时的房地产抵押价值","——"))</f>
        <v>——</v>
      </c>
      <c r="F109" s="3619"/>
      <c r="G109" s="1825" t="s">
        <v>1430</v>
      </c>
      <c r="H109" s="2594" t="str">
        <f>IF(E109="——","——",H101-H105-H106)</f>
        <v>——</v>
      </c>
      <c r="I109" s="129"/>
    </row>
    <row r="110" spans="1:35" ht="18.75" customHeight="1">
      <c r="A110" s="129"/>
      <c r="B110" s="129"/>
      <c r="C110" s="129"/>
      <c r="D110" s="129"/>
      <c r="E110" s="3651"/>
      <c r="F110" s="3619"/>
      <c r="G110" s="1825" t="s">
        <v>1432</v>
      </c>
      <c r="H110" s="2551" t="str">
        <f>IF(H109="——","——",ROUND(H109*10000/'数据-汇总表'!E3,0))</f>
        <v>——</v>
      </c>
      <c r="I110" s="129"/>
    </row>
    <row r="111" spans="1:35" ht="18.75" customHeight="1">
      <c r="A111" s="129"/>
      <c r="B111" s="129"/>
      <c r="C111" s="129"/>
      <c r="D111" s="129"/>
      <c r="E111" s="3652" t="str">
        <f>IF(项目基本情况!E9="抵押净值",IF(OR(项目基本情况!E8="已注销",项目基本情况!E8="房地产抵押价值"),"4.抵押净值","5.抵押净值"),"——")</f>
        <v>——</v>
      </c>
      <c r="F111" s="3638"/>
      <c r="G111" s="1825" t="s">
        <v>1430</v>
      </c>
      <c r="H111" s="2591" t="str">
        <f>IF(E111="——","——",N59)</f>
        <v>——</v>
      </c>
      <c r="I111" s="129"/>
    </row>
    <row r="112" spans="1:35" ht="18.75" customHeight="1" thickBot="1">
      <c r="A112" s="129"/>
      <c r="B112" s="129"/>
      <c r="C112" s="129"/>
      <c r="D112" s="129"/>
      <c r="E112" s="3653"/>
      <c r="F112" s="3654"/>
      <c r="G112" s="1828" t="s">
        <v>1432</v>
      </c>
      <c r="H112" s="2595" t="str">
        <f>IF(E111="——","——",N61)</f>
        <v>——</v>
      </c>
      <c r="I112" s="129"/>
    </row>
    <row r="113" spans="1:27" ht="18.75" customHeight="1">
      <c r="A113" s="129"/>
      <c r="B113" s="129"/>
      <c r="C113" s="129"/>
      <c r="D113" s="129"/>
      <c r="E113" s="3661" t="s">
        <v>1438</v>
      </c>
      <c r="F113" s="3661"/>
      <c r="G113" s="3661"/>
      <c r="H113" s="3661"/>
      <c r="I113" s="129"/>
    </row>
    <row r="114" spans="1:27" ht="3.75" customHeight="1">
      <c r="A114" s="1745"/>
      <c r="B114" s="1745"/>
      <c r="C114" s="1745"/>
      <c r="D114" s="1745"/>
      <c r="E114" s="1807"/>
      <c r="F114" s="1807"/>
      <c r="G114" s="1807"/>
      <c r="H114" s="1807"/>
      <c r="I114" s="1745"/>
    </row>
    <row r="115" spans="1:27" ht="18.75" customHeight="1">
      <c r="A115" s="3669" t="s">
        <v>1440</v>
      </c>
      <c r="B115" s="3670"/>
      <c r="C115" s="3670"/>
      <c r="D115" s="3670"/>
      <c r="E115" s="3670"/>
      <c r="F115" s="3670"/>
      <c r="G115" s="3670"/>
      <c r="H115" s="3670"/>
      <c r="I115" s="3671"/>
    </row>
    <row r="116" spans="1:27" ht="27" customHeight="1">
      <c r="A116" s="3626" t="s">
        <v>1441</v>
      </c>
      <c r="B116" s="3630" t="s">
        <v>1442</v>
      </c>
      <c r="C116" s="3630" t="s">
        <v>1443</v>
      </c>
      <c r="D116" s="3636" t="s">
        <v>1444</v>
      </c>
      <c r="E116" s="3637"/>
      <c r="F116" s="3668" t="s">
        <v>1445</v>
      </c>
      <c r="G116" s="3668"/>
      <c r="H116" s="3626" t="s">
        <v>1446</v>
      </c>
      <c r="I116" s="3626"/>
    </row>
    <row r="117" spans="1:27" ht="18.75" customHeight="1">
      <c r="A117" s="3626"/>
      <c r="B117" s="3631"/>
      <c r="C117" s="3631"/>
      <c r="D117" s="2327" t="s">
        <v>1447</v>
      </c>
      <c r="E117" s="2327" t="s">
        <v>1448</v>
      </c>
      <c r="F117" s="2327" t="s">
        <v>1447</v>
      </c>
      <c r="G117" s="2327" t="s">
        <v>1449</v>
      </c>
      <c r="H117" s="2327" t="s">
        <v>1447</v>
      </c>
      <c r="I117" s="2327" t="s">
        <v>1449</v>
      </c>
    </row>
    <row r="118" spans="1:27" ht="24.75" customHeight="1">
      <c r="A118" s="2596" t="str">
        <f>项目基本情况!S2</f>
        <v>北京市房地产</v>
      </c>
      <c r="B118" s="2327">
        <f>M18</f>
        <v>206.15</v>
      </c>
      <c r="C118" s="2327">
        <f>M19</f>
        <v>23.24</v>
      </c>
      <c r="D118" s="2327">
        <f ca="1">ROUND(IF(D32="总价",C34,E118*B118/10000),0)</f>
        <v>662</v>
      </c>
      <c r="E118" s="2327">
        <f ca="1">ROUND(IF(C33="自定义",IF(D32="楼面单价",C34,D118*10000/B118),I118-G118),0)</f>
        <v>32113</v>
      </c>
      <c r="F118" s="2327">
        <f ca="1">ROUND(IF(D32="总价",C35,G118*B118/10000),0)</f>
        <v>193</v>
      </c>
      <c r="G118" s="2327">
        <f ca="1">ROUND(IF(D32="楼面单价",C35,F118*10000/B118),0)</f>
        <v>9377</v>
      </c>
      <c r="H118" s="2327">
        <f ca="1">ROUND(IF(D32="总价",C32,I118*B118/10000),0)</f>
        <v>855</v>
      </c>
      <c r="I118" s="2327">
        <f ca="1">ROUND(IF(D32="楼面单价",C32,H118*10000/B118),0)</f>
        <v>41490</v>
      </c>
    </row>
    <row r="119" spans="1:27" ht="18.75" customHeight="1">
      <c r="A119" s="3626" t="s">
        <v>1450</v>
      </c>
      <c r="B119" s="3626"/>
      <c r="C119" s="3626"/>
      <c r="D119" s="3632" t="str">
        <f ca="1">NUMBERSTRING(INT(D118*10000),2)&amp;"元整"</f>
        <v>陆佰陆拾贰万元整</v>
      </c>
      <c r="E119" s="3633"/>
      <c r="F119" s="3632" t="str">
        <f ca="1">NUMBERSTRING(INT(F118*10000),2)&amp;"元整"</f>
        <v>壹佰玖拾叁万元整</v>
      </c>
      <c r="G119" s="3633"/>
      <c r="H119" s="3632" t="str">
        <f ca="1">NUMBERSTRING(INT(H118*10000),2)&amp;"元整"</f>
        <v>捌佰伍拾伍万元整</v>
      </c>
      <c r="I119" s="3633"/>
    </row>
    <row r="120" spans="1:27" ht="18.75" customHeight="1">
      <c r="A120" s="3627" t="str">
        <f>IF(项目基本情况!B9="房地产市场价值","",MID(E103,3,LEN(E103)-2))</f>
        <v>估价师知悉的法定优先受偿款</v>
      </c>
      <c r="B120" s="3628"/>
      <c r="C120" s="3629"/>
      <c r="D120" s="3627">
        <f>H103</f>
        <v>0</v>
      </c>
      <c r="E120" s="3628"/>
      <c r="F120" s="3628"/>
      <c r="G120" s="3628"/>
      <c r="H120" s="3628"/>
      <c r="I120" s="3629"/>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32" t="s">
        <v>1450</v>
      </c>
      <c r="B121" s="3634"/>
      <c r="C121" s="3633"/>
      <c r="D121" s="3632" t="str">
        <f>IF(D120=0,"零元整",NUMBERSTRING(INT(D120*10000),2)&amp;"元整")</f>
        <v>零元整</v>
      </c>
      <c r="E121" s="3634"/>
      <c r="F121" s="3634"/>
      <c r="G121" s="3634"/>
      <c r="H121" s="3634"/>
      <c r="I121" s="3633"/>
      <c r="AA121" s="724"/>
    </row>
    <row r="122" spans="1:27" ht="18.75" customHeight="1">
      <c r="A122" s="3638" t="str">
        <f>IF(项目基本情况!B9="房地产市场价值","",MID(E107,3,LEN(E107)-2))</f>
        <v>房地产抵押价值</v>
      </c>
      <c r="B122" s="3638"/>
      <c r="C122" s="3638"/>
      <c r="D122" s="3627">
        <f ca="1">H107</f>
        <v>855</v>
      </c>
      <c r="E122" s="3628"/>
      <c r="F122" s="3628"/>
      <c r="G122" s="3628"/>
      <c r="H122" s="3628"/>
      <c r="I122" s="3629"/>
      <c r="AA122" s="724"/>
    </row>
    <row r="123" spans="1:27" ht="18.75" customHeight="1">
      <c r="A123" s="3626" t="s">
        <v>1450</v>
      </c>
      <c r="B123" s="3626"/>
      <c r="C123" s="3626"/>
      <c r="D123" s="3632" t="str">
        <f ca="1">NUMBERSTRING(INT(D122*10000),2)&amp;"元整"</f>
        <v>捌佰伍拾伍万元整</v>
      </c>
      <c r="E123" s="3634"/>
      <c r="F123" s="3634"/>
      <c r="G123" s="3634"/>
      <c r="H123" s="3634"/>
      <c r="I123" s="3633"/>
      <c r="AA123" s="724"/>
    </row>
    <row r="124" spans="1:27" ht="18.75" customHeight="1">
      <c r="A124" s="3638" t="str">
        <f>IF(项目基本情况!B9="房地产市场价值","",MID(E109,3,LEN(E109)-2))</f>
        <v/>
      </c>
      <c r="B124" s="3638"/>
      <c r="C124" s="3638"/>
      <c r="D124" s="3627" t="str">
        <f>H109</f>
        <v>——</v>
      </c>
      <c r="E124" s="3628"/>
      <c r="F124" s="3628"/>
      <c r="G124" s="3628"/>
      <c r="H124" s="3628"/>
      <c r="I124" s="3629"/>
      <c r="AA124" s="724"/>
    </row>
    <row r="125" spans="1:27" ht="18.75" customHeight="1">
      <c r="A125" s="3626" t="s">
        <v>1450</v>
      </c>
      <c r="B125" s="3626"/>
      <c r="C125" s="3626"/>
      <c r="D125" s="3632" t="e">
        <f>NUMBERSTRING(INT(D124*10000),2)&amp;"元整"</f>
        <v>#VALUE!</v>
      </c>
      <c r="E125" s="3634"/>
      <c r="F125" s="3634"/>
      <c r="G125" s="3634"/>
      <c r="H125" s="3634"/>
      <c r="I125" s="3633"/>
      <c r="AA125" s="724"/>
    </row>
    <row r="126" spans="1:27" ht="18.75" customHeight="1">
      <c r="A126" s="3638" t="str">
        <f>IF(项目基本情况!B9="房地产市场价值","",MID(E111,3,LEN(E111)-2))</f>
        <v/>
      </c>
      <c r="B126" s="3638"/>
      <c r="C126" s="3638"/>
      <c r="D126" s="3627" t="str">
        <f>H111</f>
        <v>——</v>
      </c>
      <c r="E126" s="3628"/>
      <c r="F126" s="3628"/>
      <c r="G126" s="3628"/>
      <c r="H126" s="3628"/>
      <c r="I126" s="3629"/>
      <c r="AA126" s="724"/>
    </row>
    <row r="127" spans="1:27" ht="18.75" customHeight="1">
      <c r="A127" s="3626" t="s">
        <v>1450</v>
      </c>
      <c r="B127" s="3626"/>
      <c r="C127" s="3626"/>
      <c r="D127" s="3632" t="e">
        <f>NUMBERSTRING(INT(D126*10000),2)&amp;"元整"</f>
        <v>#VALUE!</v>
      </c>
      <c r="E127" s="3634"/>
      <c r="F127" s="3634"/>
      <c r="G127" s="3634"/>
      <c r="H127" s="3634"/>
      <c r="I127" s="3633"/>
      <c r="AA127" s="724"/>
    </row>
    <row r="128" spans="1:27" ht="21.75" customHeight="1">
      <c r="A128" s="3635" t="s">
        <v>1451</v>
      </c>
      <c r="B128" s="3635"/>
      <c r="C128" s="3635"/>
      <c r="D128" s="3635"/>
      <c r="E128" s="3635"/>
      <c r="F128" s="3635"/>
      <c r="G128" s="3635"/>
      <c r="H128" s="3635"/>
      <c r="I128" s="3635"/>
      <c r="AA128" s="724"/>
    </row>
    <row r="129" spans="1:35" ht="21.75" customHeight="1">
      <c r="A129" s="1829" t="s">
        <v>1452</v>
      </c>
      <c r="B129" s="1830"/>
      <c r="C129" s="1831" t="s">
        <v>1453</v>
      </c>
      <c r="D129" s="1832"/>
      <c r="E129" s="1832"/>
      <c r="F129" s="1832"/>
      <c r="G129" s="1832"/>
      <c r="H129" s="1833"/>
      <c r="I129" s="1834"/>
      <c r="AA129" s="724"/>
    </row>
    <row r="130" spans="1:35" ht="21.75" customHeight="1">
      <c r="A130" s="1835">
        <v>1</v>
      </c>
      <c r="B130" s="1836"/>
      <c r="C130" s="1836"/>
      <c r="D130" s="1837"/>
      <c r="E130" s="1837"/>
      <c r="F130" s="1837"/>
      <c r="G130" s="1837"/>
      <c r="H130" s="1838"/>
      <c r="I130" s="1839"/>
      <c r="AA130" s="724"/>
    </row>
    <row r="131" spans="1:35" ht="21.75" customHeight="1">
      <c r="A131" s="1835">
        <v>2</v>
      </c>
      <c r="B131" s="1836"/>
      <c r="C131" s="1836"/>
      <c r="D131" s="1837"/>
      <c r="E131" s="1837"/>
      <c r="F131" s="1837"/>
      <c r="G131" s="1837"/>
      <c r="H131" s="1838"/>
      <c r="I131" s="1839"/>
      <c r="AA131" s="724"/>
    </row>
    <row r="132" spans="1:35" ht="21.75" customHeight="1">
      <c r="A132" s="1835">
        <v>3</v>
      </c>
      <c r="B132" s="1836"/>
      <c r="C132" s="1836"/>
      <c r="D132" s="1837"/>
      <c r="E132" s="1837"/>
      <c r="F132" s="1837"/>
      <c r="G132" s="1837"/>
      <c r="H132" s="1838"/>
      <c r="I132" s="1839"/>
      <c r="AA132" s="724"/>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4"/>
    </row>
    <row r="135" spans="1:35" ht="21.75" customHeight="1">
      <c r="A135" s="724"/>
      <c r="B135" s="724"/>
      <c r="C135" s="724"/>
      <c r="D135" s="724"/>
      <c r="E135" s="724"/>
      <c r="F135" s="1845" t="s">
        <v>1454</v>
      </c>
      <c r="G135" s="1846"/>
      <c r="H135" s="1846"/>
      <c r="I135" s="1847" t="s">
        <v>1455</v>
      </c>
    </row>
    <row r="136" spans="1:35" ht="21.75" customHeight="1">
      <c r="A136" s="724"/>
      <c r="B136" s="1848" t="s">
        <v>1456</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6"/>
      <c r="C138" s="1846"/>
      <c r="D138" s="1846"/>
      <c r="E138" s="1846"/>
      <c r="F138" s="1846"/>
      <c r="G138" s="1846"/>
      <c r="H138" s="1846"/>
      <c r="I138" s="1847" t="s">
        <v>1457</v>
      </c>
    </row>
    <row r="139" spans="1:35" ht="21.75" customHeight="1">
      <c r="A139" s="724"/>
      <c r="B139" s="1848" t="s">
        <v>1458</v>
      </c>
      <c r="C139" s="724"/>
      <c r="D139" s="724"/>
      <c r="E139" s="724"/>
      <c r="F139" s="724"/>
      <c r="G139" s="724"/>
      <c r="H139" s="724"/>
      <c r="I139" s="724"/>
    </row>
    <row r="140" spans="1:35" ht="21.75" customHeight="1">
      <c r="A140" s="724"/>
      <c r="B140" s="1848"/>
      <c r="C140" s="724"/>
      <c r="D140" s="724"/>
      <c r="E140" s="724"/>
      <c r="F140" s="724"/>
      <c r="G140" s="724"/>
      <c r="H140" s="724"/>
      <c r="I140" s="724"/>
    </row>
    <row r="141" spans="1:35" ht="21.75" customHeight="1">
      <c r="A141" s="724"/>
      <c r="B141" s="1846"/>
      <c r="C141" s="1846"/>
      <c r="D141" s="1846"/>
      <c r="E141" s="1846"/>
      <c r="F141" s="1846"/>
      <c r="G141" s="1846"/>
      <c r="H141" s="1846"/>
      <c r="I141" s="1847" t="s">
        <v>1457</v>
      </c>
    </row>
    <row r="142" spans="1:35" ht="21.75" customHeight="1">
      <c r="A142" s="724"/>
      <c r="B142" s="1848"/>
      <c r="C142" s="1849"/>
      <c r="D142" s="1850"/>
      <c r="E142" s="1850"/>
      <c r="F142" s="1739"/>
      <c r="G142" s="724"/>
      <c r="H142" s="724"/>
      <c r="I142" s="724"/>
    </row>
    <row r="143" spans="1:35" s="130" customFormat="1" ht="21.75" customHeight="1">
      <c r="A143" s="724"/>
      <c r="B143" s="1848"/>
      <c r="C143" s="1849"/>
      <c r="D143" s="1850"/>
      <c r="E143" s="1850"/>
      <c r="F143" s="1739"/>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0"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0"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0"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0"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0"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0"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0"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0"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0"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0"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0"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0"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0"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0"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0"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0"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0"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0"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0"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0"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0"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0"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0"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0"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0"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0"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0"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0"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0"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0"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0"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0"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0"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0"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0"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0"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0"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0"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0"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0"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0"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0"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0"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0"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0"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0"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0"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0"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0"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0"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0"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0"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0"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0"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0"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0"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0"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0"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0"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0"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0"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0"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0"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0"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0"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0"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0"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0"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0"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0"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0"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0"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0"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0"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0"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0"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0"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0"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0"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0"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0"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0"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0"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0"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0"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0"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0"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0"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0"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0"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0"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0"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0"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0"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0"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0"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0"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0"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0"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0"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0"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0"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0"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0"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C10:D13">
    <cfRule type="cellIs" dxfId="187" priority="8" stopIfTrue="1" operator="equal">
      <formula>15</formula>
    </cfRule>
  </conditionalFormatting>
  <conditionalFormatting sqref="D14:D16">
    <cfRule type="cellIs" dxfId="186" priority="6" stopIfTrue="1" operator="equal">
      <formula>30</formula>
    </cfRule>
  </conditionalFormatting>
  <conditionalFormatting sqref="C90">
    <cfRule type="expression" dxfId="185" priority="3" stopIfTrue="1">
      <formula>$H$88&lt;&gt;"仅含出让金"</formula>
    </cfRule>
  </conditionalFormatting>
  <conditionalFormatting sqref="C91">
    <cfRule type="expression" dxfId="184" priority="2" stopIfTrue="1">
      <formula>$H$91="由企业提供"</formula>
    </cfRule>
  </conditionalFormatting>
  <conditionalFormatting sqref="E36">
    <cfRule type="expression" dxfId="183"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68"/>
      <c r="C1" s="198"/>
      <c r="D1" s="198"/>
      <c r="E1" s="198"/>
      <c r="F1" s="198"/>
      <c r="G1" s="1124">
        <f>MATCH(B1,'数据-取费表'!A6:A16,0)+5</f>
        <v>8</v>
      </c>
    </row>
    <row r="2" spans="1:9" s="200" customFormat="1" ht="18" customHeight="1">
      <c r="A2" s="201" t="s">
        <v>1460</v>
      </c>
      <c r="B2" s="202">
        <f ca="1">IF(D2="——",C52,C52-E2)</f>
        <v>340</v>
      </c>
      <c r="C2" s="199" t="s">
        <v>1461</v>
      </c>
      <c r="D2" s="1851" t="s">
        <v>43</v>
      </c>
      <c r="E2" s="1167" t="e">
        <f ca="1">SUMIF(INDIRECT("'"&amp;G2&amp;"'"&amp;"!A:A"),"承租人权益价值",INDIRECT("'"&amp;G2&amp;"'"&amp;"!c:c"))</f>
        <v>#REF!</v>
      </c>
      <c r="F2" s="1852" t="s">
        <v>1461</v>
      </c>
      <c r="G2" s="1853"/>
    </row>
    <row r="3" spans="1:9" s="200" customFormat="1" ht="18" customHeight="1" thickBot="1">
      <c r="A3" s="203" t="s">
        <v>1462</v>
      </c>
      <c r="B3" s="204">
        <f ca="1">ROUND(B2*10000/(IF(B1="",'数据-汇总表'!E3,INDIRECT("'数据-取费表'!k"&amp;$G$1))),0)</f>
        <v>5512</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C6+C7+C8</f>
        <v>0</v>
      </c>
      <c r="D5" s="211" t="s">
        <v>1467</v>
      </c>
      <c r="E5" s="212" t="s">
        <v>1468</v>
      </c>
      <c r="F5" s="212" t="s">
        <v>1469</v>
      </c>
      <c r="G5" s="213"/>
    </row>
    <row r="6" spans="1:9" s="214" customFormat="1" ht="13.5" customHeight="1">
      <c r="A6" s="777" t="s">
        <v>1470</v>
      </c>
      <c r="B6" s="215" t="s">
        <v>1471</v>
      </c>
      <c r="C6" s="216"/>
      <c r="D6" s="217"/>
      <c r="E6" s="218"/>
      <c r="F6" s="218"/>
      <c r="G6" s="219"/>
    </row>
    <row r="7" spans="1:9" s="214" customFormat="1" ht="13.5" customHeight="1">
      <c r="A7" s="777" t="s">
        <v>1472</v>
      </c>
      <c r="B7" s="215" t="s">
        <v>1473</v>
      </c>
      <c r="C7" s="220">
        <f>ROUND(C6*F7,0)</f>
        <v>0</v>
      </c>
      <c r="D7" s="220"/>
      <c r="E7" s="218"/>
      <c r="F7" s="221">
        <f>IF(项目基本情况!B8="出让",0,'数据-取费表'!B48+'数据-取费表'!B49)</f>
        <v>3.0499999999999999E-2</v>
      </c>
      <c r="G7" s="219"/>
    </row>
    <row r="8" spans="1:9" s="223" customFormat="1">
      <c r="A8" s="777" t="s">
        <v>1474</v>
      </c>
      <c r="B8" s="215" t="s">
        <v>1475</v>
      </c>
      <c r="C8" s="220">
        <f>IF(G8="已包含在土地购买价格中","0",IF(B1="",'数据-取费表'!B29,IF(G9="全部缴纳",C9+C10,H9)))</f>
        <v>0</v>
      </c>
      <c r="D8" s="222"/>
      <c r="E8" s="220"/>
      <c r="F8" s="221"/>
      <c r="G8" s="1854"/>
    </row>
    <row r="9" spans="1:9" s="214" customFormat="1" ht="13.5" customHeight="1">
      <c r="A9" s="778" t="s">
        <v>355</v>
      </c>
      <c r="B9" s="224" t="s">
        <v>1476</v>
      </c>
      <c r="C9" s="225">
        <f ca="1">ROUND(D9*E9/10000,0)</f>
        <v>0</v>
      </c>
      <c r="D9" s="844">
        <f ca="1">IF(B1="",'数据-汇总表'!E5,IF(INDIRECT("'数据-取费表'!c"&amp;$G$1)="住宅",INDIRECT("'数据-取费表'!k"&amp;$G$1),0))</f>
        <v>0</v>
      </c>
      <c r="E9" s="225">
        <f>'数据-取费表'!B27</f>
        <v>0</v>
      </c>
      <c r="F9" s="221"/>
      <c r="G9" s="1855"/>
      <c r="H9" s="1135"/>
      <c r="I9" s="1856" t="s">
        <v>1477</v>
      </c>
    </row>
    <row r="10" spans="1:9" s="214" customFormat="1" ht="13.5" customHeight="1">
      <c r="A10" s="778" t="s">
        <v>356</v>
      </c>
      <c r="B10" s="224" t="s">
        <v>1478</v>
      </c>
      <c r="C10" s="225">
        <f ca="1">ROUND(D10*E10/10000,0)</f>
        <v>0</v>
      </c>
      <c r="D10" s="844">
        <f ca="1">IF(B1="",'数据-汇总表'!E6,IF(INDIRECT("'数据-取费表'!c"&amp;$G$1)="住宅",INDIRECT("'数据-取费表'!s"&amp;$G$1),INDIRECT("'数据-取费表'!k"&amp;$G$1)+INDIRECT("'数据-取费表'!s"&amp;$G$1)))</f>
        <v>616.89</v>
      </c>
      <c r="E10" s="225">
        <f>'数据-取费表'!B28</f>
        <v>0</v>
      </c>
      <c r="F10" s="221"/>
      <c r="G10" s="226"/>
    </row>
    <row r="11" spans="1:9" s="214" customFormat="1" ht="13.5" hidden="1" customHeight="1">
      <c r="A11" s="227" t="s">
        <v>4</v>
      </c>
      <c r="B11" s="215" t="s">
        <v>1479</v>
      </c>
      <c r="C11" s="211"/>
      <c r="D11" s="846"/>
      <c r="E11" s="218"/>
      <c r="F11" s="218"/>
      <c r="G11" s="219"/>
    </row>
    <row r="12" spans="1:9" s="214" customFormat="1" ht="13.5" hidden="1" customHeight="1">
      <c r="A12" s="227" t="s">
        <v>5</v>
      </c>
      <c r="B12" s="215" t="s">
        <v>1480</v>
      </c>
      <c r="C12" s="211">
        <v>0</v>
      </c>
      <c r="D12" s="846"/>
      <c r="E12" s="228"/>
      <c r="F12" s="221">
        <v>3.0499999999999999E-2</v>
      </c>
      <c r="G12" s="219"/>
    </row>
    <row r="13" spans="1:9" s="214" customFormat="1" ht="13.5" hidden="1" customHeight="1">
      <c r="A13" s="227" t="s">
        <v>6</v>
      </c>
      <c r="B13" s="215" t="s">
        <v>1481</v>
      </c>
      <c r="C13" s="211"/>
      <c r="D13" s="846"/>
      <c r="E13" s="218"/>
      <c r="F13" s="218"/>
      <c r="G13" s="219"/>
    </row>
    <row r="14" spans="1:9" s="214" customFormat="1" ht="13.5" hidden="1" customHeight="1">
      <c r="A14" s="227" t="s">
        <v>7</v>
      </c>
      <c r="B14" s="215" t="s">
        <v>1482</v>
      </c>
      <c r="C14" s="211"/>
      <c r="D14" s="846"/>
      <c r="E14" s="218"/>
      <c r="F14" s="218"/>
      <c r="G14" s="219" t="s">
        <v>1483</v>
      </c>
    </row>
    <row r="15" spans="1:9" s="214" customFormat="1" ht="13.5" hidden="1" customHeight="1">
      <c r="A15" s="227" t="s">
        <v>8</v>
      </c>
      <c r="B15" s="215" t="s">
        <v>1484</v>
      </c>
      <c r="C15" s="220"/>
      <c r="D15" s="846"/>
      <c r="E15" s="218"/>
      <c r="F15" s="218"/>
      <c r="G15" s="219" t="s">
        <v>1485</v>
      </c>
    </row>
    <row r="16" spans="1:9" s="214" customFormat="1" ht="13.5" hidden="1" customHeight="1">
      <c r="A16" s="227" t="s">
        <v>9</v>
      </c>
      <c r="B16" s="215" t="s">
        <v>1482</v>
      </c>
      <c r="C16" s="220"/>
      <c r="D16" s="846"/>
      <c r="E16" s="218"/>
      <c r="F16" s="218"/>
      <c r="G16" s="219"/>
    </row>
    <row r="17" spans="1:7" s="214" customFormat="1" ht="13.5" hidden="1" customHeight="1">
      <c r="A17" s="227" t="s">
        <v>10</v>
      </c>
      <c r="B17" s="215" t="s">
        <v>1486</v>
      </c>
      <c r="C17" s="229"/>
      <c r="D17" s="847"/>
      <c r="E17" s="229"/>
      <c r="F17" s="229"/>
      <c r="G17" s="219" t="s">
        <v>1485</v>
      </c>
    </row>
    <row r="18" spans="1:7" s="214" customFormat="1" ht="13.5" hidden="1" customHeight="1">
      <c r="A18" s="227" t="s">
        <v>11</v>
      </c>
      <c r="B18" s="215" t="s">
        <v>1487</v>
      </c>
      <c r="C18" s="220">
        <v>0</v>
      </c>
      <c r="D18" s="846"/>
      <c r="E18" s="218"/>
      <c r="F18" s="221">
        <v>3.0499999999999999E-2</v>
      </c>
      <c r="G18" s="219" t="s">
        <v>1488</v>
      </c>
    </row>
    <row r="19" spans="1:7" s="223" customFormat="1" ht="13.5" customHeight="1">
      <c r="A19" s="255" t="s">
        <v>1489</v>
      </c>
      <c r="B19" s="210" t="s">
        <v>1490</v>
      </c>
      <c r="C19" s="211">
        <f ca="1">IF(G19="已包含在土地取得成本中","0",ROUND(D19*E19/10000,0))</f>
        <v>12</v>
      </c>
      <c r="D19" s="848">
        <f ca="1">D9+D10</f>
        <v>616.89</v>
      </c>
      <c r="E19" s="211">
        <f>'数据-取费表'!B31</f>
        <v>200</v>
      </c>
      <c r="F19" s="231"/>
      <c r="G19" s="1854"/>
    </row>
    <row r="20" spans="1:7" s="214" customFormat="1" ht="13.5" customHeight="1">
      <c r="A20" s="255" t="s">
        <v>1491</v>
      </c>
      <c r="B20" s="210" t="s">
        <v>1492</v>
      </c>
      <c r="C20" s="232">
        <f ca="1">ROUND((C5+C19)*F20,0)</f>
        <v>0</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2">
        <f ca="1">ROUND(SUM(C23:C25),0)</f>
        <v>1</v>
      </c>
      <c r="D22" s="235">
        <f>C26</f>
        <v>6.9999999999999999E-4</v>
      </c>
      <c r="E22" s="236" t="s">
        <v>1496</v>
      </c>
      <c r="F22" s="237">
        <f>'数据-取费表'!B40</f>
        <v>3.3500000000000002E-2</v>
      </c>
      <c r="G22" s="234" t="str">
        <f>IF('数据-取费表'!B22&lt;=1,"单利计息","复利计息")</f>
        <v>复利计息</v>
      </c>
    </row>
    <row r="23" spans="1:7" s="214" customFormat="1" ht="13.5" customHeight="1">
      <c r="A23" s="779" t="s">
        <v>1500</v>
      </c>
      <c r="B23" s="215" t="s">
        <v>1501</v>
      </c>
      <c r="C23" s="1103">
        <f>ROUND(IF('数据-取费表'!B22&lt;=1,C5*F22*'数据-取费表'!B23,C5*(POWER((1+F22),'数据-取费表'!B23)-1)),0)</f>
        <v>0</v>
      </c>
      <c r="D23" s="238"/>
      <c r="E23" s="238"/>
      <c r="F23" s="239"/>
      <c r="G23" s="240" t="s">
        <v>1502</v>
      </c>
    </row>
    <row r="24" spans="1:7" s="214" customFormat="1" ht="13.5" customHeight="1">
      <c r="A24" s="779" t="s">
        <v>1503</v>
      </c>
      <c r="B24" s="215" t="s">
        <v>1504</v>
      </c>
      <c r="C24" s="1103">
        <f ca="1">ROUND(IF('数据-取费表'!B22&lt;=1,C19*F22*('数据-取费表'!B19/2+'数据-取费表'!B21),C19*(POWER((1+F22),('数据-取费表'!B19/2+'数据-取费表'!B21))-1)),0)</f>
        <v>1</v>
      </c>
      <c r="D24" s="238"/>
      <c r="E24" s="238"/>
      <c r="F24" s="239"/>
      <c r="G24" s="240" t="s">
        <v>1505</v>
      </c>
    </row>
    <row r="25" spans="1:7" s="214" customFormat="1" ht="24">
      <c r="A25" s="779" t="s">
        <v>1506</v>
      </c>
      <c r="B25" s="215" t="s">
        <v>1507</v>
      </c>
      <c r="C25" s="1103">
        <f ca="1">ROUND(IF('数据-取费表'!B22&lt;=1,C20*F22*'数据-取费表'!B23/2,C20*(POWER((1+F22),'数据-取费表'!B23/2)-1)),0)</f>
        <v>0</v>
      </c>
      <c r="D25" s="238"/>
      <c r="E25" s="241"/>
      <c r="F25" s="239"/>
      <c r="G25" s="242" t="s">
        <v>1508</v>
      </c>
    </row>
    <row r="26" spans="1:7" s="214" customFormat="1">
      <c r="A26" s="779" t="s">
        <v>350</v>
      </c>
      <c r="B26" s="215" t="s">
        <v>1509</v>
      </c>
      <c r="C26" s="238">
        <f>ROUND(IF('数据-取费表'!B22&lt;=1,F21*F22*'数据-取费表'!B23/2,F21*(POWER((1+F22),'数据-取费表'!B23/2)-1)),4)</f>
        <v>6.9999999999999999E-4</v>
      </c>
      <c r="D26" s="238"/>
      <c r="E26" s="241"/>
      <c r="F26" s="239"/>
      <c r="G26" s="243"/>
    </row>
    <row r="27" spans="1:7" s="214" customFormat="1" ht="24.75">
      <c r="A27" s="255" t="s">
        <v>1510</v>
      </c>
      <c r="B27" s="244" t="s">
        <v>1511</v>
      </c>
      <c r="C27" s="245">
        <f ca="1">C28</f>
        <v>2</v>
      </c>
      <c r="D27" s="235">
        <f ca="1">C29</f>
        <v>3.5999999999999999E-3</v>
      </c>
      <c r="E27" s="236" t="s">
        <v>1512</v>
      </c>
      <c r="F27" s="246">
        <f ca="1">IF(B1="",'数据-取费表'!Q16,INDIRECT("'数据-取费表'!q"&amp;$G$1))</f>
        <v>0.18</v>
      </c>
      <c r="G27" s="247" t="s">
        <v>1513</v>
      </c>
    </row>
    <row r="28" spans="1:7" s="214" customFormat="1" ht="13.5" customHeight="1">
      <c r="A28" s="779" t="s">
        <v>346</v>
      </c>
      <c r="B28" s="248" t="s">
        <v>1514</v>
      </c>
      <c r="C28" s="249">
        <f ca="1">ROUND((C5+C19+C20)*F27*'数据-取费表'!B21/'数据-取费表'!B20,0)</f>
        <v>2</v>
      </c>
      <c r="D28" s="235"/>
      <c r="E28" s="236"/>
      <c r="F28" s="246"/>
      <c r="G28" s="247"/>
    </row>
    <row r="29" spans="1:7" s="214" customFormat="1" ht="13.5" customHeight="1">
      <c r="A29" s="779" t="s">
        <v>347</v>
      </c>
      <c r="B29" s="248" t="s">
        <v>1515</v>
      </c>
      <c r="C29" s="238">
        <f ca="1">ROUND(C21*F27*'数据-取费表'!B21/'数据-取费表'!B20,4)</f>
        <v>3.5999999999999999E-3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16</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310</v>
      </c>
      <c r="D33" s="232"/>
      <c r="E33" s="212"/>
      <c r="F33" s="241"/>
      <c r="G33" s="234"/>
    </row>
    <row r="34" spans="1:7" s="258" customFormat="1" ht="13.5" customHeight="1">
      <c r="A34" s="779" t="s">
        <v>346</v>
      </c>
      <c r="B34" s="215" t="s">
        <v>1523</v>
      </c>
      <c r="C34" s="220">
        <f ca="1">IF(B1="",IF(F34=100%,'数据-取费表'!M16,'数据-取费表'!O16),IF(F34=100%,INDIRECT("'数据-取费表'!m"&amp;$G$1)+INDIRECT("'数据-取费表'!t"&amp;$G$1),INDIRECT("'数据-取费表'!o"&amp;$G$1)+INDIRECT("'数据-取费表'!aq"&amp;$G$1)))</f>
        <v>278</v>
      </c>
      <c r="D34" s="217"/>
      <c r="E34" s="220"/>
      <c r="F34" s="257">
        <f ca="1">IF('数据-取费表'!B24=0,1,IF(B1="",'数据-取费表'!N16,INDIRECT("'数据-取费表'!n"&amp;$G$1)))</f>
        <v>1</v>
      </c>
      <c r="G34" s="219" t="s">
        <v>1524</v>
      </c>
    </row>
    <row r="35" spans="1:7" ht="13.5" customHeight="1">
      <c r="A35" s="779" t="s">
        <v>351</v>
      </c>
      <c r="B35" s="215" t="s">
        <v>1525</v>
      </c>
      <c r="C35" s="220">
        <f ca="1">ROUND(C34*F35,0)</f>
        <v>14</v>
      </c>
      <c r="D35" s="220"/>
      <c r="E35" s="220"/>
      <c r="F35" s="259">
        <f>'数据-取费表'!B33</f>
        <v>0.05</v>
      </c>
      <c r="G35" s="219" t="s">
        <v>1526</v>
      </c>
    </row>
    <row r="36" spans="1:7" ht="24">
      <c r="A36" s="779"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79" t="s">
        <v>353</v>
      </c>
      <c r="B37" s="215" t="s">
        <v>1529</v>
      </c>
      <c r="C37" s="249">
        <f ca="1">ROUND(E37*D37*F34/10000,0)</f>
        <v>12</v>
      </c>
      <c r="D37" s="217">
        <f ca="1">D19</f>
        <v>616.89</v>
      </c>
      <c r="E37" s="249">
        <f>'数据-取费表'!B35</f>
        <v>200</v>
      </c>
      <c r="F37" s="259"/>
      <c r="G37" s="261" t="s">
        <v>1530</v>
      </c>
    </row>
    <row r="38" spans="1:7" ht="13.5" customHeight="1">
      <c r="A38" s="779" t="s">
        <v>354</v>
      </c>
      <c r="B38" s="215" t="s">
        <v>1531</v>
      </c>
      <c r="C38" s="220">
        <f ca="1">ROUND(C34*F38,0)</f>
        <v>6</v>
      </c>
      <c r="D38" s="220"/>
      <c r="E38" s="220"/>
      <c r="F38" s="259">
        <f>'数据-取费表'!B36</f>
        <v>0.02</v>
      </c>
      <c r="G38" s="219" t="s">
        <v>1526</v>
      </c>
    </row>
    <row r="39" spans="1:7" s="214" customFormat="1" ht="13.5" customHeight="1">
      <c r="A39" s="255" t="s">
        <v>1532</v>
      </c>
      <c r="B39" s="210" t="s">
        <v>1533</v>
      </c>
      <c r="C39" s="232">
        <f ca="1">ROUND(C33*F20,0)</f>
        <v>6</v>
      </c>
      <c r="D39" s="232"/>
      <c r="E39" s="232"/>
      <c r="F39" s="233">
        <f>F20</f>
        <v>0.02</v>
      </c>
      <c r="G39" s="234" t="s">
        <v>1534</v>
      </c>
    </row>
    <row r="40" spans="1:7" s="214" customFormat="1" ht="13.5" customHeight="1">
      <c r="A40" s="255" t="s">
        <v>1535</v>
      </c>
      <c r="B40" s="210" t="s">
        <v>1536</v>
      </c>
      <c r="C40" s="1325">
        <f>F21</f>
        <v>0.02</v>
      </c>
      <c r="D40" s="236" t="s">
        <v>1537</v>
      </c>
      <c r="E40" s="232"/>
      <c r="F40" s="233">
        <f>F21</f>
        <v>0.02</v>
      </c>
      <c r="G40" s="234" t="s">
        <v>1538</v>
      </c>
    </row>
    <row r="41" spans="1:7" s="214" customFormat="1" ht="13.5" customHeight="1">
      <c r="A41" s="255" t="s">
        <v>1539</v>
      </c>
      <c r="B41" s="210" t="s">
        <v>1540</v>
      </c>
      <c r="C41" s="232">
        <f ca="1">ROUND(SUM(C42:C43),0)</f>
        <v>10</v>
      </c>
      <c r="D41" s="235">
        <f>C44</f>
        <v>6.9999999999999999E-4</v>
      </c>
      <c r="E41" s="236" t="s">
        <v>1537</v>
      </c>
      <c r="F41" s="237">
        <f>F22</f>
        <v>3.3500000000000002E-2</v>
      </c>
      <c r="G41" s="234" t="str">
        <f>IF('数据-取费表'!B22&lt;=1,"单利计息","复利计息")</f>
        <v>复利计息</v>
      </c>
    </row>
    <row r="42" spans="1:7" ht="13.5" customHeight="1">
      <c r="A42" s="779" t="s">
        <v>346</v>
      </c>
      <c r="B42" s="215" t="s">
        <v>1541</v>
      </c>
      <c r="C42" s="238">
        <f ca="1">ROUND(IF('数据-取费表'!B22&lt;=1,C33*F22*'数据-取费表'!B21/2,C33*(POWER((1+F22),'数据-取费表'!B21/2)-1)),0)</f>
        <v>10</v>
      </c>
      <c r="D42" s="238"/>
      <c r="E42" s="238"/>
      <c r="F42" s="239"/>
      <c r="G42" s="3705" t="s">
        <v>1542</v>
      </c>
    </row>
    <row r="43" spans="1:7" ht="13.5" customHeight="1">
      <c r="A43" s="779" t="s">
        <v>347</v>
      </c>
      <c r="B43" s="215" t="s">
        <v>1543</v>
      </c>
      <c r="C43" s="238">
        <f ca="1">ROUND(IF('数据-取费表'!B22&lt;=1,C39*F22*'数据-取费表'!B21/2,C39*(POWER((1+F22),'数据-取费表'!B21/2)-1)),0)</f>
        <v>0</v>
      </c>
      <c r="D43" s="238"/>
      <c r="E43" s="238"/>
      <c r="F43" s="239"/>
      <c r="G43" s="3706"/>
    </row>
    <row r="44" spans="1:7" ht="13.5" customHeight="1">
      <c r="A44" s="779" t="s">
        <v>348</v>
      </c>
      <c r="B44" s="215" t="s">
        <v>1544</v>
      </c>
      <c r="C44" s="238">
        <f>ROUND(IF('数据-取费表'!B22&lt;=1,C40*F22*'数据-取费表'!B21/2,C40*(POWER((1+F22),'数据-取费表'!B21/2)-1)),4)</f>
        <v>6.9999999999999999E-4</v>
      </c>
      <c r="D44" s="238"/>
      <c r="E44" s="238"/>
      <c r="F44" s="239"/>
      <c r="G44" s="3707"/>
    </row>
    <row r="45" spans="1:7" s="214" customFormat="1" ht="13.5" customHeight="1">
      <c r="A45" s="255" t="s">
        <v>1545</v>
      </c>
      <c r="B45" s="244" t="s">
        <v>1511</v>
      </c>
      <c r="C45" s="245">
        <f ca="1">C46</f>
        <v>57</v>
      </c>
      <c r="D45" s="235">
        <f ca="1">C47</f>
        <v>3.5999999999999999E-3</v>
      </c>
      <c r="E45" s="236" t="s">
        <v>1537</v>
      </c>
      <c r="F45" s="246">
        <f ca="1">F27</f>
        <v>0.18</v>
      </c>
      <c r="G45" s="247" t="s">
        <v>1546</v>
      </c>
    </row>
    <row r="46" spans="1:7" s="214" customFormat="1" ht="13.5" customHeight="1">
      <c r="A46" s="779" t="s">
        <v>346</v>
      </c>
      <c r="B46" s="248" t="s">
        <v>1547</v>
      </c>
      <c r="C46" s="249">
        <f ca="1">ROUND((C33+C39)*F27,0)</f>
        <v>57</v>
      </c>
      <c r="D46" s="263"/>
      <c r="E46" s="236"/>
      <c r="F46" s="246"/>
      <c r="G46" s="247"/>
    </row>
    <row r="47" spans="1:7" s="214" customFormat="1" ht="13.5" customHeight="1">
      <c r="A47" s="779" t="s">
        <v>347</v>
      </c>
      <c r="B47" s="248" t="s">
        <v>1548</v>
      </c>
      <c r="C47" s="238">
        <f ca="1">ROUND(C40*F27,4)</f>
        <v>3.5999999999999999E-3</v>
      </c>
      <c r="D47" s="263"/>
      <c r="E47" s="236"/>
      <c r="F47" s="246"/>
      <c r="G47" s="247"/>
    </row>
    <row r="48" spans="1:7" s="214" customFormat="1" ht="13.5" customHeight="1">
      <c r="A48" s="255" t="s">
        <v>1510</v>
      </c>
      <c r="B48" s="210" t="s">
        <v>1549</v>
      </c>
      <c r="C48" s="1325">
        <f>ROUND(F30/(1+'数据-取费表'!C42),4)</f>
        <v>5.33E-2</v>
      </c>
      <c r="D48" s="236" t="s">
        <v>1537</v>
      </c>
      <c r="E48" s="232"/>
      <c r="F48" s="237">
        <f>F30</f>
        <v>5.6000000000000001E-2</v>
      </c>
      <c r="G48" s="234" t="s">
        <v>1550</v>
      </c>
    </row>
    <row r="49" spans="1:7" ht="16.5" customHeight="1">
      <c r="A49" s="255" t="s">
        <v>1516</v>
      </c>
      <c r="B49" s="210" t="s">
        <v>1551</v>
      </c>
      <c r="C49" s="232">
        <f ca="1">ROUND((C33+C39+C41+C45)/(1-C40-D41-D45-C48),0)</f>
        <v>415</v>
      </c>
      <c r="D49" s="232"/>
      <c r="E49" s="232"/>
      <c r="F49" s="264"/>
      <c r="G49" s="234" t="s">
        <v>1552</v>
      </c>
    </row>
    <row r="50" spans="1:7" s="258" customFormat="1" ht="24">
      <c r="A50" s="255" t="s">
        <v>1553</v>
      </c>
      <c r="B50" s="210" t="s">
        <v>1554</v>
      </c>
      <c r="C50" s="232"/>
      <c r="D50" s="232"/>
      <c r="E50" s="232"/>
      <c r="F50" s="264">
        <f>IF('数据-取费表'!B24=0,'数据-取费表'!N16,1)</f>
        <v>0.78</v>
      </c>
      <c r="G50" s="247" t="s">
        <v>1555</v>
      </c>
    </row>
    <row r="51" spans="1:7" ht="16.5" customHeight="1">
      <c r="A51" s="255" t="s">
        <v>1556</v>
      </c>
      <c r="B51" s="210" t="s">
        <v>1557</v>
      </c>
      <c r="C51" s="232">
        <f ca="1">ROUND(C49*F50,0)</f>
        <v>324</v>
      </c>
      <c r="D51" s="232"/>
      <c r="E51" s="232"/>
      <c r="F51" s="264"/>
      <c r="G51" s="234" t="s">
        <v>1558</v>
      </c>
    </row>
    <row r="52" spans="1:7" s="208" customFormat="1" ht="16.5" thickBot="1">
      <c r="A52" s="265" t="s">
        <v>1559</v>
      </c>
      <c r="B52" s="266"/>
      <c r="C52" s="267">
        <f ca="1">C31+C51</f>
        <v>340</v>
      </c>
      <c r="D52" s="266"/>
      <c r="E52" s="266"/>
      <c r="F52" s="266"/>
      <c r="G52" s="268"/>
    </row>
    <row r="55" spans="1:7" ht="15">
      <c r="B55" s="270" t="s">
        <v>1560</v>
      </c>
      <c r="C55" s="271"/>
    </row>
    <row r="56" spans="1:7">
      <c r="B56" s="273" t="s">
        <v>800</v>
      </c>
      <c r="C56" s="275">
        <f ca="1">1-C57</f>
        <v>4.7000000000000042E-2</v>
      </c>
    </row>
    <row r="57" spans="1:7">
      <c r="B57" s="273" t="s">
        <v>801</v>
      </c>
      <c r="C57" s="274">
        <f ca="1">ROUND(C51/C52,3)</f>
        <v>0.95299999999999996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68"/>
      <c r="C1" s="1857" t="s">
        <v>1561</v>
      </c>
      <c r="D1" s="198"/>
      <c r="E1" s="198"/>
      <c r="F1" s="198"/>
      <c r="G1" s="1124">
        <f>MATCH(B1,'数据-取费表'!A6:A16,0)+5</f>
        <v>8</v>
      </c>
      <c r="H1" s="1060" t="str">
        <f>IF(ISERROR(FIND("住宅",B1)),"非住宅","住宅")</f>
        <v>非住宅</v>
      </c>
    </row>
    <row r="2" spans="1:8" s="200" customFormat="1" ht="18" customHeight="1">
      <c r="A2" s="201" t="s">
        <v>1460</v>
      </c>
      <c r="B2" s="3420">
        <f ca="1">ROUND(IF(D2="——",C52/10000,C52/10000-E2),4)</f>
        <v>340.83199999999999</v>
      </c>
      <c r="C2" s="199" t="s">
        <v>1461</v>
      </c>
      <c r="D2" s="1851" t="s">
        <v>43</v>
      </c>
      <c r="E2" s="1167" t="e">
        <f ca="1">SUMIF(INDIRECT("'"&amp;G2&amp;"'"&amp;"!A:A"),"承租人权益价值",INDIRECT("'"&amp;G2&amp;"'"&amp;"!c:c"))</f>
        <v>#REF!</v>
      </c>
      <c r="F2" s="1852" t="s">
        <v>1461</v>
      </c>
      <c r="G2" s="1853"/>
    </row>
    <row r="3" spans="1:8" s="200" customFormat="1" ht="18" customHeight="1" thickBot="1">
      <c r="A3" s="203" t="s">
        <v>1462</v>
      </c>
      <c r="B3" s="204">
        <f ca="1">ROUND(B2*10000/(IF(B1="",'数据-汇总表'!E3,INDIRECT("'数据-取费表'!k"&amp;$G$1))),0)</f>
        <v>5525</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0</v>
      </c>
      <c r="D5" s="211" t="s">
        <v>1467</v>
      </c>
      <c r="E5" s="212" t="s">
        <v>1468</v>
      </c>
      <c r="F5" s="212" t="s">
        <v>1469</v>
      </c>
      <c r="G5" s="213"/>
    </row>
    <row r="6" spans="1:8" s="214" customFormat="1" ht="13.5" customHeight="1">
      <c r="A6" s="777" t="s">
        <v>1470</v>
      </c>
      <c r="B6" s="215" t="s">
        <v>1471</v>
      </c>
      <c r="C6" s="216"/>
      <c r="D6" s="217"/>
      <c r="E6" s="218"/>
      <c r="F6" s="218"/>
      <c r="G6" s="219"/>
    </row>
    <row r="7" spans="1:8" s="214" customFormat="1" ht="13.5" customHeight="1">
      <c r="A7" s="777" t="s">
        <v>1472</v>
      </c>
      <c r="B7" s="215" t="s">
        <v>1473</v>
      </c>
      <c r="C7" s="220">
        <f>ROUND(C6*F7,0)</f>
        <v>0</v>
      </c>
      <c r="D7" s="220"/>
      <c r="E7" s="218"/>
      <c r="F7" s="221">
        <f>IF(项目基本情况!B8="出让",0,'数据-取费表'!B48+'数据-取费表'!B49)</f>
        <v>3.0499999999999999E-2</v>
      </c>
      <c r="G7" s="219"/>
    </row>
    <row r="8" spans="1:8" s="223" customFormat="1">
      <c r="A8" s="777" t="s">
        <v>1474</v>
      </c>
      <c r="B8" s="215" t="s">
        <v>1475</v>
      </c>
      <c r="C8" s="220">
        <f ca="1">IF(G8="已包含在土地购买价格中",0,C9+C10)</f>
        <v>0</v>
      </c>
      <c r="D8" s="222"/>
      <c r="E8" s="220"/>
      <c r="F8" s="221"/>
      <c r="G8" s="1854"/>
    </row>
    <row r="9" spans="1:8" s="214" customFormat="1" ht="13.5" customHeight="1">
      <c r="A9" s="778" t="s">
        <v>355</v>
      </c>
      <c r="B9" s="224" t="s">
        <v>1476</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1478</v>
      </c>
      <c r="C10" s="225">
        <f ca="1">ROUND(D10*E10,0)</f>
        <v>0</v>
      </c>
      <c r="D10" s="844">
        <f ca="1">IF(B1="",'数据-汇总表'!E6,IF(INDIRECT("'数据-取费表'!c"&amp;$G$1)="住宅",INDIRECT("'数据-取费表'!s"&amp;$G$1),INDIRECT("'数据-取费表'!k"&amp;$G$1)+INDIRECT("'数据-取费表'!s"&amp;$G$1)))</f>
        <v>616.89</v>
      </c>
      <c r="E10" s="225">
        <f>'数据-取费表'!B28</f>
        <v>0</v>
      </c>
      <c r="F10" s="221"/>
      <c r="G10" s="226"/>
    </row>
    <row r="11" spans="1:8" s="214" customFormat="1" ht="13.5" hidden="1" customHeight="1">
      <c r="A11" s="227" t="s">
        <v>4</v>
      </c>
      <c r="B11" s="215" t="s">
        <v>1479</v>
      </c>
      <c r="C11" s="211"/>
      <c r="D11" s="846"/>
      <c r="E11" s="218"/>
      <c r="F11" s="218"/>
      <c r="G11" s="219"/>
    </row>
    <row r="12" spans="1:8" s="214" customFormat="1" ht="13.5" hidden="1" customHeight="1">
      <c r="A12" s="227" t="s">
        <v>5</v>
      </c>
      <c r="B12" s="215" t="s">
        <v>1562</v>
      </c>
      <c r="C12" s="211">
        <v>0</v>
      </c>
      <c r="D12" s="846"/>
      <c r="E12" s="228"/>
      <c r="F12" s="221">
        <v>3.0499999999999999E-2</v>
      </c>
      <c r="G12" s="219"/>
    </row>
    <row r="13" spans="1:8" s="214" customFormat="1" ht="13.5" hidden="1" customHeight="1">
      <c r="A13" s="227" t="s">
        <v>6</v>
      </c>
      <c r="B13" s="215" t="s">
        <v>1563</v>
      </c>
      <c r="C13" s="211"/>
      <c r="D13" s="846"/>
      <c r="E13" s="218"/>
      <c r="F13" s="218"/>
      <c r="G13" s="219"/>
    </row>
    <row r="14" spans="1:8" s="214" customFormat="1" ht="13.5" hidden="1" customHeight="1">
      <c r="A14" s="227" t="s">
        <v>7</v>
      </c>
      <c r="B14" s="215" t="s">
        <v>1475</v>
      </c>
      <c r="C14" s="211"/>
      <c r="D14" s="846"/>
      <c r="E14" s="218"/>
      <c r="F14" s="218"/>
      <c r="G14" s="219" t="s">
        <v>1564</v>
      </c>
    </row>
    <row r="15" spans="1:8" s="214" customFormat="1" ht="13.5" hidden="1" customHeight="1">
      <c r="A15" s="227" t="s">
        <v>8</v>
      </c>
      <c r="B15" s="215" t="s">
        <v>1565</v>
      </c>
      <c r="C15" s="220"/>
      <c r="D15" s="846"/>
      <c r="E15" s="218"/>
      <c r="F15" s="218"/>
      <c r="G15" s="219" t="s">
        <v>1566</v>
      </c>
    </row>
    <row r="16" spans="1:8" s="214" customFormat="1" ht="13.5" hidden="1" customHeight="1">
      <c r="A16" s="227" t="s">
        <v>9</v>
      </c>
      <c r="B16" s="215" t="s">
        <v>1475</v>
      </c>
      <c r="C16" s="220"/>
      <c r="D16" s="846"/>
      <c r="E16" s="218"/>
      <c r="F16" s="218"/>
      <c r="G16" s="219"/>
    </row>
    <row r="17" spans="1:7" s="214" customFormat="1" ht="13.5" hidden="1" customHeight="1">
      <c r="A17" s="227" t="s">
        <v>10</v>
      </c>
      <c r="B17" s="215" t="s">
        <v>1567</v>
      </c>
      <c r="C17" s="229"/>
      <c r="D17" s="847"/>
      <c r="E17" s="229"/>
      <c r="F17" s="229"/>
      <c r="G17" s="219" t="s">
        <v>1566</v>
      </c>
    </row>
    <row r="18" spans="1:7" s="214" customFormat="1" ht="13.5" hidden="1" customHeight="1">
      <c r="A18" s="227" t="s">
        <v>11</v>
      </c>
      <c r="B18" s="215" t="s">
        <v>1568</v>
      </c>
      <c r="C18" s="220">
        <v>0</v>
      </c>
      <c r="D18" s="846"/>
      <c r="E18" s="218"/>
      <c r="F18" s="221">
        <v>3.0499999999999999E-2</v>
      </c>
      <c r="G18" s="219" t="s">
        <v>1569</v>
      </c>
    </row>
    <row r="19" spans="1:7" s="223" customFormat="1" ht="13.5" customHeight="1">
      <c r="A19" s="255" t="s">
        <v>1570</v>
      </c>
      <c r="B19" s="210" t="s">
        <v>1571</v>
      </c>
      <c r="C19" s="211">
        <f ca="1">IF(G19="已包含在土地取得成本中","0",ROUND(D19*E19,0))</f>
        <v>123378</v>
      </c>
      <c r="D19" s="848">
        <f ca="1">D9+D10</f>
        <v>616.89</v>
      </c>
      <c r="E19" s="211">
        <f>'数据-取费表'!B31</f>
        <v>200</v>
      </c>
      <c r="F19" s="231"/>
      <c r="G19" s="1854"/>
    </row>
    <row r="20" spans="1:7" s="214" customFormat="1" ht="13.5" customHeight="1">
      <c r="A20" s="255" t="s">
        <v>1572</v>
      </c>
      <c r="B20" s="210" t="s">
        <v>1573</v>
      </c>
      <c r="C20" s="232">
        <f ca="1">ROUND((C5+C19)*F20,0)</f>
        <v>2468</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5">
        <f ca="1">ROUND(SUM(C23:C25),0)</f>
        <v>8488</v>
      </c>
      <c r="D22" s="235">
        <f>C26</f>
        <v>6.9999999999999999E-4</v>
      </c>
      <c r="E22" s="236" t="s">
        <v>1577</v>
      </c>
      <c r="F22" s="237">
        <f>'数据-取费表'!B40</f>
        <v>3.3500000000000002E-2</v>
      </c>
      <c r="G22" s="234" t="str">
        <f>IF('数据-取费表'!B22&lt;=1,"单利计息","复利计息")</f>
        <v>复利计息</v>
      </c>
    </row>
    <row r="23" spans="1:7" s="214" customFormat="1" ht="13.5" customHeight="1">
      <c r="A23" s="779" t="s">
        <v>1470</v>
      </c>
      <c r="B23" s="215" t="s">
        <v>1581</v>
      </c>
      <c r="C23" s="1126">
        <f ca="1">ROUND(IF('数据-取费表'!B22&lt;=1,C5*F22*'数据-取费表'!B22,C5*(POWER((1+F22),'数据-取费表'!B22)-1)),0)</f>
        <v>0</v>
      </c>
      <c r="D23" s="238"/>
      <c r="E23" s="238"/>
      <c r="F23" s="239"/>
      <c r="G23" s="240" t="s">
        <v>1582</v>
      </c>
    </row>
    <row r="24" spans="1:7" s="214" customFormat="1" ht="13.5" customHeight="1">
      <c r="A24" s="779" t="s">
        <v>1472</v>
      </c>
      <c r="B24" s="215" t="s">
        <v>1583</v>
      </c>
      <c r="C24" s="1126">
        <f ca="1">ROUND(IF('数据-取费表'!B22&lt;=1,C19*F22*('数据-取费表'!B19/2+'数据-取费表'!B20),C19*(POWER((1+F22),('数据-取费表'!B19/2+'数据-取费表'!B20))-1)),0)</f>
        <v>8405</v>
      </c>
      <c r="D24" s="238"/>
      <c r="E24" s="238"/>
      <c r="F24" s="239"/>
      <c r="G24" s="240" t="s">
        <v>1584</v>
      </c>
    </row>
    <row r="25" spans="1:7" s="214" customFormat="1" ht="24">
      <c r="A25" s="779" t="s">
        <v>1474</v>
      </c>
      <c r="B25" s="215" t="s">
        <v>1585</v>
      </c>
      <c r="C25" s="1126">
        <f ca="1">ROUND(IF('数据-取费表'!B22&lt;=1,C20*F22*'数据-取费表'!B22/2,C20*(POWER((1+F22),'数据-取费表'!B22/2)-1)),0)</f>
        <v>83</v>
      </c>
      <c r="D25" s="238"/>
      <c r="E25" s="241"/>
      <c r="F25" s="239"/>
      <c r="G25" s="242" t="s">
        <v>1586</v>
      </c>
    </row>
    <row r="26" spans="1:7" s="214" customFormat="1">
      <c r="A26" s="779" t="s">
        <v>350</v>
      </c>
      <c r="B26" s="215" t="s">
        <v>1509</v>
      </c>
      <c r="C26" s="238">
        <f>ROUND(IF('数据-取费表'!B22&lt;=1,F21*F22*'数据-取费表'!B22/2,F21*(POWER((1+F22),'数据-取费表'!B22/2)-1)),4)</f>
        <v>6.9999999999999999E-4</v>
      </c>
      <c r="D26" s="238"/>
      <c r="E26" s="241"/>
      <c r="F26" s="239"/>
      <c r="G26" s="243"/>
    </row>
    <row r="27" spans="1:7" s="214" customFormat="1" ht="24.75">
      <c r="A27" s="255" t="s">
        <v>1510</v>
      </c>
      <c r="B27" s="244" t="s">
        <v>1511</v>
      </c>
      <c r="C27" s="245">
        <f ca="1">C28</f>
        <v>22652</v>
      </c>
      <c r="D27" s="235">
        <f ca="1">C29</f>
        <v>3.5999999999999999E-3</v>
      </c>
      <c r="E27" s="236" t="s">
        <v>1512</v>
      </c>
      <c r="F27" s="246">
        <f ca="1">IF(B1="",'数据-取费表'!Q16,INDIRECT("'数据-取费表'!q"&amp;$G$1))</f>
        <v>0.18</v>
      </c>
      <c r="G27" s="247" t="s">
        <v>1513</v>
      </c>
    </row>
    <row r="28" spans="1:7" s="214" customFormat="1" ht="13.5" customHeight="1">
      <c r="A28" s="779" t="s">
        <v>346</v>
      </c>
      <c r="B28" s="248" t="s">
        <v>1514</v>
      </c>
      <c r="C28" s="249">
        <f ca="1">ROUND((C5+C19+C20)*F27,0)</f>
        <v>22652</v>
      </c>
      <c r="D28" s="235"/>
      <c r="E28" s="236"/>
      <c r="F28" s="246"/>
      <c r="G28" s="247"/>
    </row>
    <row r="29" spans="1:7" s="214" customFormat="1" ht="13.5" customHeight="1">
      <c r="A29" s="779" t="s">
        <v>347</v>
      </c>
      <c r="B29" s="248" t="s">
        <v>1515</v>
      </c>
      <c r="C29" s="238">
        <f ca="1">ROUND(C21*F27,4)</f>
        <v>3.5999999999999999E-3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170193</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3093703</v>
      </c>
      <c r="D33" s="232"/>
      <c r="E33" s="212"/>
      <c r="F33" s="241"/>
      <c r="G33" s="234"/>
    </row>
    <row r="34" spans="1:7" s="258" customFormat="1" ht="13.5" customHeight="1">
      <c r="A34" s="779" t="s">
        <v>346</v>
      </c>
      <c r="B34" s="215" t="s">
        <v>1523</v>
      </c>
      <c r="C34" s="220">
        <f ca="1">ROUND(IF(B1="",SUMPRODUCT('数据-取费表'!K6:K14,'数据-取费表'!L6:L14),INDIRECT("'数据-取费表'!l"&amp;$G$1)*INDIRECT("'数据-取费表'!k"&amp;$G$1)+'数据-取费表'!L14*INDIRECT("'数据-取费表'!S"&amp;$G$1)),0)</f>
        <v>2776005</v>
      </c>
      <c r="D34" s="217"/>
      <c r="E34" s="220"/>
      <c r="F34" s="257"/>
      <c r="G34" s="219"/>
    </row>
    <row r="35" spans="1:7" ht="13.5" customHeight="1">
      <c r="A35" s="779" t="s">
        <v>351</v>
      </c>
      <c r="B35" s="215" t="s">
        <v>1525</v>
      </c>
      <c r="C35" s="220">
        <f ca="1">ROUND(C34*F35,0)</f>
        <v>138800</v>
      </c>
      <c r="D35" s="220"/>
      <c r="E35" s="220"/>
      <c r="F35" s="259">
        <f>'数据-取费表'!B33</f>
        <v>0.05</v>
      </c>
      <c r="G35" s="219" t="s">
        <v>1526</v>
      </c>
    </row>
    <row r="36" spans="1:7" ht="24">
      <c r="A36" s="779"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79" t="s">
        <v>353</v>
      </c>
      <c r="B37" s="215" t="s">
        <v>1529</v>
      </c>
      <c r="C37" s="249">
        <f ca="1">ROUND(E37*D37,0)</f>
        <v>123378</v>
      </c>
      <c r="D37" s="217">
        <f ca="1">D19</f>
        <v>616.89</v>
      </c>
      <c r="E37" s="249">
        <f>'数据-取费表'!B35</f>
        <v>200</v>
      </c>
      <c r="F37" s="259"/>
      <c r="G37" s="261"/>
    </row>
    <row r="38" spans="1:7" ht="13.5" customHeight="1">
      <c r="A38" s="779" t="s">
        <v>354</v>
      </c>
      <c r="B38" s="215" t="s">
        <v>1531</v>
      </c>
      <c r="C38" s="220">
        <f ca="1">ROUND(C34*F38,0)</f>
        <v>55520</v>
      </c>
      <c r="D38" s="220"/>
      <c r="E38" s="220"/>
      <c r="F38" s="259">
        <f>'数据-取费表'!B36</f>
        <v>0.02</v>
      </c>
      <c r="G38" s="219" t="s">
        <v>1526</v>
      </c>
    </row>
    <row r="39" spans="1:7" s="214" customFormat="1" ht="13.5" customHeight="1">
      <c r="A39" s="255" t="s">
        <v>1532</v>
      </c>
      <c r="B39" s="210" t="s">
        <v>1533</v>
      </c>
      <c r="C39" s="232">
        <f ca="1">ROUND(C33*F20,0)</f>
        <v>61874</v>
      </c>
      <c r="D39" s="232"/>
      <c r="E39" s="232"/>
      <c r="F39" s="233">
        <f>F20</f>
        <v>0.02</v>
      </c>
      <c r="G39" s="234" t="s">
        <v>1534</v>
      </c>
    </row>
    <row r="40" spans="1:7" s="214" customFormat="1" ht="13.5" customHeight="1">
      <c r="A40" s="255" t="s">
        <v>1535</v>
      </c>
      <c r="B40" s="210" t="s">
        <v>1536</v>
      </c>
      <c r="C40" s="1325">
        <f>F21</f>
        <v>0.02</v>
      </c>
      <c r="D40" s="236" t="s">
        <v>1537</v>
      </c>
      <c r="E40" s="232"/>
      <c r="F40" s="233">
        <f>F21</f>
        <v>0.02</v>
      </c>
      <c r="G40" s="234" t="s">
        <v>1538</v>
      </c>
    </row>
    <row r="41" spans="1:7" s="214" customFormat="1" ht="13.5" customHeight="1">
      <c r="A41" s="255" t="s">
        <v>1539</v>
      </c>
      <c r="B41" s="210" t="s">
        <v>1540</v>
      </c>
      <c r="C41" s="232">
        <f ca="1">ROUND(SUM(C42:C43),0)</f>
        <v>105712</v>
      </c>
      <c r="D41" s="235">
        <f>C44</f>
        <v>6.9999999999999999E-4</v>
      </c>
      <c r="E41" s="236" t="s">
        <v>1537</v>
      </c>
      <c r="F41" s="237">
        <f>F22</f>
        <v>3.3500000000000002E-2</v>
      </c>
      <c r="G41" s="234" t="str">
        <f>IF('数据-取费表'!B22&lt;=1,"单利计息","复利计息")</f>
        <v>复利计息</v>
      </c>
    </row>
    <row r="42" spans="1:7" ht="13.5" customHeight="1">
      <c r="A42" s="779" t="s">
        <v>346</v>
      </c>
      <c r="B42" s="215" t="s">
        <v>1541</v>
      </c>
      <c r="C42" s="238">
        <f ca="1">ROUND(IF('数据-取费表'!B22&lt;=1,C33*F22*'数据-取费表'!B20/2,C33*(POWER((1+F22),'数据-取费表'!B20/2)-1)),0)</f>
        <v>103639</v>
      </c>
      <c r="D42" s="238"/>
      <c r="E42" s="238"/>
      <c r="F42" s="239"/>
      <c r="G42" s="3705" t="s">
        <v>1589</v>
      </c>
    </row>
    <row r="43" spans="1:7" ht="13.5" customHeight="1">
      <c r="A43" s="779" t="s">
        <v>347</v>
      </c>
      <c r="B43" s="215" t="s">
        <v>1543</v>
      </c>
      <c r="C43" s="238">
        <f ca="1">ROUND(IF('数据-取费表'!B22&lt;=1,C39*F22*'数据-取费表'!B20/2,C39*(POWER((1+F22),'数据-取费表'!B20/2)-1)),0)</f>
        <v>2073</v>
      </c>
      <c r="D43" s="238"/>
      <c r="E43" s="238"/>
      <c r="F43" s="239"/>
      <c r="G43" s="3706"/>
    </row>
    <row r="44" spans="1:7" ht="13.5" customHeight="1">
      <c r="A44" s="779" t="s">
        <v>348</v>
      </c>
      <c r="B44" s="215" t="s">
        <v>1544</v>
      </c>
      <c r="C44" s="238">
        <f>ROUND(IF('数据-取费表'!B22&lt;=1,C40*F22*'数据-取费表'!B20/2,C40*(POWER((1+F22),'数据-取费表'!B20/2)-1)),4)</f>
        <v>6.9999999999999999E-4</v>
      </c>
      <c r="D44" s="238"/>
      <c r="E44" s="238"/>
      <c r="F44" s="239"/>
      <c r="G44" s="3707"/>
    </row>
    <row r="45" spans="1:7" s="214" customFormat="1" ht="13.5" customHeight="1">
      <c r="A45" s="255" t="s">
        <v>1545</v>
      </c>
      <c r="B45" s="244" t="s">
        <v>1511</v>
      </c>
      <c r="C45" s="245">
        <f ca="1">C46</f>
        <v>568004</v>
      </c>
      <c r="D45" s="235">
        <f ca="1">C47</f>
        <v>3.5999999999999999E-3</v>
      </c>
      <c r="E45" s="236" t="s">
        <v>1537</v>
      </c>
      <c r="F45" s="246">
        <f ca="1">F27</f>
        <v>0.18</v>
      </c>
      <c r="G45" s="247" t="s">
        <v>1546</v>
      </c>
    </row>
    <row r="46" spans="1:7" s="214" customFormat="1" ht="13.5" customHeight="1">
      <c r="A46" s="779" t="s">
        <v>346</v>
      </c>
      <c r="B46" s="248" t="s">
        <v>1547</v>
      </c>
      <c r="C46" s="249">
        <f ca="1">ROUND((C33+C39)*F27,0)</f>
        <v>568004</v>
      </c>
      <c r="D46" s="263"/>
      <c r="E46" s="236"/>
      <c r="F46" s="246"/>
      <c r="G46" s="247"/>
    </row>
    <row r="47" spans="1:7" s="214" customFormat="1" ht="13.5" customHeight="1">
      <c r="A47" s="779" t="s">
        <v>347</v>
      </c>
      <c r="B47" s="248" t="s">
        <v>1548</v>
      </c>
      <c r="C47" s="238">
        <f ca="1">ROUND(C40*F27,4)</f>
        <v>3.5999999999999999E-3</v>
      </c>
      <c r="D47" s="263"/>
      <c r="E47" s="236"/>
      <c r="F47" s="246"/>
      <c r="G47" s="247"/>
    </row>
    <row r="48" spans="1:7" s="214" customFormat="1" ht="13.5" customHeight="1">
      <c r="A48" s="255" t="s">
        <v>1510</v>
      </c>
      <c r="B48" s="210" t="s">
        <v>1549</v>
      </c>
      <c r="C48" s="262">
        <f>ROUND(F30/(1+'数据-取费表'!C42),4)</f>
        <v>5.33E-2</v>
      </c>
      <c r="D48" s="236" t="s">
        <v>1537</v>
      </c>
      <c r="E48" s="232"/>
      <c r="F48" s="237">
        <f>F30</f>
        <v>5.6000000000000001E-2</v>
      </c>
      <c r="G48" s="234" t="s">
        <v>1550</v>
      </c>
    </row>
    <row r="49" spans="1:7" ht="16.5" customHeight="1">
      <c r="A49" s="255" t="s">
        <v>1516</v>
      </c>
      <c r="B49" s="210" t="s">
        <v>1590</v>
      </c>
      <c r="C49" s="232">
        <f ca="1">ROUND((C33+C39+C41+C45)/(1-C40-D41-D45-C48),0)</f>
        <v>4151445</v>
      </c>
      <c r="D49" s="232"/>
      <c r="E49" s="232"/>
      <c r="F49" s="264"/>
      <c r="G49" s="234" t="s">
        <v>1552</v>
      </c>
    </row>
    <row r="50" spans="1:7" s="258" customFormat="1">
      <c r="A50" s="255" t="s">
        <v>1553</v>
      </c>
      <c r="B50" s="210" t="s">
        <v>1554</v>
      </c>
      <c r="C50" s="232"/>
      <c r="D50" s="232"/>
      <c r="E50" s="232"/>
      <c r="F50" s="264">
        <f>IF('数据-取费表'!B24=0,'数据-取费表'!N16,1)</f>
        <v>0.78</v>
      </c>
      <c r="G50" s="247"/>
    </row>
    <row r="51" spans="1:7" ht="16.5" customHeight="1">
      <c r="A51" s="255" t="s">
        <v>1556</v>
      </c>
      <c r="B51" s="210" t="s">
        <v>1591</v>
      </c>
      <c r="C51" s="232">
        <f ca="1">ROUND(C49*F50,0)</f>
        <v>3238127</v>
      </c>
      <c r="D51" s="232"/>
      <c r="E51" s="232"/>
      <c r="F51" s="264"/>
      <c r="G51" s="234" t="s">
        <v>1558</v>
      </c>
    </row>
    <row r="52" spans="1:7" s="208" customFormat="1" ht="16.5" thickBot="1">
      <c r="A52" s="265" t="s">
        <v>1559</v>
      </c>
      <c r="B52" s="266"/>
      <c r="C52" s="267">
        <f ca="1">C31+C51</f>
        <v>3408320</v>
      </c>
      <c r="D52" s="266"/>
      <c r="E52" s="266"/>
      <c r="F52" s="266"/>
      <c r="G52" s="268"/>
    </row>
    <row r="55" spans="1:7" ht="15">
      <c r="B55" s="270" t="s">
        <v>1560</v>
      </c>
      <c r="C55" s="271"/>
    </row>
    <row r="56" spans="1:7">
      <c r="B56" s="273" t="s">
        <v>800</v>
      </c>
      <c r="C56" s="275">
        <f ca="1">1-C57</f>
        <v>5.0000000000000044E-2</v>
      </c>
    </row>
    <row r="57" spans="1:7">
      <c r="B57" s="273" t="s">
        <v>801</v>
      </c>
      <c r="C57" s="274">
        <f ca="1">ROUND(C51/C52,3)</f>
        <v>0.95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1592</v>
      </c>
      <c r="B1" s="1189"/>
      <c r="C1" s="1190"/>
      <c r="D1" s="1188"/>
      <c r="E1" s="2802"/>
      <c r="F1" s="2802"/>
      <c r="G1" s="2667"/>
      <c r="H1" s="2802"/>
      <c r="I1" s="2802"/>
      <c r="J1" s="2802"/>
      <c r="K1" s="2803">
        <f>MATCH(C1,'数据-取费表'!A6:A16,0)+5</f>
        <v>8</v>
      </c>
    </row>
    <row r="2" spans="1:33" ht="18" customHeight="1">
      <c r="A2" s="201" t="s">
        <v>1460</v>
      </c>
      <c r="B2" s="204">
        <f ca="1">C32</f>
        <v>0</v>
      </c>
      <c r="C2" s="276" t="s">
        <v>1593</v>
      </c>
      <c r="D2" s="276"/>
      <c r="E2" s="2802"/>
      <c r="F2" s="2802"/>
      <c r="G2" s="2802"/>
      <c r="H2" s="2802"/>
      <c r="I2" s="2802"/>
      <c r="J2" s="2802"/>
      <c r="K2" s="2802"/>
    </row>
    <row r="3" spans="1:33" ht="18" customHeight="1" thickBot="1">
      <c r="A3" s="203" t="s">
        <v>1462</v>
      </c>
      <c r="B3" s="204">
        <f ca="1">ROUND(B2*10000/IF(C1="",'数据-汇总表'!E3,INDIRECT("'数据-取费表'!K"&amp;$K$1)),0)</f>
        <v>0</v>
      </c>
      <c r="C3" s="276" t="s">
        <v>1594</v>
      </c>
      <c r="D3" s="276"/>
      <c r="E3" s="2802"/>
      <c r="F3" s="2802"/>
      <c r="G3" s="2802"/>
      <c r="H3" s="2802"/>
      <c r="I3" s="2802"/>
      <c r="J3" s="2802"/>
      <c r="K3" s="2802"/>
    </row>
    <row r="4" spans="1:33" s="784" customFormat="1" ht="16.5" customHeight="1">
      <c r="A4" s="781" t="s">
        <v>1595</v>
      </c>
      <c r="B4" s="782"/>
      <c r="C4" s="823">
        <f>SUM(C8:K8)</f>
        <v>0</v>
      </c>
      <c r="D4" s="782"/>
      <c r="E4" s="782"/>
      <c r="F4" s="782"/>
      <c r="G4" s="782"/>
      <c r="H4" s="782"/>
      <c r="I4" s="782"/>
      <c r="J4" s="782"/>
      <c r="K4" s="783"/>
    </row>
    <row r="5" spans="1:33" s="788" customFormat="1" ht="15">
      <c r="A5" s="785" t="s">
        <v>1596</v>
      </c>
      <c r="B5" s="786" t="s">
        <v>1597</v>
      </c>
      <c r="C5" s="1858"/>
      <c r="D5" s="1858"/>
      <c r="E5" s="1858"/>
      <c r="F5" s="1858"/>
      <c r="G5" s="1858"/>
      <c r="H5" s="1858"/>
      <c r="I5" s="1858"/>
      <c r="J5" s="1858"/>
      <c r="K5" s="1858"/>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1598</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9" t="s">
        <v>1601</v>
      </c>
      <c r="B8" s="164" t="s">
        <v>1602</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1603</v>
      </c>
      <c r="B9" s="782"/>
      <c r="C9" s="782"/>
      <c r="D9" s="782"/>
      <c r="E9" s="782"/>
      <c r="F9" s="782"/>
      <c r="G9" s="782"/>
      <c r="H9" s="782"/>
      <c r="I9" s="782"/>
      <c r="J9" s="782"/>
      <c r="K9" s="783"/>
    </row>
    <row r="10" spans="1:33" s="798" customFormat="1" ht="13.5" customHeight="1">
      <c r="A10" s="785" t="s">
        <v>1604</v>
      </c>
      <c r="B10" s="5" t="s">
        <v>1605</v>
      </c>
      <c r="C10" s="794" t="s">
        <v>1606</v>
      </c>
      <c r="D10" s="795" t="s">
        <v>1607</v>
      </c>
      <c r="E10" s="795" t="s">
        <v>1608</v>
      </c>
      <c r="F10" s="795" t="s">
        <v>1609</v>
      </c>
      <c r="G10" s="5"/>
      <c r="H10" s="796"/>
      <c r="I10" s="796"/>
      <c r="J10" s="796"/>
      <c r="K10" s="797"/>
    </row>
    <row r="11" spans="1:33" s="802" customFormat="1" ht="13.5" customHeight="1">
      <c r="A11" s="799" t="s">
        <v>635</v>
      </c>
      <c r="B11" s="800" t="s">
        <v>1610</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1611</v>
      </c>
      <c r="C12" s="21">
        <f ca="1">ROUND(C11*F12,0)</f>
        <v>0</v>
      </c>
      <c r="D12" s="801"/>
      <c r="E12" s="329"/>
      <c r="F12" s="811">
        <f>'数据-取费表'!B33</f>
        <v>0.05</v>
      </c>
      <c r="G12" s="5" t="s">
        <v>1612</v>
      </c>
      <c r="H12" s="796"/>
      <c r="I12" s="796"/>
      <c r="J12" s="796"/>
      <c r="K12" s="797"/>
    </row>
    <row r="13" spans="1:33" s="802" customFormat="1" ht="13.5" customHeight="1">
      <c r="A13" s="799" t="s">
        <v>637</v>
      </c>
      <c r="B13" s="800" t="s">
        <v>1613</v>
      </c>
      <c r="C13" s="21">
        <f ca="1">ROUND(IF(C1="",SUMIF('数据-取费表'!C:C,"住宅",'数据-取费表'!P:P)*F13,IF(INDIRECT("'数据-取费表'!c"&amp;$K$1)="住宅",INDIRECT("'数据-取费表'!P"&amp;$K$1)*F13,0)),0)</f>
        <v>0</v>
      </c>
      <c r="D13" s="845"/>
      <c r="E13" s="329"/>
      <c r="F13" s="811">
        <f>'数据-取费表'!B34</f>
        <v>0</v>
      </c>
      <c r="G13" s="5" t="s">
        <v>1614</v>
      </c>
      <c r="H13" s="796"/>
      <c r="I13" s="796"/>
      <c r="J13" s="796"/>
      <c r="K13" s="797"/>
    </row>
    <row r="14" spans="1:33" s="804" customFormat="1" ht="13.5" customHeight="1">
      <c r="A14" s="799" t="s">
        <v>638</v>
      </c>
      <c r="B14" s="800" t="s">
        <v>1615</v>
      </c>
      <c r="C14" s="21">
        <f ca="1">ROUND(D14*E14*F11/10000,0)</f>
        <v>0</v>
      </c>
      <c r="D14" s="845">
        <f ca="1">IF(C1="",'数据-汇总表'!E3,INDIRECT("'数据-取费表'!K"&amp;$K$1)+INDIRECT("'数据-取费表'!S"&amp;$K$1))</f>
        <v>616.89</v>
      </c>
      <c r="E14" s="21">
        <f>'数据-取费表'!B35</f>
        <v>200</v>
      </c>
      <c r="F14" s="803"/>
      <c r="G14" s="5" t="s">
        <v>1616</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1617</v>
      </c>
      <c r="C15" s="810">
        <f ca="1">ROUND(C11*F15,0)</f>
        <v>0</v>
      </c>
      <c r="D15" s="805"/>
      <c r="E15" s="810"/>
      <c r="F15" s="811">
        <f>'数据-取费表'!B36</f>
        <v>0.02</v>
      </c>
      <c r="G15" s="131" t="s">
        <v>1618</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1619</v>
      </c>
      <c r="C16" s="810">
        <f ca="1">SUM(C11:C15)</f>
        <v>0</v>
      </c>
      <c r="D16" s="805"/>
      <c r="E16" s="810"/>
      <c r="F16" s="811"/>
      <c r="G16" s="131"/>
      <c r="H16" s="1186"/>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1620</v>
      </c>
      <c r="C17" s="21">
        <f ca="1">ROUND(D17*E17/10000,0)</f>
        <v>0</v>
      </c>
      <c r="D17" s="845">
        <f ca="1">D14</f>
        <v>616.89</v>
      </c>
      <c r="E17" s="21">
        <f>'数据-取费表'!B32</f>
        <v>0</v>
      </c>
      <c r="F17" s="805"/>
      <c r="G17" s="131" t="s">
        <v>1621</v>
      </c>
      <c r="H17" s="1186"/>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1622</v>
      </c>
      <c r="C18" s="21">
        <f ca="1">C19+C20-IF(C1="",'数据-取费表'!B29,IF(G18="已全部缴纳",C19+C20,H18))</f>
        <v>0</v>
      </c>
      <c r="D18" s="845"/>
      <c r="E18" s="21"/>
      <c r="F18" s="803"/>
      <c r="G18" s="1860"/>
      <c r="H18" s="1185"/>
      <c r="I18" s="1861" t="s">
        <v>1623</v>
      </c>
      <c r="J18" s="806"/>
      <c r="K18" s="807"/>
    </row>
    <row r="19" spans="1:33" s="802" customFormat="1" ht="13.5" customHeight="1">
      <c r="A19" s="799" t="s">
        <v>360</v>
      </c>
      <c r="B19" s="800" t="s">
        <v>1624</v>
      </c>
      <c r="C19" s="21">
        <f ca="1">ROUND(D19*E19/10000,0)</f>
        <v>0</v>
      </c>
      <c r="D19" s="845">
        <f ca="1">IF(C1="",'数据-汇总表'!E5,IF(INDIRECT("'数据-取费表'!c"&amp;$K$1)="住宅",INDIRECT("'数据-取费表'!k"&amp;$K$1),0))</f>
        <v>0</v>
      </c>
      <c r="E19" s="21">
        <f>'数据-取费表'!B27</f>
        <v>0</v>
      </c>
      <c r="F19" s="803"/>
      <c r="G19" s="12"/>
      <c r="H19" s="1187"/>
      <c r="I19" s="808"/>
      <c r="J19" s="808"/>
      <c r="K19" s="809"/>
    </row>
    <row r="20" spans="1:33" s="802" customFormat="1" ht="13.5" customHeight="1">
      <c r="A20" s="799" t="s">
        <v>361</v>
      </c>
      <c r="B20" s="800" t="s">
        <v>1625</v>
      </c>
      <c r="C20" s="21">
        <f ca="1">ROUND(D20*E20/10000,0)</f>
        <v>0</v>
      </c>
      <c r="D20" s="845">
        <f ca="1">IF(C1="",'数据-汇总表'!E6,IF(INDIRECT("'数据-取费表'!c"&amp;$K$1)="住宅",INDIRECT("'数据-取费表'!s"&amp;$K$1),INDIRECT("'数据-取费表'!k"&amp;$K$1)+INDIRECT("'数据-取费表'!s"&amp;$K$1)))</f>
        <v>616.89</v>
      </c>
      <c r="E20" s="21">
        <f>'数据-取费表'!B28</f>
        <v>0</v>
      </c>
      <c r="F20" s="803"/>
      <c r="G20" s="12"/>
      <c r="H20" s="808"/>
      <c r="I20" s="808"/>
      <c r="J20" s="808"/>
      <c r="K20" s="809"/>
    </row>
    <row r="21" spans="1:33" s="802" customFormat="1" ht="13.5" customHeight="1">
      <c r="A21" s="789" t="s">
        <v>357</v>
      </c>
      <c r="B21" s="812" t="s">
        <v>1626</v>
      </c>
      <c r="C21" s="813">
        <f ca="1">C16+C17+C18</f>
        <v>0</v>
      </c>
      <c r="D21" s="814"/>
      <c r="E21" s="281"/>
      <c r="F21" s="281"/>
      <c r="G21" s="131" t="s">
        <v>1627</v>
      </c>
      <c r="H21" s="806"/>
      <c r="I21" s="806"/>
      <c r="J21" s="806"/>
      <c r="K21" s="807"/>
    </row>
    <row r="22" spans="1:33" s="802" customFormat="1" ht="13.5" customHeight="1">
      <c r="A22" s="789" t="s">
        <v>1599</v>
      </c>
      <c r="B22" s="812" t="s">
        <v>1628</v>
      </c>
      <c r="C22" s="813">
        <f ca="1">ROUND(C21*F22,0)</f>
        <v>0</v>
      </c>
      <c r="D22" s="281"/>
      <c r="E22" s="281"/>
      <c r="F22" s="815">
        <f>'数据-取费表'!B37</f>
        <v>0.02</v>
      </c>
      <c r="G22" s="5" t="s">
        <v>1629</v>
      </c>
      <c r="H22" s="796"/>
      <c r="I22" s="796"/>
      <c r="J22" s="796"/>
      <c r="K22" s="797"/>
    </row>
    <row r="23" spans="1:33" s="802" customFormat="1" ht="13.5" customHeight="1">
      <c r="A23" s="789" t="s">
        <v>1601</v>
      </c>
      <c r="B23" s="812" t="s">
        <v>1630</v>
      </c>
      <c r="C23" s="813">
        <f ca="1">ROUND(C4*F23*F11,0)</f>
        <v>0</v>
      </c>
      <c r="D23" s="281"/>
      <c r="E23" s="281"/>
      <c r="F23" s="815">
        <f>'数据-取费表'!B38</f>
        <v>0.02</v>
      </c>
      <c r="G23" s="5" t="s">
        <v>1631</v>
      </c>
      <c r="H23" s="796"/>
      <c r="I23" s="796"/>
      <c r="J23" s="796"/>
      <c r="K23" s="797"/>
    </row>
    <row r="24" spans="1:33" s="802" customFormat="1" ht="13.5" customHeight="1">
      <c r="A24" s="789" t="s">
        <v>1632</v>
      </c>
      <c r="B24" s="812" t="s">
        <v>1633</v>
      </c>
      <c r="C24" s="280">
        <f>ROUND(F24/(1+'数据-取费表'!C42),4)</f>
        <v>2.9000000000000001E-2</v>
      </c>
      <c r="D24" s="281" t="s">
        <v>12</v>
      </c>
      <c r="E24" s="281"/>
      <c r="F24" s="815">
        <f>IF(项目基本情况!B8="出让",0,'数据-取费表'!B48+'数据-取费表'!B49)</f>
        <v>3.0499999999999999E-2</v>
      </c>
      <c r="G24" s="5" t="s">
        <v>1634</v>
      </c>
      <c r="H24" s="817"/>
      <c r="I24" s="817"/>
      <c r="J24" s="817"/>
      <c r="K24" s="818"/>
    </row>
    <row r="25" spans="1:33" s="802" customFormat="1" ht="13.5" customHeight="1">
      <c r="A25" s="789" t="s">
        <v>1635</v>
      </c>
      <c r="B25" s="814" t="s">
        <v>1636</v>
      </c>
      <c r="C25" s="1104">
        <f ca="1">C27</f>
        <v>0</v>
      </c>
      <c r="D25" s="280">
        <f>C26</f>
        <v>0</v>
      </c>
      <c r="E25" s="282" t="s">
        <v>12</v>
      </c>
      <c r="F25" s="283">
        <f>'数据-取费表'!B40</f>
        <v>3.3500000000000002E-2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1637</v>
      </c>
      <c r="C26" s="1105">
        <f>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1638</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6"/>
      <c r="I27" s="806"/>
      <c r="J27" s="806"/>
      <c r="K27" s="807"/>
    </row>
    <row r="28" spans="1:33" s="289" customFormat="1" ht="13.5" customHeight="1">
      <c r="A28" s="789" t="s">
        <v>1639</v>
      </c>
      <c r="B28" s="1863" t="s">
        <v>1640</v>
      </c>
      <c r="C28" s="287">
        <f ca="1">C30</f>
        <v>0</v>
      </c>
      <c r="D28" s="280">
        <f ca="1">C29</f>
        <v>0</v>
      </c>
      <c r="E28" s="282" t="s">
        <v>12</v>
      </c>
      <c r="F28" s="288">
        <f ca="1">IF(C1="",'数据-取费表'!Q16,INDIRECT("'数据-取费表'!q"&amp;$K$1))</f>
        <v>0.18</v>
      </c>
      <c r="G28" s="816"/>
      <c r="H28" s="817"/>
      <c r="I28" s="817"/>
      <c r="J28" s="817"/>
      <c r="K28" s="818"/>
    </row>
    <row r="29" spans="1:33" s="291" customFormat="1" ht="13.5" customHeight="1">
      <c r="A29" s="799" t="s">
        <v>358</v>
      </c>
      <c r="B29" s="821" t="s">
        <v>1641</v>
      </c>
      <c r="C29" s="284">
        <f ca="1">ROUND((1+C24)*F28*'数据-取费表'!B24/'数据-取费表'!B20,4)</f>
        <v>0</v>
      </c>
      <c r="D29" s="284"/>
      <c r="E29" s="285"/>
      <c r="F29" s="290"/>
      <c r="G29" s="131" t="s">
        <v>1642</v>
      </c>
      <c r="H29" s="806"/>
      <c r="I29" s="806"/>
      <c r="J29" s="806"/>
      <c r="K29" s="807"/>
    </row>
    <row r="30" spans="1:33" s="291" customFormat="1" ht="13.5" customHeight="1">
      <c r="A30" s="799" t="s">
        <v>359</v>
      </c>
      <c r="B30" s="821" t="s">
        <v>1643</v>
      </c>
      <c r="C30" s="292">
        <f ca="1">ROUND((C21+C22+C23)*F28,0)</f>
        <v>0</v>
      </c>
      <c r="D30" s="284"/>
      <c r="E30" s="285"/>
      <c r="F30" s="290"/>
      <c r="G30" s="131"/>
      <c r="H30" s="806"/>
      <c r="I30" s="806"/>
      <c r="J30" s="806"/>
      <c r="K30" s="807"/>
    </row>
    <row r="31" spans="1:33" s="802" customFormat="1" ht="13.5" customHeight="1" thickBot="1">
      <c r="A31" s="1864" t="s">
        <v>1644</v>
      </c>
      <c r="B31" s="832" t="s">
        <v>1645</v>
      </c>
      <c r="C31" s="833">
        <f>ROUND(C4*F31/(1+'数据-取费表'!C42),0)</f>
        <v>0</v>
      </c>
      <c r="D31" s="834"/>
      <c r="E31" s="835"/>
      <c r="F31" s="836">
        <f>'数据-取费表'!B41</f>
        <v>5.6000000000000001E-2</v>
      </c>
      <c r="G31" s="837" t="s">
        <v>1646</v>
      </c>
      <c r="H31" s="838"/>
      <c r="I31" s="838"/>
      <c r="J31" s="838"/>
      <c r="K31" s="839"/>
    </row>
    <row r="32" spans="1:33" s="798" customFormat="1" ht="13.5" customHeight="1" thickBot="1">
      <c r="A32" s="827" t="s">
        <v>1647</v>
      </c>
      <c r="B32" s="828"/>
      <c r="C32" s="829">
        <f ca="1">ROUND((C4-C21-C22-C23-C25-C28-C31)/(1+C24+D25+D28),0)</f>
        <v>0</v>
      </c>
      <c r="D32" s="828"/>
      <c r="E32" s="828"/>
      <c r="F32" s="828"/>
      <c r="G32" s="830" t="s">
        <v>1648</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875</v>
      </c>
      <c r="B1" s="712"/>
      <c r="C1" s="1377"/>
      <c r="D1" s="1360" t="s">
        <v>43</v>
      </c>
      <c r="E1" s="1361" t="s">
        <v>676</v>
      </c>
      <c r="F1" s="1061">
        <f ca="1">J53</f>
        <v>0</v>
      </c>
      <c r="G1" s="1376">
        <f>MATCH(C1,'数据-取费表'!A6:A16,0)+5</f>
        <v>8</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802</v>
      </c>
      <c r="B2" s="1384" t="e">
        <f ca="1">C40+J29+L46</f>
        <v>#DIV/0!</v>
      </c>
      <c r="C2" s="1385" t="s">
        <v>803</v>
      </c>
      <c r="D2" s="1385"/>
      <c r="E2" s="1386"/>
      <c r="F2" s="1387"/>
      <c r="G2" s="2702"/>
      <c r="H2" s="2691"/>
      <c r="I2" s="2691"/>
      <c r="J2" s="2691"/>
      <c r="K2" s="2692"/>
      <c r="L2" s="2691"/>
      <c r="M2" s="2691"/>
    </row>
    <row r="3" spans="1:37" ht="18" customHeight="1" thickBot="1">
      <c r="A3" s="1388" t="s">
        <v>804</v>
      </c>
      <c r="B3" s="1389">
        <f ca="1">IF(ISERROR(B2*10000/F43),0,ROUND(B2*10000/F43,0))</f>
        <v>0</v>
      </c>
      <c r="C3" s="1385" t="s">
        <v>805</v>
      </c>
      <c r="D3" s="1385"/>
      <c r="E3" s="1386"/>
      <c r="F3" s="1387"/>
      <c r="G3" s="2702"/>
      <c r="H3" s="682" t="s">
        <v>874</v>
      </c>
      <c r="I3" s="1380"/>
      <c r="J3" s="1380"/>
      <c r="K3" s="1381"/>
      <c r="L3" s="1380"/>
      <c r="M3" s="1380"/>
    </row>
    <row r="4" spans="1:37" ht="18" customHeight="1">
      <c r="A4" s="295" t="s">
        <v>685</v>
      </c>
      <c r="B4" s="296" t="s">
        <v>686</v>
      </c>
      <c r="C4" s="296" t="s">
        <v>687</v>
      </c>
      <c r="D4" s="296" t="s">
        <v>688</v>
      </c>
      <c r="E4" s="297" t="s">
        <v>689</v>
      </c>
      <c r="F4" s="298"/>
      <c r="G4" s="1382"/>
      <c r="H4" s="295" t="s">
        <v>685</v>
      </c>
      <c r="I4" s="296" t="s">
        <v>686</v>
      </c>
      <c r="J4" s="296" t="s">
        <v>687</v>
      </c>
      <c r="K4" s="296" t="s">
        <v>688</v>
      </c>
      <c r="L4" s="297" t="s">
        <v>689</v>
      </c>
      <c r="M4" s="298"/>
    </row>
    <row r="5" spans="1:37" ht="18" customHeight="1">
      <c r="A5" s="299">
        <v>1</v>
      </c>
      <c r="B5" s="300" t="s">
        <v>690</v>
      </c>
      <c r="C5" s="1069">
        <f ca="1">C6+C10+C12</f>
        <v>0</v>
      </c>
      <c r="D5" s="1362" t="s">
        <v>691</v>
      </c>
      <c r="E5" s="1070"/>
      <c r="F5" s="1071"/>
      <c r="G5" s="1382"/>
      <c r="H5" s="299">
        <v>1</v>
      </c>
      <c r="I5" s="300" t="s">
        <v>690</v>
      </c>
      <c r="J5" s="1069">
        <f ca="1">J6+J10+J12</f>
        <v>0</v>
      </c>
      <c r="K5" s="1362" t="s">
        <v>691</v>
      </c>
      <c r="L5" s="1070"/>
      <c r="M5" s="1071"/>
    </row>
    <row r="6" spans="1:37" ht="18" customHeight="1">
      <c r="A6" s="1068" t="s">
        <v>398</v>
      </c>
      <c r="B6" s="3710" t="s">
        <v>692</v>
      </c>
      <c r="C6" s="1073">
        <f ca="1">ROUND(F6*F8*F7*(1-F9)/10000,0)</f>
        <v>0</v>
      </c>
      <c r="D6" s="155" t="s">
        <v>2106</v>
      </c>
      <c r="E6" s="302" t="s">
        <v>694</v>
      </c>
      <c r="F6" s="303">
        <f ca="1">INDIRECT("'数据-取费表'!u"&amp;$G$1)</f>
        <v>0</v>
      </c>
      <c r="G6" s="1382"/>
      <c r="H6" s="1068" t="s">
        <v>398</v>
      </c>
      <c r="I6" s="3710" t="s">
        <v>692</v>
      </c>
      <c r="J6" s="301">
        <f ca="1">ROUND(M6*M8*M7*(1-M9)/10000,0)</f>
        <v>0</v>
      </c>
      <c r="K6" s="155" t="s">
        <v>2105</v>
      </c>
      <c r="L6" s="302" t="s">
        <v>694</v>
      </c>
      <c r="M6" s="303">
        <f ca="1">INDIRECT("'数据-取费表'!z"&amp;$G$1)</f>
        <v>0</v>
      </c>
    </row>
    <row r="7" spans="1:37" ht="18" customHeight="1">
      <c r="A7" s="1072"/>
      <c r="B7" s="3711"/>
      <c r="C7" s="1074"/>
      <c r="D7" s="307"/>
      <c r="E7" s="1075" t="s">
        <v>695</v>
      </c>
      <c r="F7" s="303">
        <f ca="1">IF(INDIRECT("'数据-取费表'!ah"&amp;$G$1)="",INDIRECT("'数据-取费表'!k"&amp;$G$1),INDIRECT("'数据-取费表'!ah"&amp;$G$1))</f>
        <v>0</v>
      </c>
      <c r="G7" s="1382"/>
      <c r="H7" s="304"/>
      <c r="I7" s="3711"/>
      <c r="J7" s="306"/>
      <c r="K7" s="307"/>
      <c r="L7" s="302" t="s">
        <v>695</v>
      </c>
      <c r="M7" s="303">
        <f ca="1">F7</f>
        <v>0</v>
      </c>
    </row>
    <row r="8" spans="1:37" ht="18" customHeight="1">
      <c r="A8" s="304"/>
      <c r="B8" s="3711"/>
      <c r="C8" s="306"/>
      <c r="D8" s="307"/>
      <c r="E8" s="302" t="s">
        <v>696</v>
      </c>
      <c r="F8" s="303">
        <f ca="1">INDIRECT("'数据-取费表'!ai"&amp;$G$1)</f>
        <v>0</v>
      </c>
      <c r="G8" s="1382"/>
      <c r="H8" s="304"/>
      <c r="I8" s="3711"/>
      <c r="J8" s="306"/>
      <c r="K8" s="307"/>
      <c r="L8" s="302" t="s">
        <v>696</v>
      </c>
      <c r="M8" s="303">
        <f ca="1">INDIRECT("'数据-取费表'!ai"&amp;$G$1)</f>
        <v>0</v>
      </c>
    </row>
    <row r="9" spans="1:37" ht="18" customHeight="1">
      <c r="A9" s="304"/>
      <c r="B9" s="3712"/>
      <c r="C9" s="306"/>
      <c r="D9" s="307"/>
      <c r="E9" s="302" t="s">
        <v>697</v>
      </c>
      <c r="F9" s="312">
        <f ca="1">INDIRECT("'数据-取费表'!w"&amp;$G$1)</f>
        <v>0</v>
      </c>
      <c r="G9" s="1382"/>
      <c r="H9" s="304"/>
      <c r="I9" s="3712"/>
      <c r="J9" s="306"/>
      <c r="K9" s="307"/>
      <c r="L9" s="313" t="s">
        <v>697</v>
      </c>
      <c r="M9" s="314">
        <f ca="1">INDIRECT("'数据-取费表'!ab"&amp;$G$1)</f>
        <v>0</v>
      </c>
    </row>
    <row r="10" spans="1:37" ht="18" customHeight="1">
      <c r="A10" s="1068" t="s">
        <v>402</v>
      </c>
      <c r="B10" s="1363" t="s">
        <v>698</v>
      </c>
      <c r="C10" s="316">
        <f ca="1">ROUND(IF(F10="押一",C6/12*F11,IF(F10="押二",C6/12*2*F11,IF(F10="押三",C6/12*3*F11,C11*F11))),0)</f>
        <v>0</v>
      </c>
      <c r="D10" s="1364" t="s">
        <v>2114</v>
      </c>
      <c r="E10" s="313" t="s">
        <v>699</v>
      </c>
      <c r="F10" s="1114"/>
      <c r="G10" s="1382"/>
      <c r="H10" s="1068" t="s">
        <v>402</v>
      </c>
      <c r="I10" s="1363" t="s">
        <v>698</v>
      </c>
      <c r="J10" s="301">
        <f ca="1">ROUND(IF(M10="押一",J6/12*M11,IF(M10="押二",J6/12*2*M11,IF(M10="押三",J6/12*3*M11,J11*M11))),0)</f>
        <v>0</v>
      </c>
      <c r="K10" s="1364" t="s">
        <v>2113</v>
      </c>
      <c r="L10" s="313" t="s">
        <v>699</v>
      </c>
      <c r="M10" s="1114"/>
    </row>
    <row r="11" spans="1:37" ht="18" customHeight="1">
      <c r="A11" s="308"/>
      <c r="B11" s="1365" t="s">
        <v>677</v>
      </c>
      <c r="C11" s="958"/>
      <c r="D11" s="1366"/>
      <c r="E11" s="313" t="s">
        <v>700</v>
      </c>
      <c r="F11" s="314">
        <f ca="1">'数据-取费表'!B39</f>
        <v>1.4999999999999999E-2</v>
      </c>
      <c r="G11" s="1382"/>
      <c r="H11" s="1076"/>
      <c r="I11" s="1365" t="s">
        <v>677</v>
      </c>
      <c r="J11" s="958"/>
      <c r="K11" s="683"/>
      <c r="L11" s="313" t="s">
        <v>700</v>
      </c>
      <c r="M11" s="861">
        <f ca="1">'数据-取费表'!B39</f>
        <v>1.4999999999999999E-2</v>
      </c>
    </row>
    <row r="12" spans="1:37" ht="18" customHeight="1" thickBot="1">
      <c r="A12" s="1081" t="s">
        <v>437</v>
      </c>
      <c r="B12" s="1367" t="s">
        <v>701</v>
      </c>
      <c r="C12" s="1082"/>
      <c r="D12" s="1083"/>
      <c r="E12" s="1088"/>
      <c r="F12" s="1084"/>
      <c r="G12" s="1382"/>
      <c r="H12" s="1081" t="s">
        <v>437</v>
      </c>
      <c r="I12" s="1367" t="s">
        <v>701</v>
      </c>
      <c r="J12" s="1082"/>
      <c r="K12" s="1096"/>
      <c r="L12" s="1088"/>
      <c r="M12" s="1097"/>
    </row>
    <row r="13" spans="1:37" ht="18" customHeight="1" thickTop="1">
      <c r="A13" s="1077">
        <v>2</v>
      </c>
      <c r="B13" s="1078" t="s">
        <v>702</v>
      </c>
      <c r="C13" s="310">
        <f ca="1">ROUND(C29*F13,0)</f>
        <v>0</v>
      </c>
      <c r="D13" s="1079" t="s">
        <v>703</v>
      </c>
      <c r="E13" s="1079" t="s">
        <v>704</v>
      </c>
      <c r="F13" s="1080">
        <f ca="1">INDIRECT("'数据-取费表'!y"&amp;$G$1)</f>
        <v>0</v>
      </c>
      <c r="G13" s="1382"/>
      <c r="H13" s="1077">
        <v>2</v>
      </c>
      <c r="I13" s="1078" t="s">
        <v>702</v>
      </c>
      <c r="J13" s="1067">
        <f ca="1">ROUND(J14*J15,0)</f>
        <v>0</v>
      </c>
      <c r="K13" s="1085" t="s">
        <v>703</v>
      </c>
      <c r="L13" s="1390"/>
      <c r="M13" s="1391"/>
    </row>
    <row r="14" spans="1:37" ht="18" customHeight="1">
      <c r="A14" s="981" t="s">
        <v>397</v>
      </c>
      <c r="B14" s="302" t="s">
        <v>705</v>
      </c>
      <c r="C14" s="318">
        <f ca="1">INDIRECT("'数据-取费表'!m"&amp;$G$1)+INDIRECT("'数据-取费表'!t"&amp;$G$1)</f>
        <v>0</v>
      </c>
      <c r="D14" s="1343" t="s">
        <v>706</v>
      </c>
      <c r="E14" s="1340"/>
      <c r="F14" s="319"/>
      <c r="G14" s="1382"/>
      <c r="H14" s="981" t="s">
        <v>398</v>
      </c>
      <c r="I14" s="302" t="s">
        <v>707</v>
      </c>
      <c r="J14" s="21">
        <f ca="1">C29</f>
        <v>0</v>
      </c>
      <c r="K14" s="12"/>
      <c r="L14" s="806"/>
      <c r="M14" s="807"/>
    </row>
    <row r="15" spans="1:37" s="1395" customFormat="1" ht="18" customHeight="1" thickBot="1">
      <c r="A15" s="981" t="s">
        <v>399</v>
      </c>
      <c r="B15" s="302" t="s">
        <v>708</v>
      </c>
      <c r="C15" s="21">
        <f ca="1">ROUND(C14*F15,0)</f>
        <v>0</v>
      </c>
      <c r="D15" s="320" t="s">
        <v>709</v>
      </c>
      <c r="E15" s="320" t="s">
        <v>710</v>
      </c>
      <c r="F15" s="321">
        <f>'数据-取费表'!B33</f>
        <v>0.05</v>
      </c>
      <c r="G15" s="1394"/>
      <c r="H15" s="1087" t="s">
        <v>402</v>
      </c>
      <c r="I15" s="1088" t="s">
        <v>704</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678</v>
      </c>
      <c r="B16" s="302" t="s">
        <v>711</v>
      </c>
      <c r="C16" s="21">
        <f ca="1">ROUND(INDIRECT("'数据-取费表'!m"&amp;$G$1)*F16,0)</f>
        <v>0</v>
      </c>
      <c r="D16" s="302" t="s">
        <v>709</v>
      </c>
      <c r="E16" s="302" t="s">
        <v>710</v>
      </c>
      <c r="F16" s="322">
        <f ca="1">IF(INDIRECT("'数据-取费表'!c"&amp;$G$1)="住宅",'数据-取费表'!B34,0)</f>
        <v>0</v>
      </c>
      <c r="G16" s="1382"/>
      <c r="H16" s="1077" t="s">
        <v>393</v>
      </c>
      <c r="I16" s="1078" t="s">
        <v>712</v>
      </c>
      <c r="J16" s="310">
        <f ca="1">ROUND(J17+J22+J23+J24,0)</f>
        <v>0</v>
      </c>
      <c r="K16" s="1085" t="s">
        <v>713</v>
      </c>
      <c r="L16" s="1086"/>
      <c r="M16" s="1071"/>
    </row>
    <row r="17" spans="1:37" s="1395" customFormat="1" ht="18" customHeight="1">
      <c r="A17" s="981" t="s">
        <v>679</v>
      </c>
      <c r="B17" s="302" t="s">
        <v>714</v>
      </c>
      <c r="C17" s="21">
        <f ca="1">ROUND(F17*(F43+INDIRECT("'数据-取费表'!S"&amp;$G$1))/10000,0)</f>
        <v>0</v>
      </c>
      <c r="D17" s="302" t="s">
        <v>715</v>
      </c>
      <c r="E17" s="302" t="s">
        <v>716</v>
      </c>
      <c r="F17" s="23">
        <f>'数据-取费表'!B35</f>
        <v>200</v>
      </c>
      <c r="G17" s="1394"/>
      <c r="H17" s="981" t="s">
        <v>398</v>
      </c>
      <c r="I17" s="302" t="s">
        <v>717</v>
      </c>
      <c r="J17" s="2314">
        <f ca="1">ROUND(IF(AND(项目基本情况!B11="自然人",项目基本情况!B10="北京市"),J6*M17/(1+'数据-取费表'!C42),J18+J19+J20),2)</f>
        <v>0</v>
      </c>
      <c r="K17" s="1343" t="s">
        <v>718</v>
      </c>
      <c r="L17" s="1342" t="s">
        <v>719</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680</v>
      </c>
      <c r="B18" s="302" t="s">
        <v>720</v>
      </c>
      <c r="C18" s="21">
        <f ca="1">ROUND(C14*F18,0)</f>
        <v>0</v>
      </c>
      <c r="D18" s="302" t="s">
        <v>709</v>
      </c>
      <c r="E18" s="302" t="s">
        <v>710</v>
      </c>
      <c r="F18" s="322">
        <f>'数据-取费表'!B36</f>
        <v>0.02</v>
      </c>
      <c r="G18" s="1394"/>
      <c r="H18" s="981" t="s">
        <v>397</v>
      </c>
      <c r="I18" s="302" t="s">
        <v>721</v>
      </c>
      <c r="J18" s="21">
        <f ca="1">ROUND(J6*M18/(1+'数据-取费表'!C42),2)</f>
        <v>0</v>
      </c>
      <c r="K18" s="1342" t="s">
        <v>722</v>
      </c>
      <c r="L18" s="302" t="s">
        <v>710</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723</v>
      </c>
      <c r="C19" s="21">
        <f ca="1">SUM(C14:C18)</f>
        <v>0</v>
      </c>
      <c r="D19" s="131" t="s">
        <v>724</v>
      </c>
      <c r="E19" s="1358"/>
      <c r="F19" s="23"/>
      <c r="G19" s="1382"/>
      <c r="H19" s="981" t="s">
        <v>399</v>
      </c>
      <c r="I19" s="302" t="s">
        <v>725</v>
      </c>
      <c r="J19" s="21">
        <f ca="1">IF(K19="按租金收入计税",ROUND(J6*M19/(1+'数据-取费表'!C42),2),ROUND(C29*M19*0.7,2))</f>
        <v>0</v>
      </c>
      <c r="K19" s="1368" t="s">
        <v>3333</v>
      </c>
      <c r="L19" s="302" t="s">
        <v>710</v>
      </c>
      <c r="M19" s="322">
        <f>IF(K19="按租金收入计税",'数据-取费表'!B51,'数据-取费表'!B50)</f>
        <v>0.12</v>
      </c>
    </row>
    <row r="20" spans="1:37" s="1395" customFormat="1" ht="18" customHeight="1">
      <c r="A20" s="981" t="s">
        <v>402</v>
      </c>
      <c r="B20" s="302" t="s">
        <v>726</v>
      </c>
      <c r="C20" s="21">
        <f ca="1">ROUND(C19*F20,0)</f>
        <v>0</v>
      </c>
      <c r="D20" s="323" t="s">
        <v>727</v>
      </c>
      <c r="E20" s="302" t="s">
        <v>710</v>
      </c>
      <c r="F20" s="322">
        <f>'数据-取费表'!B37</f>
        <v>0.02</v>
      </c>
      <c r="G20" s="1394"/>
      <c r="H20" s="981" t="s">
        <v>678</v>
      </c>
      <c r="I20" s="155" t="s">
        <v>728</v>
      </c>
      <c r="J20" s="22">
        <f ca="1">ROUND(M20*M21/10000,2)</f>
        <v>0</v>
      </c>
      <c r="K20" s="324" t="s">
        <v>729</v>
      </c>
      <c r="L20" s="302" t="s">
        <v>730</v>
      </c>
      <c r="M20" s="325">
        <f>'数据-取费表'!B52</f>
        <v>24</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731</v>
      </c>
      <c r="C21" s="21" t="s">
        <v>15</v>
      </c>
      <c r="D21" s="323" t="s">
        <v>732</v>
      </c>
      <c r="E21" s="302" t="s">
        <v>733</v>
      </c>
      <c r="F21" s="322">
        <f>'数据-取费表'!B38</f>
        <v>0.02</v>
      </c>
      <c r="G21" s="1394"/>
      <c r="H21" s="326"/>
      <c r="I21" s="311"/>
      <c r="J21" s="26"/>
      <c r="K21" s="327"/>
      <c r="L21" s="302" t="s">
        <v>734</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681</v>
      </c>
      <c r="B22" s="302" t="s">
        <v>735</v>
      </c>
      <c r="C22" s="21"/>
      <c r="D22" s="131" t="str">
        <f>IF(F23&lt;=1,"单利计息。","复利计息。")&amp;"建造成本、管理费用、销售费用产生的利息。"</f>
        <v>复利计息。建造成本、管理费用、销售费用产生的利息。</v>
      </c>
      <c r="E22" s="1358"/>
      <c r="F22" s="23"/>
      <c r="G22" s="1382"/>
      <c r="H22" s="981" t="s">
        <v>402</v>
      </c>
      <c r="I22" s="302" t="s">
        <v>736</v>
      </c>
      <c r="J22" s="21">
        <f ca="1">ROUND(J14*M22,2)</f>
        <v>0</v>
      </c>
      <c r="K22" s="1342" t="s">
        <v>737</v>
      </c>
      <c r="L22" s="302" t="s">
        <v>710</v>
      </c>
      <c r="M22" s="328">
        <f ca="1">INDIRECT("'数据-取费表'!Ak"&amp;$G$1)</f>
        <v>0</v>
      </c>
    </row>
    <row r="23" spans="1:37" s="1395" customFormat="1" ht="18" customHeight="1">
      <c r="A23" s="981" t="s">
        <v>397</v>
      </c>
      <c r="B23" s="302" t="s">
        <v>738</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739</v>
      </c>
      <c r="F23" s="325">
        <f>'数据-取费表'!B20</f>
        <v>2</v>
      </c>
      <c r="G23" s="1394"/>
      <c r="H23" s="981" t="s">
        <v>437</v>
      </c>
      <c r="I23" s="302" t="s">
        <v>740</v>
      </c>
      <c r="J23" s="21">
        <f ca="1">ROUND(J13*M23,2)</f>
        <v>0</v>
      </c>
      <c r="K23" s="1342" t="s">
        <v>741</v>
      </c>
      <c r="L23" s="302" t="s">
        <v>742</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743</v>
      </c>
      <c r="B24" s="302" t="s">
        <v>744</v>
      </c>
      <c r="C24" s="21">
        <f>ROUND(IF('数据-取费表'!B22&lt;=1,F21*F24*F23/2,F21*(POWER((1+F24),F23/2)-1)),4)</f>
        <v>6.9999999999999999E-4</v>
      </c>
      <c r="D24" s="329" t="str">
        <f>IF(F23&lt;=1,"销售费用×利率×(建设周期÷2)","销售费用×((1+利率)^(建设周期÷2)-1)")</f>
        <v>销售费用×((1+利率)^(建设周期÷2)-1)</v>
      </c>
      <c r="E24" s="302" t="s">
        <v>745</v>
      </c>
      <c r="F24" s="331">
        <f>'数据-取费表'!B40</f>
        <v>3.3500000000000002E-2</v>
      </c>
      <c r="G24" s="1394"/>
      <c r="H24" s="1087" t="s">
        <v>682</v>
      </c>
      <c r="I24" s="1088" t="s">
        <v>726</v>
      </c>
      <c r="J24" s="1089">
        <f ca="1">ROUND(J5*M24,2)</f>
        <v>0</v>
      </c>
      <c r="K24" s="1090" t="s">
        <v>746</v>
      </c>
      <c r="L24" s="1088" t="s">
        <v>742</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747</v>
      </c>
      <c r="B25" s="302" t="s">
        <v>748</v>
      </c>
      <c r="C25" s="21"/>
      <c r="D25" s="131" t="s">
        <v>749</v>
      </c>
      <c r="E25" s="1358"/>
      <c r="F25" s="23"/>
      <c r="G25" s="1382"/>
      <c r="H25" s="1077" t="s">
        <v>394</v>
      </c>
      <c r="I25" s="1092" t="s">
        <v>750</v>
      </c>
      <c r="J25" s="310">
        <f ca="1">J5-J16</f>
        <v>0</v>
      </c>
      <c r="K25" s="1093" t="s">
        <v>751</v>
      </c>
      <c r="L25" s="1094"/>
      <c r="M25" s="1095"/>
    </row>
    <row r="26" spans="1:37">
      <c r="A26" s="981" t="s">
        <v>397</v>
      </c>
      <c r="B26" s="302" t="s">
        <v>752</v>
      </c>
      <c r="C26" s="21">
        <f ca="1">ROUND((C19+C20)*F26,0)</f>
        <v>0</v>
      </c>
      <c r="D26" s="323" t="s">
        <v>753</v>
      </c>
      <c r="E26" s="313" t="s">
        <v>754</v>
      </c>
      <c r="F26" s="312">
        <f ca="1">INDIRECT("'数据-取费表'!q"&amp;$G$1)</f>
        <v>0</v>
      </c>
      <c r="G26" s="1382"/>
      <c r="H26" s="299" t="s">
        <v>395</v>
      </c>
      <c r="I26" s="300" t="s">
        <v>755</v>
      </c>
      <c r="J26" s="301">
        <f ca="1">IF(J5&lt;&gt;0,ROUND(J25*(1-((1+M28)/(1+M26))^M27)/(M26-M28),0),0)</f>
        <v>0</v>
      </c>
      <c r="K26" s="324" t="s">
        <v>756</v>
      </c>
      <c r="L26" s="302" t="s">
        <v>757</v>
      </c>
      <c r="M26" s="312">
        <f ca="1">INDIRECT("'数据-取费表'!I"&amp;$G$1)</f>
        <v>0</v>
      </c>
    </row>
    <row r="27" spans="1:37" ht="18" customHeight="1">
      <c r="A27" s="981" t="s">
        <v>399</v>
      </c>
      <c r="B27" s="302" t="s">
        <v>758</v>
      </c>
      <c r="C27" s="21">
        <f ca="1">ROUND(F21*F26,4)</f>
        <v>0</v>
      </c>
      <c r="D27" s="323" t="s">
        <v>759</v>
      </c>
      <c r="E27" s="320"/>
      <c r="F27" s="321"/>
      <c r="G27" s="1382"/>
      <c r="H27" s="304"/>
      <c r="I27" s="305"/>
      <c r="J27" s="306"/>
      <c r="K27" s="332" t="s">
        <v>760</v>
      </c>
      <c r="L27" s="302" t="s">
        <v>761</v>
      </c>
      <c r="M27" s="333">
        <f ca="1">INDIRECT("'数据-取费表'!ag"&amp;$G$1)</f>
        <v>0</v>
      </c>
    </row>
    <row r="28" spans="1:37" s="1395" customFormat="1" ht="18" customHeight="1">
      <c r="A28" s="981" t="s">
        <v>400</v>
      </c>
      <c r="B28" s="302" t="s">
        <v>762</v>
      </c>
      <c r="C28" s="21">
        <f>ROUND(F28/(1+'数据-取费表'!C42),4)</f>
        <v>5.33E-2</v>
      </c>
      <c r="D28" s="323" t="s">
        <v>763</v>
      </c>
      <c r="E28" s="302" t="s">
        <v>710</v>
      </c>
      <c r="F28" s="322">
        <f>'数据-取费表'!B41</f>
        <v>5.6000000000000001E-2</v>
      </c>
      <c r="G28" s="1394"/>
      <c r="H28" s="308"/>
      <c r="I28" s="309"/>
      <c r="J28" s="310"/>
      <c r="K28" s="327"/>
      <c r="L28" s="302" t="s">
        <v>764</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765</v>
      </c>
      <c r="C29" s="1089">
        <f ca="1">ROUND((C19+C20+C23+C26)/(1-F21-C24-C27-C28),0)</f>
        <v>0</v>
      </c>
      <c r="D29" s="1090"/>
      <c r="E29" s="1088"/>
      <c r="F29" s="1091"/>
      <c r="G29" s="1394"/>
      <c r="H29" s="334" t="s">
        <v>396</v>
      </c>
      <c r="I29" s="335" t="s">
        <v>766</v>
      </c>
      <c r="J29" s="336">
        <f ca="1">ROUND(J26/(1+F40)^F41,0)</f>
        <v>0</v>
      </c>
      <c r="K29" s="337" t="s">
        <v>767</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712</v>
      </c>
      <c r="C30" s="310">
        <f ca="1">ROUND(C31+C36+C37+C38,0)</f>
        <v>0</v>
      </c>
      <c r="D30" s="1085" t="s">
        <v>713</v>
      </c>
      <c r="E30" s="1086"/>
      <c r="F30" s="1071"/>
      <c r="G30" s="1382"/>
      <c r="H30" s="2693"/>
      <c r="I30" s="1396"/>
      <c r="J30" s="1397"/>
      <c r="K30" s="2472"/>
      <c r="L30" s="2694"/>
      <c r="M30" s="2695"/>
    </row>
    <row r="31" spans="1:37" ht="18" customHeight="1">
      <c r="A31" s="981" t="s">
        <v>398</v>
      </c>
      <c r="B31" s="302" t="s">
        <v>717</v>
      </c>
      <c r="C31" s="2314">
        <f ca="1">ROUND(IF(AND(项目基本情况!B11="自然人",项目基本情况!B10="北京市"),C6*F31/(1+'数据-取费表'!C42),C32+C33+C34),2)</f>
        <v>0</v>
      </c>
      <c r="D31" s="1343" t="s">
        <v>718</v>
      </c>
      <c r="E31" s="1342" t="s">
        <v>768</v>
      </c>
      <c r="F31" s="2313" t="str">
        <f>IF(项目基本情况!B11="企业","——",IF(M47="住宅",IF(F6*F7*F8/12/(1+'数据-取费表'!F30)&gt;100000,4%,2.5%),IF(F6*F7*F8/12/(1+'数据-取费表'!F30)&gt;100000,12%,7%)))</f>
        <v>——</v>
      </c>
      <c r="G31" s="1382"/>
      <c r="H31" s="2804" t="s">
        <v>2303</v>
      </c>
      <c r="I31" s="1396"/>
      <c r="J31" s="1397"/>
      <c r="K31" s="2472"/>
      <c r="L31" s="2694"/>
      <c r="M31" s="2695"/>
    </row>
    <row r="32" spans="1:37" ht="18" customHeight="1">
      <c r="A32" s="981" t="s">
        <v>397</v>
      </c>
      <c r="B32" s="302" t="s">
        <v>721</v>
      </c>
      <c r="C32" s="21">
        <f ca="1">IF(项目基本情况!B11="自然人","——",ROUND(C6*F32/(1+'数据-取费表'!C42),2))</f>
        <v>0</v>
      </c>
      <c r="D32" s="1342" t="s">
        <v>722</v>
      </c>
      <c r="E32" s="302" t="s">
        <v>710</v>
      </c>
      <c r="F32" s="331">
        <f>'数据-取费表'!B41</f>
        <v>5.6000000000000001E-2</v>
      </c>
      <c r="G32" s="1382"/>
      <c r="H32" s="2693"/>
      <c r="I32" s="1396"/>
      <c r="J32" s="1397"/>
      <c r="K32" s="2472"/>
      <c r="L32" s="2694"/>
      <c r="M32" s="2695"/>
    </row>
    <row r="33" spans="1:18" ht="18" customHeight="1">
      <c r="A33" s="981" t="s">
        <v>399</v>
      </c>
      <c r="B33" s="302" t="s">
        <v>725</v>
      </c>
      <c r="C33" s="21">
        <f ca="1">IF(项目基本情况!B11="自然人","——",IF(D33="按租金收入计税",ROUND(C6*F33/(1+'数据-取费表'!C42),2),IF(D33="按房产原值计税",ROUND(C29*F33*0.7,2),INDIRECT("'数据-取费表'!Aj"&amp;$G$1))))</f>
        <v>0</v>
      </c>
      <c r="D33" s="1368" t="s">
        <v>3333</v>
      </c>
      <c r="E33" s="302" t="s">
        <v>710</v>
      </c>
      <c r="F33" s="322">
        <f>IF(D33="按票据","——",IF(D33="按租金收入计税",'数据-取费表'!B51,'数据-取费表'!B50))</f>
        <v>0.12</v>
      </c>
      <c r="G33" s="1382"/>
      <c r="H33" s="2696"/>
      <c r="I33" s="1396"/>
      <c r="J33" s="1397"/>
      <c r="K33" s="2697"/>
      <c r="L33" s="2696"/>
      <c r="M33" s="2696"/>
    </row>
    <row r="34" spans="1:18" ht="18" customHeight="1">
      <c r="A34" s="1068" t="s">
        <v>678</v>
      </c>
      <c r="B34" s="155" t="s">
        <v>728</v>
      </c>
      <c r="C34" s="22">
        <f ca="1">IF(项目基本情况!B11="自然人","——",ROUND(F34*F35/10000,2))</f>
        <v>0</v>
      </c>
      <c r="D34" s="324" t="s">
        <v>729</v>
      </c>
      <c r="E34" s="302" t="s">
        <v>730</v>
      </c>
      <c r="F34" s="325">
        <f>'数据-取费表'!B52</f>
        <v>24</v>
      </c>
      <c r="G34" s="1382"/>
      <c r="H34" s="2693"/>
      <c r="I34" s="1396"/>
      <c r="J34" s="1397"/>
      <c r="K34" s="2698"/>
      <c r="L34" s="2699"/>
      <c r="M34" s="2699"/>
    </row>
    <row r="35" spans="1:18" ht="18" customHeight="1">
      <c r="A35" s="1101"/>
      <c r="B35" s="1099"/>
      <c r="C35" s="26"/>
      <c r="D35" s="327"/>
      <c r="E35" s="302" t="s">
        <v>734</v>
      </c>
      <c r="F35" s="303">
        <f ca="1">INDIRECT("'数据-取费表'!r"&amp;$G$1)</f>
        <v>0</v>
      </c>
      <c r="G35" s="1382"/>
      <c r="H35" s="2693"/>
      <c r="I35" s="1396"/>
      <c r="J35" s="1397"/>
      <c r="K35" s="2697"/>
      <c r="L35" s="2696"/>
      <c r="M35" s="2696"/>
    </row>
    <row r="36" spans="1:18" ht="18" customHeight="1">
      <c r="A36" s="1100" t="s">
        <v>402</v>
      </c>
      <c r="B36" s="302" t="s">
        <v>736</v>
      </c>
      <c r="C36" s="21">
        <f ca="1">ROUND(C29*F36,2)</f>
        <v>0</v>
      </c>
      <c r="D36" s="1342" t="s">
        <v>769</v>
      </c>
      <c r="E36" s="302" t="s">
        <v>710</v>
      </c>
      <c r="F36" s="328">
        <f ca="1">INDIRECT("'数据-取费表'!Ak"&amp;$G$1)</f>
        <v>0</v>
      </c>
      <c r="G36" s="1382"/>
      <c r="H36" s="2696"/>
      <c r="I36" s="1396"/>
      <c r="J36" s="1397"/>
      <c r="K36" s="2540"/>
      <c r="L36" s="2696"/>
      <c r="M36" s="2696"/>
    </row>
    <row r="37" spans="1:18" ht="18" customHeight="1">
      <c r="A37" s="981" t="s">
        <v>437</v>
      </c>
      <c r="B37" s="302" t="s">
        <v>740</v>
      </c>
      <c r="C37" s="21">
        <f ca="1">ROUND(C13*F37,2)</f>
        <v>0</v>
      </c>
      <c r="D37" s="1342" t="s">
        <v>741</v>
      </c>
      <c r="E37" s="302" t="s">
        <v>742</v>
      </c>
      <c r="F37" s="330">
        <f ca="1">INDIRECT("'数据-取费表'!Al"&amp;$G$1)</f>
        <v>0</v>
      </c>
      <c r="G37" s="1382"/>
      <c r="H37" s="2696"/>
      <c r="I37" s="1396"/>
      <c r="J37" s="1397"/>
      <c r="K37" s="2540"/>
      <c r="L37" s="2696"/>
      <c r="M37" s="2696"/>
    </row>
    <row r="38" spans="1:18" ht="18" customHeight="1" thickBot="1">
      <c r="A38" s="1087" t="s">
        <v>682</v>
      </c>
      <c r="B38" s="1088" t="s">
        <v>726</v>
      </c>
      <c r="C38" s="1089">
        <f ca="1">ROUND(C5*F38,2)</f>
        <v>0</v>
      </c>
      <c r="D38" s="1090" t="s">
        <v>746</v>
      </c>
      <c r="E38" s="1088" t="s">
        <v>742</v>
      </c>
      <c r="F38" s="1084">
        <f ca="1">INDIRECT("'数据-取费表'!Am"&amp;$G$1)</f>
        <v>0</v>
      </c>
      <c r="G38" s="1382"/>
      <c r="H38" s="2696"/>
      <c r="I38" s="1396"/>
      <c r="J38" s="1397"/>
      <c r="K38" s="2700"/>
      <c r="L38" s="2696"/>
      <c r="M38" s="2696"/>
    </row>
    <row r="39" spans="1:18" ht="24.6" customHeight="1" thickTop="1">
      <c r="A39" s="1077" t="s">
        <v>394</v>
      </c>
      <c r="B39" s="1092" t="s">
        <v>770</v>
      </c>
      <c r="C39" s="310">
        <f ca="1">C5-C30</f>
        <v>0</v>
      </c>
      <c r="D39" s="1093" t="s">
        <v>771</v>
      </c>
      <c r="E39" s="1094"/>
      <c r="F39" s="1095"/>
      <c r="G39" s="1382"/>
      <c r="H39" s="2696"/>
      <c r="I39" s="1396"/>
      <c r="J39" s="1397"/>
      <c r="K39" s="2700"/>
      <c r="L39" s="2696"/>
      <c r="M39" s="2696"/>
    </row>
    <row r="40" spans="1:18" ht="18" customHeight="1">
      <c r="A40" s="299" t="s">
        <v>395</v>
      </c>
      <c r="B40" s="300" t="s">
        <v>772</v>
      </c>
      <c r="C40" s="301" t="e">
        <f ca="1">ROUND(C39*(1-((1+F42)/(1+F40))^F41)/(F40-F42),0)</f>
        <v>#DIV/0!</v>
      </c>
      <c r="D40" s="324" t="s">
        <v>756</v>
      </c>
      <c r="E40" s="302" t="s">
        <v>757</v>
      </c>
      <c r="F40" s="312">
        <f ca="1">INDIRECT("'数据-取费表'!I"&amp;$G$1)</f>
        <v>0</v>
      </c>
      <c r="G40" s="1382"/>
      <c r="H40" s="1459"/>
      <c r="I40" s="1396"/>
      <c r="J40" s="1397"/>
      <c r="K40" s="2700"/>
      <c r="L40" s="1459"/>
      <c r="M40" s="1459"/>
    </row>
    <row r="41" spans="1:18" ht="18" customHeight="1">
      <c r="A41" s="304"/>
      <c r="B41" s="305"/>
      <c r="C41" s="306"/>
      <c r="D41" s="332" t="s">
        <v>773</v>
      </c>
      <c r="E41" s="302" t="s">
        <v>761</v>
      </c>
      <c r="F41" s="333">
        <f ca="1">IF(INDIRECT("'数据-取费表'!af"&amp;$G$1)=0,INDIRECT("'数据-取费表'!ae"&amp;$G$1),INDIRECT("'数据-取费表'!af"&amp;$G$1))</f>
        <v>0</v>
      </c>
      <c r="G41" s="1382"/>
      <c r="H41" s="1189"/>
      <c r="I41" s="1396"/>
      <c r="J41" s="1397"/>
      <c r="K41" s="2540"/>
      <c r="L41" s="1189"/>
      <c r="M41" s="1189"/>
    </row>
    <row r="42" spans="1:18" ht="18" customHeight="1">
      <c r="A42" s="308"/>
      <c r="B42" s="309"/>
      <c r="C42" s="310"/>
      <c r="D42" s="327"/>
      <c r="E42" s="302" t="s">
        <v>764</v>
      </c>
      <c r="F42" s="312">
        <f ca="1">INDIRECT("'数据-取费表'!v"&amp;$G$1)</f>
        <v>0</v>
      </c>
      <c r="G42" s="1382"/>
      <c r="H42" s="1189"/>
      <c r="I42" s="1396"/>
      <c r="J42" s="1397"/>
      <c r="K42" s="2540"/>
      <c r="L42" s="1189"/>
      <c r="M42" s="1189"/>
    </row>
    <row r="43" spans="1:18" ht="18" customHeight="1" thickBot="1">
      <c r="A43" s="334" t="s">
        <v>396</v>
      </c>
      <c r="B43" s="335" t="s">
        <v>774</v>
      </c>
      <c r="C43" s="336" t="e">
        <f ca="1">ROUND(C40*10000/F43,0)</f>
        <v>#DIV/0!</v>
      </c>
      <c r="D43" s="337" t="s">
        <v>775</v>
      </c>
      <c r="E43" s="338" t="s">
        <v>776</v>
      </c>
      <c r="F43" s="339">
        <f ca="1">INDIRECT("'数据-取费表'!k"&amp;$G$1)</f>
        <v>0</v>
      </c>
      <c r="G43" s="1382"/>
      <c r="H43" s="1189"/>
      <c r="I43" s="1189"/>
      <c r="J43" s="1189"/>
      <c r="K43" s="2540"/>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5"/>
      <c r="O45" s="2701" t="s">
        <v>806</v>
      </c>
      <c r="P45" s="1459"/>
      <c r="Q45" s="1459"/>
      <c r="R45" s="1459"/>
    </row>
    <row r="46" spans="1:18" s="1382" customFormat="1" ht="13.5" thickBot="1">
      <c r="A46" s="1402" t="s">
        <v>807</v>
      </c>
      <c r="C46" s="1403" t="e">
        <f ca="1">C68-C40</f>
        <v>#DIV/0!</v>
      </c>
      <c r="D46" s="1404" t="str">
        <f>C2</f>
        <v>万元</v>
      </c>
      <c r="E46" s="1398"/>
      <c r="F46" s="1398"/>
      <c r="I46" s="1405" t="s">
        <v>808</v>
      </c>
      <c r="J46" s="1406"/>
      <c r="K46" s="1407"/>
      <c r="L46" s="1408" t="e">
        <f ca="1">IF(M47="住宅",0,IF(L48&gt;J51,L60,J60))</f>
        <v>#DIV/0!</v>
      </c>
      <c r="O46" s="1409" t="s">
        <v>809</v>
      </c>
      <c r="P46" s="1410" t="s">
        <v>810</v>
      </c>
      <c r="Q46" s="1411" t="s">
        <v>811</v>
      </c>
      <c r="R46" s="1411" t="s">
        <v>812</v>
      </c>
    </row>
    <row r="47" spans="1:18" s="1382" customFormat="1" ht="13.5" thickBot="1">
      <c r="A47" s="945" t="s">
        <v>685</v>
      </c>
      <c r="B47" s="977" t="s">
        <v>686</v>
      </c>
      <c r="C47" s="1115" t="s">
        <v>687</v>
      </c>
      <c r="D47" s="977" t="s">
        <v>688</v>
      </c>
      <c r="E47" s="1057" t="s">
        <v>689</v>
      </c>
      <c r="F47" s="1058"/>
      <c r="G47" s="721"/>
      <c r="I47" s="1412" t="s">
        <v>813</v>
      </c>
      <c r="J47" s="1413"/>
      <c r="K47" s="1414" t="s">
        <v>814</v>
      </c>
      <c r="L47" s="1415">
        <f ca="1">INDIRECT("'数据-取费表'!d"&amp;$G$1)</f>
        <v>0</v>
      </c>
      <c r="M47" s="1378" t="str">
        <f>IF(ISNUMBER(FIND("住宅",C1)),"住宅","非住宅")</f>
        <v>非住宅</v>
      </c>
      <c r="O47" s="1416" t="s">
        <v>403</v>
      </c>
      <c r="P47" s="1417" t="s">
        <v>815</v>
      </c>
      <c r="Q47" s="1418" t="e">
        <f ca="1">C40+J29</f>
        <v>#DIV/0!</v>
      </c>
      <c r="R47" s="1418" t="s">
        <v>816</v>
      </c>
    </row>
    <row r="48" spans="1:18" s="1382" customFormat="1" ht="28.5" thickBot="1">
      <c r="A48" s="1108" t="s">
        <v>438</v>
      </c>
      <c r="B48" s="300" t="s">
        <v>690</v>
      </c>
      <c r="C48" s="1357">
        <f ca="1">C49+C53+C55</f>
        <v>0</v>
      </c>
      <c r="D48" s="1110"/>
      <c r="E48" s="1111"/>
      <c r="F48" s="961"/>
      <c r="G48" s="721"/>
      <c r="H48" s="722"/>
      <c r="I48" s="1419" t="s">
        <v>817</v>
      </c>
      <c r="J48" s="1420"/>
      <c r="K48" s="1421" t="s">
        <v>818</v>
      </c>
      <c r="L48" s="1422">
        <f ca="1">INDIRECT("'数据-取费表'!f"&amp;$G$1)</f>
        <v>0</v>
      </c>
      <c r="O48" s="1416" t="s">
        <v>404</v>
      </c>
      <c r="P48" s="1417" t="s">
        <v>819</v>
      </c>
      <c r="Q48" s="1418" t="e">
        <f ca="1">J60</f>
        <v>#DIV/0!</v>
      </c>
      <c r="R48" s="1418" t="s">
        <v>820</v>
      </c>
    </row>
    <row r="49" spans="1:18" s="1382" customFormat="1" ht="13.5" thickBot="1">
      <c r="A49" s="974" t="s">
        <v>439</v>
      </c>
      <c r="B49" s="1369" t="s">
        <v>777</v>
      </c>
      <c r="C49" s="1112">
        <f ca="1">ROUND(F49*F51*F50*(1-F52)/10000,0)</f>
        <v>0</v>
      </c>
      <c r="D49" s="1054" t="s">
        <v>2107</v>
      </c>
      <c r="E49" s="1370" t="s">
        <v>778</v>
      </c>
      <c r="F49" s="1059"/>
      <c r="G49" s="1423"/>
      <c r="H49" s="722"/>
      <c r="I49" s="1419" t="s">
        <v>821</v>
      </c>
      <c r="J49" s="1424"/>
      <c r="K49" s="1421" t="s">
        <v>822</v>
      </c>
      <c r="L49" s="1425"/>
      <c r="O49" s="1426" t="s">
        <v>405</v>
      </c>
      <c r="P49" s="1417" t="s">
        <v>823</v>
      </c>
      <c r="Q49" s="1418">
        <f ca="1">C29</f>
        <v>0</v>
      </c>
      <c r="R49" s="1418" t="s">
        <v>816</v>
      </c>
    </row>
    <row r="50" spans="1:18" s="1382" customFormat="1" ht="13.5" thickBot="1">
      <c r="A50" s="975"/>
      <c r="B50" s="978"/>
      <c r="C50" s="1116"/>
      <c r="D50" s="952"/>
      <c r="E50" s="1055" t="s">
        <v>695</v>
      </c>
      <c r="F50" s="1056">
        <f ca="1">F7</f>
        <v>0</v>
      </c>
      <c r="H50" s="722"/>
      <c r="I50" s="1419" t="s">
        <v>824</v>
      </c>
      <c r="J50" s="1427">
        <f>SUMPRODUCT((I63:I65=J47)*(J62:L62=J48)*(J63:L65))</f>
        <v>0</v>
      </c>
      <c r="K50" s="1421" t="s">
        <v>825</v>
      </c>
      <c r="L50" s="1425"/>
      <c r="M50" s="1428"/>
      <c r="O50" s="1426" t="s">
        <v>406</v>
      </c>
      <c r="P50" s="1417" t="s">
        <v>826</v>
      </c>
      <c r="Q50" s="1429" t="e">
        <f ca="1">J58</f>
        <v>#DIV/0!</v>
      </c>
      <c r="R50" s="1418"/>
    </row>
    <row r="51" spans="1:18" s="1382" customFormat="1" ht="13.5" thickBot="1">
      <c r="A51" s="976"/>
      <c r="B51" s="978"/>
      <c r="C51" s="979"/>
      <c r="D51" s="952"/>
      <c r="E51" s="980" t="s">
        <v>696</v>
      </c>
      <c r="F51" s="303">
        <f ca="1">F8</f>
        <v>0</v>
      </c>
      <c r="I51" s="1430" t="s">
        <v>827</v>
      </c>
      <c r="J51" s="1431">
        <f>IF(J49="",J50,J49+J50-YEAR('数据-取费表'!B2))</f>
        <v>0</v>
      </c>
      <c r="K51" s="1432" t="s">
        <v>828</v>
      </c>
      <c r="L51" s="1433">
        <f ca="1">ROUND(-PV(INDIRECT("'数据-取费表'!h"&amp;$G$1),J51,(C39-C13*C76),0),0)</f>
        <v>0</v>
      </c>
      <c r="M51" s="1434"/>
      <c r="O51" s="1426" t="s">
        <v>407</v>
      </c>
      <c r="P51" s="1417" t="s">
        <v>829</v>
      </c>
      <c r="Q51" s="1429">
        <f>J52</f>
        <v>0</v>
      </c>
      <c r="R51" s="1418"/>
    </row>
    <row r="52" spans="1:18" s="1382" customFormat="1" ht="13.5" thickBot="1">
      <c r="A52" s="976"/>
      <c r="B52" s="978"/>
      <c r="C52" s="979"/>
      <c r="D52" s="952"/>
      <c r="E52" s="980" t="s">
        <v>697</v>
      </c>
      <c r="F52" s="1053"/>
      <c r="I52" s="1435" t="s">
        <v>830</v>
      </c>
      <c r="J52" s="1436"/>
      <c r="K52" s="1435" t="s">
        <v>831</v>
      </c>
      <c r="L52" s="1436"/>
      <c r="O52" s="1426" t="s">
        <v>408</v>
      </c>
      <c r="P52" s="1417" t="s">
        <v>832</v>
      </c>
      <c r="Q52" s="1418">
        <f ca="1">J53</f>
        <v>0</v>
      </c>
      <c r="R52" s="1418" t="s">
        <v>833</v>
      </c>
    </row>
    <row r="53" spans="1:18" s="1382" customFormat="1" ht="24.75" thickBot="1">
      <c r="A53" s="1150" t="s">
        <v>440</v>
      </c>
      <c r="B53" s="1371" t="s">
        <v>698</v>
      </c>
      <c r="C53" s="316">
        <f ca="1">ROUND(IF(F53="押一",C49/12*F11,IF(F53="押二",C49/12*2*F11,IF(F53="押三",C49/12*3*F11,C54*F11))),0)</f>
        <v>0</v>
      </c>
      <c r="D53" s="1364" t="s">
        <v>2113</v>
      </c>
      <c r="E53" s="313" t="s">
        <v>699</v>
      </c>
      <c r="F53" s="1114"/>
      <c r="I53" s="1437" t="s">
        <v>834</v>
      </c>
      <c r="J53" s="2166">
        <f ca="1">IF(M47="住宅",IF(D1="——",MAX(J51,L48),MAX(J51,L48-'数据-取费表'!B24)),IF(D1="——",MIN(J51,L48),MIN(J51,L48-'数据-取费表'!B24)))</f>
        <v>0</v>
      </c>
      <c r="K53" s="3708" t="s">
        <v>835</v>
      </c>
      <c r="L53" s="3709"/>
      <c r="O53" s="1416" t="s">
        <v>409</v>
      </c>
      <c r="P53" s="1417" t="s">
        <v>836</v>
      </c>
      <c r="Q53" s="1418" t="e">
        <f ca="1">Q47+Q48</f>
        <v>#DIV/0!</v>
      </c>
      <c r="R53" s="1418" t="s">
        <v>410</v>
      </c>
    </row>
    <row r="54" spans="1:18" s="1382" customFormat="1" ht="13.5" thickBot="1">
      <c r="A54" s="1151"/>
      <c r="B54" s="1365" t="s">
        <v>677</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837</v>
      </c>
      <c r="P54" s="1379"/>
      <c r="Q54" s="1379"/>
      <c r="R54" s="1379"/>
    </row>
    <row r="55" spans="1:18" s="1382" customFormat="1" ht="13.5" thickBot="1">
      <c r="A55" s="1081" t="s">
        <v>437</v>
      </c>
      <c r="B55" s="1367" t="s">
        <v>701</v>
      </c>
      <c r="C55" s="1082"/>
      <c r="D55" s="1364"/>
      <c r="E55" s="1372"/>
      <c r="F55" s="1438"/>
      <c r="I55" s="1441" t="s">
        <v>838</v>
      </c>
      <c r="J55" s="1442" t="e">
        <f ca="1">ROUND(IF(J47="钢混",J57/J50,1-(1-2%)*(J50-J57)/J50),3)</f>
        <v>#DIV/0!</v>
      </c>
      <c r="K55" s="1443" t="s">
        <v>839</v>
      </c>
      <c r="L55" s="1444"/>
      <c r="O55" s="1409" t="s">
        <v>809</v>
      </c>
      <c r="P55" s="1410" t="s">
        <v>810</v>
      </c>
      <c r="Q55" s="1411" t="s">
        <v>811</v>
      </c>
      <c r="R55" s="1411" t="s">
        <v>812</v>
      </c>
    </row>
    <row r="56" spans="1:18" s="1382" customFormat="1" ht="25.5" thickTop="1" thickBot="1">
      <c r="A56" s="956">
        <v>2</v>
      </c>
      <c r="B56" s="957" t="s">
        <v>702</v>
      </c>
      <c r="C56" s="232">
        <f ca="1">C13</f>
        <v>0</v>
      </c>
      <c r="D56" s="1445"/>
      <c r="E56" s="1446"/>
      <c r="F56" s="1438"/>
      <c r="I56" s="1447" t="s">
        <v>840</v>
      </c>
      <c r="J56" s="1448"/>
      <c r="K56" s="1419" t="s">
        <v>841</v>
      </c>
      <c r="L56" s="1422">
        <f ca="1">IF(L48&lt;J51,"——",L48-J53)</f>
        <v>0</v>
      </c>
      <c r="O56" s="1416" t="s">
        <v>403</v>
      </c>
      <c r="P56" s="1417" t="s">
        <v>815</v>
      </c>
      <c r="Q56" s="1418" t="e">
        <f ca="1">C40+J29</f>
        <v>#DIV/0!</v>
      </c>
      <c r="R56" s="1418" t="s">
        <v>816</v>
      </c>
    </row>
    <row r="57" spans="1:18" s="1382" customFormat="1" ht="24.75" thickBot="1">
      <c r="A57" s="1449"/>
      <c r="B57" s="949" t="s">
        <v>765</v>
      </c>
      <c r="C57" s="238">
        <f ca="1">C29</f>
        <v>0</v>
      </c>
      <c r="D57" s="1450"/>
      <c r="E57" s="1451"/>
      <c r="F57" s="1452"/>
      <c r="I57" s="1453" t="s">
        <v>842</v>
      </c>
      <c r="J57" s="1454">
        <f ca="1">IF(OR(M47="住宅",J51&lt;L48,J56="是"),"——",J51-L48)</f>
        <v>0</v>
      </c>
      <c r="K57" s="1419" t="s">
        <v>843</v>
      </c>
      <c r="L57" s="1422">
        <f ca="1">IF(L48&lt;J51,"——",IF(L55="比较法",L49,IF(L55="基准地价",L50,L51)))</f>
        <v>0</v>
      </c>
      <c r="O57" s="1416" t="s">
        <v>404</v>
      </c>
      <c r="P57" s="1417" t="s">
        <v>844</v>
      </c>
      <c r="Q57" s="1418" t="e">
        <f ca="1">L60</f>
        <v>#DIV/0!</v>
      </c>
      <c r="R57" s="1418" t="s">
        <v>845</v>
      </c>
    </row>
    <row r="58" spans="1:18" s="1382" customFormat="1" ht="24.75" thickBot="1">
      <c r="A58" s="315" t="s">
        <v>393</v>
      </c>
      <c r="B58" s="957" t="s">
        <v>712</v>
      </c>
      <c r="C58" s="316">
        <f ca="1">ROUND(C59+C64+C65+C66,0)</f>
        <v>0</v>
      </c>
      <c r="D58" s="959" t="s">
        <v>713</v>
      </c>
      <c r="E58" s="960"/>
      <c r="F58" s="961"/>
      <c r="I58" s="1453" t="s">
        <v>846</v>
      </c>
      <c r="J58" s="1455" t="e">
        <f ca="1">IF(J55&lt;0.4,0.4,J55)</f>
        <v>#DIV/0!</v>
      </c>
      <c r="K58" s="1432" t="s">
        <v>847</v>
      </c>
      <c r="L58" s="1422" t="e">
        <f ca="1">ROUND(POWER(1+L52,L47-L48)*(POWER(1+L52,L48)-1)/(POWER(1+L52,L47)-1),4)</f>
        <v>#DIV/0!</v>
      </c>
      <c r="O58" s="1426" t="s">
        <v>405</v>
      </c>
      <c r="P58" s="1417" t="s">
        <v>848</v>
      </c>
      <c r="Q58" s="1418">
        <f>IF(L55="比较法",L49,IF(L55="基准地价",L50,0))</f>
        <v>0</v>
      </c>
      <c r="R58" s="1418" t="s">
        <v>816</v>
      </c>
    </row>
    <row r="59" spans="1:18" s="1382" customFormat="1" ht="24.75" thickBot="1">
      <c r="A59" s="981" t="s">
        <v>398</v>
      </c>
      <c r="B59" s="949" t="s">
        <v>717</v>
      </c>
      <c r="C59" s="2314">
        <f ca="1">ROUND(IF(AND(项目基本情况!B11="自然人",项目基本情况!B10="北京市"),C49*F59/(1+'数据-取费表'!C42),C60+C61+C62),0)</f>
        <v>0</v>
      </c>
      <c r="D59" s="962" t="s">
        <v>718</v>
      </c>
      <c r="E59" s="963" t="s">
        <v>719</v>
      </c>
      <c r="F59" s="2313" t="str">
        <f>IF(项目基本情况!B11="企业","——",IF('数据-取费表'!B10="住宅",IF(F49*F50*F51/12/(1+'数据-取费表'!F30)&gt;100000,4%,2.5%),IF(F49*F50*F51/12/(1+'数据-取费表'!F30)&gt;100000,12%,7%)))</f>
        <v>——</v>
      </c>
      <c r="I59" s="1453" t="s">
        <v>849</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850</v>
      </c>
      <c r="Q59" s="1429">
        <f>L52</f>
        <v>0</v>
      </c>
      <c r="R59" s="1418"/>
    </row>
    <row r="60" spans="1:18" s="1382" customFormat="1" ht="16.5" thickBot="1">
      <c r="A60" s="981" t="s">
        <v>397</v>
      </c>
      <c r="B60" s="949" t="s">
        <v>721</v>
      </c>
      <c r="C60" s="21">
        <f ca="1">IF(项目基本情况!B11="自然人","——",ROUND(C48*F60/(1+'数据-取费表'!C42),2))</f>
        <v>0</v>
      </c>
      <c r="D60" s="963" t="s">
        <v>722</v>
      </c>
      <c r="E60" s="949" t="s">
        <v>710</v>
      </c>
      <c r="F60" s="331">
        <f t="shared" ref="F60:F66" si="0">F32</f>
        <v>5.6000000000000001E-2</v>
      </c>
      <c r="I60" s="1456" t="s">
        <v>851</v>
      </c>
      <c r="J60" s="1457" t="e">
        <f ca="1">IF(OR(M47="住宅",J51&lt;L48,J56="是"),"0",ROUND(J59/(1+J52)^J53,0))</f>
        <v>#DIV/0!</v>
      </c>
      <c r="K60" s="1458" t="s">
        <v>852</v>
      </c>
      <c r="L60" s="1457" t="e">
        <f ca="1">IF(OR(M47="住宅",L48&lt;J51),0,ROUND(L57*(L58/L59-1),0))</f>
        <v>#DIV/0!</v>
      </c>
      <c r="O60" s="1426" t="s">
        <v>407</v>
      </c>
      <c r="P60" s="1417" t="s">
        <v>853</v>
      </c>
      <c r="Q60" s="1418" t="e">
        <f ca="1">L58</f>
        <v>#DIV/0!</v>
      </c>
      <c r="R60" s="1418" t="s">
        <v>854</v>
      </c>
    </row>
    <row r="61" spans="1:18" s="1382" customFormat="1" ht="13.5" thickBot="1">
      <c r="A61" s="981" t="s">
        <v>779</v>
      </c>
      <c r="B61" s="949" t="s">
        <v>780</v>
      </c>
      <c r="C61" s="21">
        <f ca="1">IF(项目基本情况!B11="自然人","——",IF(D61="按租金收入计税",ROUND(C49*F61/(1+'数据-取费表'!C42),2),IF(D61="按房产原值计税",ROUND(C57*F61*0.7,2),INDIRECT("'数据-取费表'!Aj"&amp;$G$1))))</f>
        <v>0</v>
      </c>
      <c r="D61" s="1368" t="s">
        <v>3333</v>
      </c>
      <c r="E61" s="949" t="s">
        <v>781</v>
      </c>
      <c r="F61" s="322">
        <f t="shared" si="0"/>
        <v>0.12</v>
      </c>
      <c r="I61" s="1459"/>
      <c r="J61" s="1459"/>
      <c r="K61" s="1459"/>
      <c r="L61" s="1459"/>
      <c r="O61" s="1426" t="s">
        <v>408</v>
      </c>
      <c r="P61" s="1417" t="str">
        <f>K59</f>
        <v>建筑物剩余耐用年限下的土地年期修正系数Kn</v>
      </c>
      <c r="Q61" s="1418" t="e">
        <f ca="1">L59</f>
        <v>#DIV/0!</v>
      </c>
      <c r="R61" s="1418" t="s">
        <v>855</v>
      </c>
    </row>
    <row r="62" spans="1:18" s="1382" customFormat="1" ht="13.5" thickBot="1">
      <c r="A62" s="981" t="s">
        <v>782</v>
      </c>
      <c r="B62" s="948" t="s">
        <v>783</v>
      </c>
      <c r="C62" s="22">
        <f ca="1">IF(项目基本情况!B11="自然人","——",ROUND(F62*F63/10000,2))</f>
        <v>0</v>
      </c>
      <c r="D62" s="964" t="s">
        <v>784</v>
      </c>
      <c r="E62" s="949" t="s">
        <v>785</v>
      </c>
      <c r="F62" s="325">
        <f t="shared" si="0"/>
        <v>24</v>
      </c>
      <c r="I62" s="1460" t="s">
        <v>856</v>
      </c>
      <c r="J62" s="1461" t="s">
        <v>857</v>
      </c>
      <c r="K62" s="1461" t="s">
        <v>858</v>
      </c>
      <c r="L62" s="1461" t="s">
        <v>859</v>
      </c>
      <c r="M62" s="1462" t="s">
        <v>860</v>
      </c>
      <c r="O62" s="1416" t="s">
        <v>409</v>
      </c>
      <c r="P62" s="1417" t="s">
        <v>861</v>
      </c>
      <c r="Q62" s="1418" t="e">
        <f ca="1">Q56+Q57</f>
        <v>#DIV/0!</v>
      </c>
      <c r="R62" s="1418" t="s">
        <v>410</v>
      </c>
    </row>
    <row r="63" spans="1:18" s="1382" customFormat="1" ht="13.5" thickBot="1">
      <c r="A63" s="326"/>
      <c r="B63" s="955"/>
      <c r="C63" s="26"/>
      <c r="D63" s="965"/>
      <c r="E63" s="949" t="s">
        <v>786</v>
      </c>
      <c r="F63" s="303">
        <f t="shared" ca="1" si="0"/>
        <v>0</v>
      </c>
      <c r="I63" s="1460" t="s">
        <v>862</v>
      </c>
      <c r="J63" s="1461">
        <v>70</v>
      </c>
      <c r="K63" s="1461">
        <v>50</v>
      </c>
      <c r="L63" s="1461">
        <v>80</v>
      </c>
      <c r="M63" s="1463">
        <v>0.02</v>
      </c>
      <c r="O63" s="1401" t="s">
        <v>863</v>
      </c>
      <c r="P63" s="1379"/>
      <c r="Q63" s="1379"/>
      <c r="R63" s="1379"/>
    </row>
    <row r="64" spans="1:18" s="1382" customFormat="1" ht="13.5" thickBot="1">
      <c r="A64" s="981" t="s">
        <v>787</v>
      </c>
      <c r="B64" s="949" t="s">
        <v>788</v>
      </c>
      <c r="C64" s="21">
        <f ca="1">ROUND(C57*F64,2)</f>
        <v>0</v>
      </c>
      <c r="D64" s="963" t="s">
        <v>789</v>
      </c>
      <c r="E64" s="949" t="s">
        <v>781</v>
      </c>
      <c r="F64" s="328">
        <f t="shared" ca="1" si="0"/>
        <v>0</v>
      </c>
      <c r="I64" s="1460" t="s">
        <v>864</v>
      </c>
      <c r="J64" s="1461">
        <v>50</v>
      </c>
      <c r="K64" s="1461">
        <v>35</v>
      </c>
      <c r="L64" s="1461">
        <v>60</v>
      </c>
      <c r="M64" s="1462">
        <v>0</v>
      </c>
      <c r="O64" s="1409" t="s">
        <v>809</v>
      </c>
      <c r="P64" s="1410" t="s">
        <v>810</v>
      </c>
      <c r="Q64" s="1411" t="s">
        <v>811</v>
      </c>
      <c r="R64" s="1411" t="s">
        <v>812</v>
      </c>
    </row>
    <row r="65" spans="1:18" s="1382" customFormat="1" ht="13.5" thickBot="1">
      <c r="A65" s="981" t="s">
        <v>790</v>
      </c>
      <c r="B65" s="949" t="s">
        <v>740</v>
      </c>
      <c r="C65" s="21">
        <f ca="1">ROUND(C56*F65,2)</f>
        <v>0</v>
      </c>
      <c r="D65" s="963" t="s">
        <v>741</v>
      </c>
      <c r="E65" s="949" t="s">
        <v>742</v>
      </c>
      <c r="F65" s="330">
        <f t="shared" ca="1" si="0"/>
        <v>0</v>
      </c>
      <c r="I65" s="1460" t="s">
        <v>865</v>
      </c>
      <c r="J65" s="1461">
        <v>40</v>
      </c>
      <c r="K65" s="1461">
        <v>30</v>
      </c>
      <c r="L65" s="1461">
        <v>50</v>
      </c>
      <c r="M65" s="1463">
        <v>0.02</v>
      </c>
      <c r="O65" s="1416" t="s">
        <v>403</v>
      </c>
      <c r="P65" s="1417" t="s">
        <v>866</v>
      </c>
      <c r="Q65" s="1418" t="e">
        <f ca="1">C40+J29</f>
        <v>#DIV/0!</v>
      </c>
      <c r="R65" s="1418" t="s">
        <v>816</v>
      </c>
    </row>
    <row r="66" spans="1:18" s="1382" customFormat="1" ht="16.5" thickBot="1">
      <c r="A66" s="981" t="s">
        <v>791</v>
      </c>
      <c r="B66" s="949" t="s">
        <v>726</v>
      </c>
      <c r="C66" s="21">
        <f ca="1">ROUND(C48*F66,2)</f>
        <v>0</v>
      </c>
      <c r="D66" s="963" t="s">
        <v>792</v>
      </c>
      <c r="E66" s="949" t="s">
        <v>710</v>
      </c>
      <c r="F66" s="312">
        <f t="shared" ca="1" si="0"/>
        <v>0</v>
      </c>
      <c r="O66" s="1416" t="s">
        <v>404</v>
      </c>
      <c r="P66" s="1417" t="s">
        <v>844</v>
      </c>
      <c r="Q66" s="1418" t="e">
        <f ca="1">L60</f>
        <v>#DIV/0!</v>
      </c>
      <c r="R66" s="1418" t="s">
        <v>867</v>
      </c>
    </row>
    <row r="67" spans="1:18" s="1382" customFormat="1" ht="16.5" thickBot="1">
      <c r="A67" s="956" t="s">
        <v>394</v>
      </c>
      <c r="B67" s="966" t="s">
        <v>750</v>
      </c>
      <c r="C67" s="316">
        <f ca="1">C48-C58</f>
        <v>0</v>
      </c>
      <c r="D67" s="962" t="s">
        <v>751</v>
      </c>
      <c r="E67" s="967"/>
      <c r="F67" s="968"/>
      <c r="O67" s="1426" t="s">
        <v>405</v>
      </c>
      <c r="P67" s="1417" t="s">
        <v>848</v>
      </c>
      <c r="Q67" s="1464">
        <f ca="1">L51</f>
        <v>0</v>
      </c>
      <c r="R67" s="1418" t="s">
        <v>868</v>
      </c>
    </row>
    <row r="68" spans="1:18" s="1382" customFormat="1" ht="16.5" thickBot="1">
      <c r="A68" s="946" t="s">
        <v>395</v>
      </c>
      <c r="B68" s="947" t="s">
        <v>772</v>
      </c>
      <c r="C68" s="301" t="e">
        <f ca="1">ROUND(C67*(1-((1+F70)/(1+F68))^F69)/(F68-F70),0)</f>
        <v>#DIV/0!</v>
      </c>
      <c r="D68" s="964" t="s">
        <v>756</v>
      </c>
      <c r="E68" s="949" t="s">
        <v>757</v>
      </c>
      <c r="F68" s="312">
        <f ca="1">F40</f>
        <v>0</v>
      </c>
      <c r="O68" s="1426" t="s">
        <v>406</v>
      </c>
      <c r="P68" s="1465" t="s">
        <v>869</v>
      </c>
      <c r="Q68" s="1418">
        <f ca="1">ROUND(Q69-Q70*Q71,0)</f>
        <v>0</v>
      </c>
      <c r="R68" s="1418" t="s">
        <v>414</v>
      </c>
    </row>
    <row r="69" spans="1:18" s="1382" customFormat="1" ht="13.5" thickBot="1">
      <c r="A69" s="950"/>
      <c r="B69" s="951"/>
      <c r="C69" s="306"/>
      <c r="D69" s="969" t="s">
        <v>760</v>
      </c>
      <c r="E69" s="949" t="s">
        <v>761</v>
      </c>
      <c r="F69" s="333">
        <f ca="1">F41</f>
        <v>0</v>
      </c>
      <c r="O69" s="1426" t="s">
        <v>411</v>
      </c>
      <c r="P69" s="1465" t="s">
        <v>870</v>
      </c>
      <c r="Q69" s="1418">
        <f ca="1">C39</f>
        <v>0</v>
      </c>
      <c r="R69" s="1418" t="s">
        <v>816</v>
      </c>
    </row>
    <row r="70" spans="1:18" s="1382" customFormat="1" ht="13.5" thickBot="1">
      <c r="A70" s="953"/>
      <c r="B70" s="954"/>
      <c r="C70" s="310"/>
      <c r="D70" s="965"/>
      <c r="E70" s="949" t="s">
        <v>764</v>
      </c>
      <c r="F70" s="1053"/>
      <c r="O70" s="1426" t="s">
        <v>412</v>
      </c>
      <c r="P70" s="1465" t="s">
        <v>871</v>
      </c>
      <c r="Q70" s="1418">
        <f ca="1">C13</f>
        <v>0</v>
      </c>
      <c r="R70" s="1418" t="s">
        <v>816</v>
      </c>
    </row>
    <row r="71" spans="1:18" s="1382" customFormat="1" ht="13.5" thickBot="1">
      <c r="A71" s="970" t="s">
        <v>396</v>
      </c>
      <c r="B71" s="971" t="s">
        <v>774</v>
      </c>
      <c r="C71" s="336" t="e">
        <f ca="1">ROUND(C68*10000/F71,0)</f>
        <v>#DIV/0!</v>
      </c>
      <c r="D71" s="972" t="s">
        <v>775</v>
      </c>
      <c r="E71" s="973" t="s">
        <v>776</v>
      </c>
      <c r="F71" s="339">
        <f ca="1">F43</f>
        <v>0</v>
      </c>
      <c r="O71" s="1426" t="s">
        <v>413</v>
      </c>
      <c r="P71" s="1465" t="s">
        <v>872</v>
      </c>
      <c r="Q71" s="1429">
        <f ca="1">C76</f>
        <v>0</v>
      </c>
      <c r="R71" s="1418"/>
    </row>
    <row r="72" spans="1:18" s="1382" customFormat="1" ht="13.5" thickBot="1">
      <c r="B72" s="725"/>
      <c r="C72" s="725"/>
      <c r="O72" s="1426" t="s">
        <v>407</v>
      </c>
      <c r="P72" s="1417" t="s">
        <v>850</v>
      </c>
      <c r="Q72" s="1429">
        <f>L52</f>
        <v>0</v>
      </c>
      <c r="R72" s="1418"/>
    </row>
    <row r="73" spans="1:18" ht="16.5" thickBot="1">
      <c r="A73" s="1382"/>
      <c r="B73" s="725"/>
      <c r="C73" s="725"/>
      <c r="D73" s="1382"/>
      <c r="E73" s="1382"/>
      <c r="F73" s="1382"/>
      <c r="O73" s="1426" t="s">
        <v>408</v>
      </c>
      <c r="P73" s="1417" t="s">
        <v>853</v>
      </c>
      <c r="Q73" s="1418" t="e">
        <f ca="1">L58</f>
        <v>#DIV/0!</v>
      </c>
      <c r="R73" s="1418" t="s">
        <v>854</v>
      </c>
    </row>
    <row r="74" spans="1:18" ht="13.5" thickBot="1">
      <c r="A74" s="1382"/>
      <c r="B74" s="273" t="s">
        <v>873</v>
      </c>
      <c r="C74" s="1467"/>
      <c r="D74" s="1382"/>
      <c r="E74" s="1382"/>
      <c r="F74" s="1382"/>
      <c r="O74" s="1426" t="s">
        <v>415</v>
      </c>
      <c r="P74" s="1417" t="str">
        <f>K59</f>
        <v>建筑物剩余耐用年限下的土地年期修正系数Kn</v>
      </c>
      <c r="Q74" s="1418" t="e">
        <f ca="1">L59</f>
        <v>#DIV/0!</v>
      </c>
      <c r="R74" s="1418" t="s">
        <v>855</v>
      </c>
    </row>
    <row r="75" spans="1:18" ht="13.5" thickBot="1">
      <c r="A75" s="1382"/>
      <c r="B75" s="340" t="s">
        <v>793</v>
      </c>
      <c r="C75" s="341">
        <f ca="1">ROUND(C13*C76,0)</f>
        <v>0</v>
      </c>
      <c r="D75" s="1382"/>
      <c r="E75" s="1382"/>
      <c r="F75" s="1382"/>
      <c r="K75" s="1400"/>
      <c r="L75" s="1382"/>
      <c r="O75" s="1416" t="s">
        <v>409</v>
      </c>
      <c r="P75" s="1417" t="s">
        <v>836</v>
      </c>
      <c r="Q75" s="1418" t="e">
        <f ca="1">Q65+Q66</f>
        <v>#DIV/0!</v>
      </c>
      <c r="R75" s="1418" t="s">
        <v>410</v>
      </c>
    </row>
    <row r="76" spans="1:18">
      <c r="B76" s="342" t="s">
        <v>794</v>
      </c>
      <c r="C76" s="343">
        <f ca="1">INDIRECT("'数据-取费表'!j"&amp;$G$1)</f>
        <v>0</v>
      </c>
      <c r="I76" s="1382"/>
      <c r="J76" s="1382"/>
      <c r="K76" s="1400"/>
      <c r="L76" s="1382"/>
    </row>
    <row r="77" spans="1:18">
      <c r="B77" s="344" t="s">
        <v>795</v>
      </c>
      <c r="C77" s="345"/>
      <c r="I77" s="1382"/>
      <c r="J77" s="1382"/>
      <c r="K77" s="1400"/>
      <c r="L77" s="1382"/>
    </row>
    <row r="78" spans="1:18">
      <c r="B78" s="270" t="s">
        <v>796</v>
      </c>
      <c r="C78" s="346"/>
    </row>
    <row r="79" spans="1:18">
      <c r="B79" s="340" t="s">
        <v>797</v>
      </c>
      <c r="C79" s="274" t="e">
        <f ca="1">1-C80</f>
        <v>#DIV/0!</v>
      </c>
    </row>
    <row r="80" spans="1:18">
      <c r="B80" s="340" t="s">
        <v>798</v>
      </c>
      <c r="C80" s="274" t="e">
        <f ca="1">ROUND(C75/C39,3)</f>
        <v>#DIV/0!</v>
      </c>
    </row>
    <row r="81" spans="2:3">
      <c r="B81" s="270" t="s">
        <v>799</v>
      </c>
      <c r="C81" s="238"/>
    </row>
    <row r="82" spans="2:3">
      <c r="B82" s="273" t="s">
        <v>800</v>
      </c>
      <c r="C82" s="275" t="e">
        <f ca="1">1-C83</f>
        <v>#DIV/0!</v>
      </c>
    </row>
    <row r="83" spans="2:3">
      <c r="B83" s="273" t="s">
        <v>801</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2" priority="56">
      <formula>$L$48&gt;$J$51</formula>
    </cfRule>
  </conditionalFormatting>
  <conditionalFormatting sqref="I55 I60">
    <cfRule type="expression" dxfId="181" priority="57">
      <formula>$J$51&gt;$L$48</formula>
    </cfRule>
  </conditionalFormatting>
  <conditionalFormatting sqref="C11">
    <cfRule type="expression" dxfId="180" priority="3">
      <formula>$F$10="自定义"</formula>
    </cfRule>
  </conditionalFormatting>
  <conditionalFormatting sqref="J11">
    <cfRule type="expression" dxfId="179" priority="2">
      <formula>$M$10="自定义"</formula>
    </cfRule>
  </conditionalFormatting>
  <conditionalFormatting sqref="C54">
    <cfRule type="expression" dxfId="17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zoomScaleSheetLayoutView="85" workbookViewId="0">
      <selection activeCell="O45" sqref="O45"/>
    </sheetView>
  </sheetViews>
  <sheetFormatPr defaultColWidth="9" defaultRowHeight="14.25"/>
  <cols>
    <col min="1" max="1" width="10.5" style="357" customWidth="1"/>
    <col min="2" max="2" width="15.75" style="357" customWidth="1"/>
    <col min="3" max="3" width="20.8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955" t="s">
        <v>1808</v>
      </c>
      <c r="C1" s="1222" t="s">
        <v>1660</v>
      </c>
      <c r="D1" s="1223" t="s">
        <v>21</v>
      </c>
      <c r="E1" s="3429" t="s">
        <v>3466</v>
      </c>
      <c r="F1" s="1877" t="s">
        <v>3467</v>
      </c>
      <c r="G1" s="1233" t="s">
        <v>1765</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1460</v>
      </c>
      <c r="B2" s="1162">
        <f>IF(E1="项目模式",IF(C2="——",ROUND(C50*D3/10000,0),ROUND(C50*D3/10000,0)-D2),IF(E1="单套模式",IF(C2="——",ROUND(C50*D3/10000,4),ROUND(C50*D3/10000,4)-D2)))</f>
        <v>966.65800000000002</v>
      </c>
      <c r="C2" s="1879" t="s">
        <v>43</v>
      </c>
      <c r="D2" s="1113" t="e">
        <f ca="1">IF(E1="项目模式",SUMIF(INDIRECT("'"&amp;F2&amp;"'"&amp;"!A:A"),"承租人权益价值",INDIRECT("'"&amp;F2&amp;"'"&amp;"!c:c")),SUMIF(INDIRECT("'"&amp;F2&amp;"'"&amp;"!A:A"),"承租人权益价值（单套）",INDIRECT("'"&amp;F2&amp;"'"&amp;"!c:c")))</f>
        <v>#REF!</v>
      </c>
      <c r="E2" s="1880" t="s">
        <v>1461</v>
      </c>
      <c r="F2" s="1881"/>
      <c r="G2" s="907"/>
      <c r="H2" s="907"/>
      <c r="I2" s="907"/>
      <c r="J2" s="907"/>
      <c r="K2" s="907"/>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1462</v>
      </c>
      <c r="B3" s="558">
        <f>IF(C2="——",C50,ROUND(B2*10000/D3,0))</f>
        <v>46891</v>
      </c>
      <c r="C3" s="354" t="s">
        <v>1766</v>
      </c>
      <c r="D3" s="353">
        <f>IF(D1="",'数据-汇总表'!E3,SUMIF('数据-汇总表'!$C19:$C33,D1,'数据-汇总表'!$E19:$E33))</f>
        <v>206.15</v>
      </c>
      <c r="E3" s="1952"/>
      <c r="F3" s="908"/>
      <c r="G3" s="907"/>
      <c r="H3" s="907"/>
      <c r="I3" s="907"/>
      <c r="J3" s="907"/>
      <c r="K3" s="909"/>
      <c r="L3" s="2730"/>
      <c r="M3" s="2731"/>
      <c r="N3" s="2731"/>
      <c r="O3" s="2731"/>
      <c r="P3" s="698"/>
      <c r="Q3" s="698"/>
      <c r="R3" s="698"/>
      <c r="S3" s="698"/>
      <c r="T3" s="698"/>
      <c r="U3" s="698"/>
      <c r="V3" s="698"/>
      <c r="W3" s="698"/>
      <c r="X3" s="698"/>
      <c r="Y3" s="698"/>
      <c r="Z3" s="698"/>
      <c r="AA3" s="698"/>
      <c r="AB3" s="698"/>
      <c r="AC3" s="699"/>
    </row>
    <row r="4" spans="1:29" ht="15">
      <c r="A4" s="355" t="s">
        <v>1767</v>
      </c>
      <c r="B4" s="356"/>
      <c r="C4" s="3735" t="s">
        <v>1768</v>
      </c>
      <c r="D4" s="3736"/>
      <c r="E4" s="3737" t="s">
        <v>1769</v>
      </c>
      <c r="F4" s="3738"/>
      <c r="G4" s="3735" t="s">
        <v>1770</v>
      </c>
      <c r="H4" s="3736"/>
      <c r="I4" s="3735" t="s">
        <v>1771</v>
      </c>
      <c r="J4" s="3736"/>
      <c r="K4" s="559" t="s">
        <v>1772</v>
      </c>
      <c r="L4" s="2711"/>
      <c r="M4" s="2712"/>
      <c r="N4" s="2712"/>
      <c r="O4" s="2712"/>
      <c r="P4" s="3739" t="s">
        <v>1773</v>
      </c>
      <c r="Q4" s="3740"/>
      <c r="R4" s="3718" t="s">
        <v>1769</v>
      </c>
      <c r="S4" s="3719"/>
      <c r="T4" s="3718" t="s">
        <v>1770</v>
      </c>
      <c r="U4" s="3719"/>
      <c r="V4" s="3747" t="s">
        <v>1771</v>
      </c>
      <c r="W4" s="3747"/>
      <c r="X4" s="1956"/>
      <c r="Y4" s="3718" t="s">
        <v>1773</v>
      </c>
      <c r="Z4" s="3719"/>
      <c r="AA4" s="3713" t="s">
        <v>1769</v>
      </c>
      <c r="AB4" s="3713" t="s">
        <v>1770</v>
      </c>
      <c r="AC4" s="3732" t="s">
        <v>1771</v>
      </c>
    </row>
    <row r="5" spans="1:29" ht="15">
      <c r="A5" s="358"/>
      <c r="B5" s="359"/>
      <c r="C5" s="3724" t="s">
        <v>1671</v>
      </c>
      <c r="D5" s="3725"/>
      <c r="E5" s="3722" t="s">
        <v>3499</v>
      </c>
      <c r="F5" s="3723"/>
      <c r="G5" s="3749" t="s">
        <v>3582</v>
      </c>
      <c r="H5" s="3723"/>
      <c r="I5" s="3728" t="s">
        <v>3500</v>
      </c>
      <c r="J5" s="3725"/>
      <c r="K5" s="559"/>
      <c r="L5" s="2711"/>
      <c r="M5" s="2712"/>
      <c r="N5" s="2712"/>
      <c r="O5" s="2712"/>
      <c r="P5" s="3741"/>
      <c r="Q5" s="3742"/>
      <c r="R5" s="3720"/>
      <c r="S5" s="3721"/>
      <c r="T5" s="3720"/>
      <c r="U5" s="3721"/>
      <c r="V5" s="3748"/>
      <c r="W5" s="3748"/>
      <c r="X5" s="1353"/>
      <c r="Y5" s="3720"/>
      <c r="Z5" s="3721"/>
      <c r="AA5" s="3714"/>
      <c r="AB5" s="3714"/>
      <c r="AC5" s="3733"/>
    </row>
    <row r="6" spans="1:29" ht="15.75" thickBot="1">
      <c r="A6" s="360"/>
      <c r="B6" s="361"/>
      <c r="C6" s="3726" t="s">
        <v>1675</v>
      </c>
      <c r="D6" s="3727"/>
      <c r="E6" s="3729" t="s">
        <v>1675</v>
      </c>
      <c r="F6" s="3730"/>
      <c r="G6" s="3726" t="s">
        <v>1675</v>
      </c>
      <c r="H6" s="3727"/>
      <c r="I6" s="3726" t="s">
        <v>1675</v>
      </c>
      <c r="J6" s="3727"/>
      <c r="K6" s="559" t="s">
        <v>1676</v>
      </c>
      <c r="L6" s="2711"/>
      <c r="M6" s="2712"/>
      <c r="N6" s="2712"/>
      <c r="O6" s="2712"/>
      <c r="P6" s="3743"/>
      <c r="Q6" s="3744"/>
      <c r="R6" s="3720"/>
      <c r="S6" s="3721"/>
      <c r="T6" s="3745"/>
      <c r="U6" s="3746"/>
      <c r="V6" s="3748"/>
      <c r="W6" s="3748"/>
      <c r="X6" s="1353"/>
      <c r="Y6" s="3745"/>
      <c r="Z6" s="3746"/>
      <c r="AA6" s="3715"/>
      <c r="AB6" s="3715"/>
      <c r="AC6" s="3734"/>
    </row>
    <row r="7" spans="1:29" s="108" customFormat="1" ht="15.75" thickBot="1">
      <c r="A7" s="362" t="s">
        <v>1677</v>
      </c>
      <c r="B7" s="363"/>
      <c r="C7" s="364">
        <f>'数据-取费表'!B2</f>
        <v>45498</v>
      </c>
      <c r="D7" s="365">
        <v>100</v>
      </c>
      <c r="E7" s="366">
        <v>45474</v>
      </c>
      <c r="F7" s="367">
        <f>SUMIF(59:59,YEAR(E7)&amp;"-"&amp;MONTH(E7),60:60)</f>
        <v>100</v>
      </c>
      <c r="G7" s="366">
        <v>45474</v>
      </c>
      <c r="H7" s="365">
        <f>SUMIF(59:59,YEAR(G7)&amp;"-"&amp;MONTH(G7),60:60)</f>
        <v>100</v>
      </c>
      <c r="I7" s="366">
        <v>45474</v>
      </c>
      <c r="J7" s="365">
        <f>SUMIF(59:59,YEAR(I7)&amp;"-"&amp;MONTH(I7),60:60)</f>
        <v>100</v>
      </c>
      <c r="K7" s="560"/>
      <c r="L7" s="2713"/>
      <c r="M7" s="2714"/>
      <c r="N7" s="2714"/>
      <c r="O7" s="2714"/>
      <c r="P7" s="3750" t="s">
        <v>1678</v>
      </c>
      <c r="Q7" s="3751"/>
      <c r="R7" s="700" t="s">
        <v>14</v>
      </c>
      <c r="S7" s="701">
        <f t="shared" ref="S7:S15" si="0">F7</f>
        <v>100</v>
      </c>
      <c r="T7" s="700" t="s">
        <v>14</v>
      </c>
      <c r="U7" s="701">
        <f t="shared" ref="U7:U15" si="1">H7</f>
        <v>100</v>
      </c>
      <c r="V7" s="700" t="s">
        <v>14</v>
      </c>
      <c r="W7" s="701">
        <f t="shared" ref="W7:W15" si="2">J7</f>
        <v>100</v>
      </c>
      <c r="X7" s="702"/>
      <c r="Y7" s="3716" t="s">
        <v>1678</v>
      </c>
      <c r="Z7" s="3717"/>
      <c r="AA7" s="703">
        <f>D7/F7</f>
        <v>1</v>
      </c>
      <c r="AB7" s="703">
        <f>D7/H7</f>
        <v>1</v>
      </c>
      <c r="AC7" s="1957">
        <f>D7/J7</f>
        <v>1</v>
      </c>
    </row>
    <row r="8" spans="1:29" s="108" customFormat="1" ht="15.75" thickBot="1">
      <c r="A8" s="362" t="s">
        <v>1679</v>
      </c>
      <c r="B8" s="363"/>
      <c r="C8" s="368" t="s">
        <v>3501</v>
      </c>
      <c r="D8" s="365">
        <v>100</v>
      </c>
      <c r="E8" s="368" t="s">
        <v>3503</v>
      </c>
      <c r="F8" s="367">
        <f>SUMIF(62:62,E8,63:63)-SUMIF(62:62,C8,63:63)+100</f>
        <v>102</v>
      </c>
      <c r="G8" s="368" t="s">
        <v>3503</v>
      </c>
      <c r="H8" s="365">
        <f>SUMIF(62:62,G8,63:63)-SUMIF(62:62,C8,63:63)+100</f>
        <v>102</v>
      </c>
      <c r="I8" s="368" t="s">
        <v>3503</v>
      </c>
      <c r="J8" s="365">
        <f>SUMIF(62:62,I8,63:63)-SUMIF(62:62,C8,63:63)+100</f>
        <v>102</v>
      </c>
      <c r="K8" s="560"/>
      <c r="L8" s="2713"/>
      <c r="M8" s="2714"/>
      <c r="N8" s="2714"/>
      <c r="O8" s="2714"/>
      <c r="P8" s="3750" t="s">
        <v>1681</v>
      </c>
      <c r="Q8" s="3717"/>
      <c r="R8" s="700" t="s">
        <v>14</v>
      </c>
      <c r="S8" s="701">
        <f t="shared" si="0"/>
        <v>102</v>
      </c>
      <c r="T8" s="700" t="s">
        <v>14</v>
      </c>
      <c r="U8" s="701">
        <f t="shared" si="1"/>
        <v>102</v>
      </c>
      <c r="V8" s="700" t="s">
        <v>14</v>
      </c>
      <c r="W8" s="701">
        <f t="shared" si="2"/>
        <v>102</v>
      </c>
      <c r="X8" s="702"/>
      <c r="Y8" s="3716" t="s">
        <v>1681</v>
      </c>
      <c r="Z8" s="3717"/>
      <c r="AA8" s="703">
        <f t="shared" ref="AA8:AA47" si="3">D8/F8</f>
        <v>0.98039215686274506</v>
      </c>
      <c r="AB8" s="703">
        <f t="shared" ref="AB8:AB47" si="4">D8/H8</f>
        <v>0.98039215686274506</v>
      </c>
      <c r="AC8" s="1957">
        <f t="shared" ref="AC8:AC47" si="5">D8/J8</f>
        <v>0.98039215686274506</v>
      </c>
    </row>
    <row r="9" spans="1:29" s="108" customFormat="1">
      <c r="A9" s="369" t="s">
        <v>1682</v>
      </c>
      <c r="B9" s="63" t="s">
        <v>1683</v>
      </c>
      <c r="C9" s="3509" t="s">
        <v>3502</v>
      </c>
      <c r="D9" s="126">
        <v>100</v>
      </c>
      <c r="E9" s="373" t="s">
        <v>21</v>
      </c>
      <c r="F9" s="126">
        <f>SUMIF(64:64,E9,65:65)-SUMIF(64:64,C9,65:65)+100</f>
        <v>100</v>
      </c>
      <c r="G9" s="373" t="s">
        <v>21</v>
      </c>
      <c r="H9" s="126">
        <f>SUMIF(64:64,G9,65:65)-SUMIF(64:64,C9,65:65)+100</f>
        <v>100</v>
      </c>
      <c r="I9" s="373" t="s">
        <v>21</v>
      </c>
      <c r="J9" s="126">
        <f>SUMIF(64:64,I9,65:65)-SUMIF(64:64,C9,65:65)+100</f>
        <v>100</v>
      </c>
      <c r="K9" s="560"/>
      <c r="L9" s="2713"/>
      <c r="M9" s="2714"/>
      <c r="N9" s="2714"/>
      <c r="O9" s="2714"/>
      <c r="P9" s="3731" t="s">
        <v>1684</v>
      </c>
      <c r="Q9" s="1341" t="str">
        <f t="shared" ref="Q9:Q15" si="6">B9</f>
        <v>用途</v>
      </c>
      <c r="R9" s="700" t="s">
        <v>14</v>
      </c>
      <c r="S9" s="701">
        <f t="shared" si="0"/>
        <v>100</v>
      </c>
      <c r="T9" s="700" t="s">
        <v>14</v>
      </c>
      <c r="U9" s="701">
        <f t="shared" si="1"/>
        <v>100</v>
      </c>
      <c r="V9" s="700" t="s">
        <v>14</v>
      </c>
      <c r="W9" s="701">
        <f t="shared" si="2"/>
        <v>100</v>
      </c>
      <c r="X9" s="702"/>
      <c r="Y9" s="3681" t="s">
        <v>1685</v>
      </c>
      <c r="Z9" s="52" t="str">
        <f t="shared" ref="Z9:Z15" si="7">Q9</f>
        <v>用途</v>
      </c>
      <c r="AA9" s="703">
        <f t="shared" si="3"/>
        <v>1</v>
      </c>
      <c r="AB9" s="703">
        <f t="shared" si="4"/>
        <v>1</v>
      </c>
      <c r="AC9" s="1957">
        <f t="shared" si="5"/>
        <v>1</v>
      </c>
    </row>
    <row r="10" spans="1:29" s="378" customFormat="1" ht="27">
      <c r="A10" s="374"/>
      <c r="B10" s="375" t="s">
        <v>1686</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731"/>
      <c r="Q10" s="1341" t="str">
        <f t="shared" si="6"/>
        <v>土地使用年限（年）</v>
      </c>
      <c r="R10" s="700" t="s">
        <v>14</v>
      </c>
      <c r="S10" s="701">
        <f t="shared" si="0"/>
        <v>100</v>
      </c>
      <c r="T10" s="700" t="s">
        <v>14</v>
      </c>
      <c r="U10" s="701">
        <f t="shared" si="1"/>
        <v>100</v>
      </c>
      <c r="V10" s="700" t="s">
        <v>14</v>
      </c>
      <c r="W10" s="701">
        <f t="shared" si="2"/>
        <v>100</v>
      </c>
      <c r="X10" s="702"/>
      <c r="Y10" s="3681"/>
      <c r="Z10" s="52" t="str">
        <f t="shared" si="7"/>
        <v>土地使用年限（年）</v>
      </c>
      <c r="AA10" s="703">
        <f t="shared" si="3"/>
        <v>1</v>
      </c>
      <c r="AB10" s="703">
        <f t="shared" si="4"/>
        <v>1</v>
      </c>
      <c r="AC10" s="1957">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731"/>
      <c r="Q11" s="1341" t="str">
        <f t="shared" si="6"/>
        <v>容积率</v>
      </c>
      <c r="R11" s="700" t="s">
        <v>14</v>
      </c>
      <c r="S11" s="701">
        <f t="shared" si="0"/>
        <v>100</v>
      </c>
      <c r="T11" s="700" t="s">
        <v>14</v>
      </c>
      <c r="U11" s="701">
        <f t="shared" si="1"/>
        <v>100</v>
      </c>
      <c r="V11" s="700" t="s">
        <v>14</v>
      </c>
      <c r="W11" s="701">
        <f t="shared" si="2"/>
        <v>100</v>
      </c>
      <c r="X11" s="702"/>
      <c r="Y11" s="3681"/>
      <c r="Z11" s="52" t="str">
        <f t="shared" si="7"/>
        <v>容积率</v>
      </c>
      <c r="AA11" s="703">
        <f t="shared" si="3"/>
        <v>1</v>
      </c>
      <c r="AB11" s="703">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3"/>
      <c r="M12" s="2714"/>
      <c r="N12" s="2714"/>
      <c r="O12" s="2714"/>
      <c r="P12" s="3731"/>
      <c r="Q12" s="1341">
        <f t="shared" si="6"/>
        <v>111</v>
      </c>
      <c r="R12" s="700" t="s">
        <v>14</v>
      </c>
      <c r="S12" s="701">
        <f t="shared" si="0"/>
        <v>100</v>
      </c>
      <c r="T12" s="700" t="s">
        <v>14</v>
      </c>
      <c r="U12" s="701">
        <f t="shared" si="1"/>
        <v>100</v>
      </c>
      <c r="V12" s="700" t="s">
        <v>14</v>
      </c>
      <c r="W12" s="701">
        <f t="shared" si="2"/>
        <v>100</v>
      </c>
      <c r="X12" s="702"/>
      <c r="Y12" s="3681"/>
      <c r="Z12" s="52">
        <f t="shared" si="7"/>
        <v>111</v>
      </c>
      <c r="AA12" s="703">
        <f>D12/F12</f>
        <v>1</v>
      </c>
      <c r="AB12" s="703">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18"/>
      <c r="M13" s="2712"/>
      <c r="N13" s="2712"/>
      <c r="O13" s="2712"/>
      <c r="P13" s="3731"/>
      <c r="Q13" s="1341">
        <f t="shared" si="6"/>
        <v>111</v>
      </c>
      <c r="R13" s="700" t="s">
        <v>14</v>
      </c>
      <c r="S13" s="701">
        <f t="shared" si="0"/>
        <v>100</v>
      </c>
      <c r="T13" s="700" t="s">
        <v>14</v>
      </c>
      <c r="U13" s="701">
        <f t="shared" si="1"/>
        <v>100</v>
      </c>
      <c r="V13" s="700" t="s">
        <v>14</v>
      </c>
      <c r="W13" s="701">
        <f t="shared" si="2"/>
        <v>100</v>
      </c>
      <c r="X13" s="702"/>
      <c r="Y13" s="3681"/>
      <c r="Z13" s="52">
        <f t="shared" si="7"/>
        <v>111</v>
      </c>
      <c r="AA13" s="703">
        <f t="shared" si="3"/>
        <v>1</v>
      </c>
      <c r="AB13" s="703">
        <f t="shared" si="4"/>
        <v>1</v>
      </c>
      <c r="AC13" s="1957">
        <f t="shared" si="5"/>
        <v>1</v>
      </c>
    </row>
    <row r="14" spans="1:29" ht="15.75" thickBot="1">
      <c r="A14" s="387"/>
      <c r="B14" s="1893">
        <v>111</v>
      </c>
      <c r="C14" s="388"/>
      <c r="D14" s="389">
        <v>100</v>
      </c>
      <c r="E14" s="575"/>
      <c r="F14" s="389">
        <f>SUMIF(75:75,E14,76:76)-SUMIF(75:75,C14,76:76)+100</f>
        <v>100</v>
      </c>
      <c r="G14" s="1958"/>
      <c r="H14" s="389">
        <f>SUMIF(75:75,G14,76:76)-SUMIF(75:75,C14,76:76)+100</f>
        <v>100</v>
      </c>
      <c r="I14" s="383"/>
      <c r="J14" s="389">
        <f>SUMIF(75:75,I14,76:76)-SUMIF(75:75,C14,76:76)+100</f>
        <v>100</v>
      </c>
      <c r="K14" s="562"/>
      <c r="L14" s="2718"/>
      <c r="M14" s="2712"/>
      <c r="N14" s="2712"/>
      <c r="O14" s="2712"/>
      <c r="P14" s="3731"/>
      <c r="Q14" s="1341">
        <f t="shared" si="6"/>
        <v>111</v>
      </c>
      <c r="R14" s="700" t="s">
        <v>14</v>
      </c>
      <c r="S14" s="701">
        <f t="shared" si="0"/>
        <v>100</v>
      </c>
      <c r="T14" s="700" t="s">
        <v>14</v>
      </c>
      <c r="U14" s="701">
        <f t="shared" si="1"/>
        <v>100</v>
      </c>
      <c r="V14" s="700" t="s">
        <v>14</v>
      </c>
      <c r="W14" s="701">
        <f t="shared" si="2"/>
        <v>100</v>
      </c>
      <c r="X14" s="702"/>
      <c r="Y14" s="3681"/>
      <c r="Z14" s="52">
        <f t="shared" si="7"/>
        <v>111</v>
      </c>
      <c r="AA14" s="703">
        <f t="shared" si="3"/>
        <v>1</v>
      </c>
      <c r="AB14" s="703">
        <f t="shared" si="4"/>
        <v>1</v>
      </c>
      <c r="AC14" s="1957">
        <f t="shared" si="5"/>
        <v>1</v>
      </c>
    </row>
    <row r="15" spans="1:29" ht="71.25">
      <c r="A15" s="391" t="s">
        <v>1688</v>
      </c>
      <c r="B15" s="576" t="s">
        <v>1809</v>
      </c>
      <c r="C15" s="1959" t="str">
        <f>估价对象房地状况!C5</f>
        <v>估价对象周边办公楼项目较多，有金泰鑫侨大厦、阳光大厦、德宝大厦，入驻率较高，办公集聚程度较好</v>
      </c>
      <c r="D15" s="392">
        <v>100</v>
      </c>
      <c r="E15" s="395"/>
      <c r="F15" s="392">
        <f>SUMIF(77:77,E16,78:78)-SUMIF(77:77,C16,78:78)+100</f>
        <v>100</v>
      </c>
      <c r="G15" s="393"/>
      <c r="H15" s="392">
        <f>SUMIF(77:77,G16,78:78)-SUMIF(77:77,C16,78:78)+100</f>
        <v>100</v>
      </c>
      <c r="I15" s="393"/>
      <c r="J15" s="392">
        <f>SUMIF(77:77,I16,78:78)-SUMIF(77:77,C16,78:78)+100</f>
        <v>100</v>
      </c>
      <c r="K15" s="563">
        <v>3</v>
      </c>
      <c r="L15" s="2718"/>
      <c r="M15" s="2712"/>
      <c r="N15" s="2712"/>
      <c r="O15" s="2712"/>
      <c r="P15" s="3752" t="s">
        <v>1689</v>
      </c>
      <c r="Q15" s="1350" t="str">
        <f t="shared" si="6"/>
        <v>办公集聚程度</v>
      </c>
      <c r="R15" s="704" t="s">
        <v>14</v>
      </c>
      <c r="S15" s="705">
        <f t="shared" si="0"/>
        <v>100</v>
      </c>
      <c r="T15" s="704" t="s">
        <v>14</v>
      </c>
      <c r="U15" s="705">
        <f t="shared" si="1"/>
        <v>100</v>
      </c>
      <c r="V15" s="704" t="s">
        <v>14</v>
      </c>
      <c r="W15" s="705">
        <f t="shared" si="2"/>
        <v>100</v>
      </c>
      <c r="X15" s="1353"/>
      <c r="Y15" s="3754" t="s">
        <v>1689</v>
      </c>
      <c r="Z15" s="1354" t="str">
        <f t="shared" si="7"/>
        <v>办公集聚程度</v>
      </c>
      <c r="AA15" s="1351">
        <f t="shared" si="3"/>
        <v>1</v>
      </c>
      <c r="AB15" s="1351">
        <f t="shared" si="4"/>
        <v>1</v>
      </c>
      <c r="AC15" s="1960">
        <f t="shared" si="5"/>
        <v>1</v>
      </c>
    </row>
    <row r="16" spans="1:29" ht="15">
      <c r="A16" s="379"/>
      <c r="B16" s="577"/>
      <c r="C16" s="1902" t="s">
        <v>3511</v>
      </c>
      <c r="D16" s="399"/>
      <c r="E16" s="1902" t="s">
        <v>3511</v>
      </c>
      <c r="F16" s="399"/>
      <c r="G16" s="1902" t="s">
        <v>3511</v>
      </c>
      <c r="H16" s="401"/>
      <c r="I16" s="1902" t="s">
        <v>3511</v>
      </c>
      <c r="J16" s="399"/>
      <c r="K16" s="564"/>
      <c r="L16" s="2718"/>
      <c r="M16" s="2712"/>
      <c r="N16" s="2712"/>
      <c r="O16" s="2712"/>
      <c r="P16" s="3753"/>
      <c r="Q16" s="1350"/>
      <c r="R16" s="704"/>
      <c r="S16" s="705"/>
      <c r="T16" s="704"/>
      <c r="U16" s="705"/>
      <c r="V16" s="704"/>
      <c r="W16" s="705"/>
      <c r="X16" s="1353"/>
      <c r="Y16" s="3755"/>
      <c r="Z16" s="1354"/>
      <c r="AA16" s="1351">
        <v>1</v>
      </c>
      <c r="AB16" s="1351">
        <v>1</v>
      </c>
      <c r="AC16" s="1960">
        <v>1</v>
      </c>
    </row>
    <row r="17" spans="1:29" ht="99.75">
      <c r="A17" s="379"/>
      <c r="B17" s="578" t="s">
        <v>1257</v>
      </c>
      <c r="C17" s="1961" t="str">
        <f>估价对象房地状况!C6</f>
        <v>估价对象周边道路状况较好、有7、16、105等公交线路及地铁2、4号线经过，公共交通通达情况较好、停车便捷程度一般，综合评价交通便捷度较好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18"/>
      <c r="M17" s="2712"/>
      <c r="N17" s="2712"/>
      <c r="O17" s="2712"/>
      <c r="P17" s="3753"/>
      <c r="Q17" s="1350" t="str">
        <f>B17</f>
        <v>交通便捷度</v>
      </c>
      <c r="R17" s="704" t="s">
        <v>14</v>
      </c>
      <c r="S17" s="705">
        <f>F17</f>
        <v>100</v>
      </c>
      <c r="T17" s="704" t="s">
        <v>14</v>
      </c>
      <c r="U17" s="705">
        <f>H17</f>
        <v>100</v>
      </c>
      <c r="V17" s="704" t="s">
        <v>14</v>
      </c>
      <c r="W17" s="705">
        <f>J17</f>
        <v>100</v>
      </c>
      <c r="X17" s="1353"/>
      <c r="Y17" s="3755"/>
      <c r="Z17" s="1354" t="str">
        <f>Q17</f>
        <v>交通便捷度</v>
      </c>
      <c r="AA17" s="1351">
        <f t="shared" si="3"/>
        <v>1</v>
      </c>
      <c r="AB17" s="1351">
        <f t="shared" si="4"/>
        <v>1</v>
      </c>
      <c r="AC17" s="1960">
        <f t="shared" si="5"/>
        <v>1</v>
      </c>
    </row>
    <row r="18" spans="1:29" ht="15">
      <c r="A18" s="379"/>
      <c r="B18" s="579"/>
      <c r="C18" s="1962" t="s">
        <v>3511</v>
      </c>
      <c r="D18" s="401"/>
      <c r="E18" s="1962" t="s">
        <v>3511</v>
      </c>
      <c r="F18" s="401"/>
      <c r="G18" s="1962" t="s">
        <v>3511</v>
      </c>
      <c r="H18" s="399"/>
      <c r="I18" s="1962" t="s">
        <v>3511</v>
      </c>
      <c r="J18" s="399"/>
      <c r="K18" s="564"/>
      <c r="L18" s="2718"/>
      <c r="M18" s="2712"/>
      <c r="N18" s="2712"/>
      <c r="O18" s="2712"/>
      <c r="P18" s="3753"/>
      <c r="Q18" s="1350"/>
      <c r="R18" s="704"/>
      <c r="S18" s="705"/>
      <c r="T18" s="704"/>
      <c r="U18" s="705"/>
      <c r="V18" s="704"/>
      <c r="W18" s="705"/>
      <c r="X18" s="1353"/>
      <c r="Y18" s="3755"/>
      <c r="Z18" s="1354"/>
      <c r="AA18" s="1351">
        <v>1</v>
      </c>
      <c r="AB18" s="1351">
        <v>1</v>
      </c>
      <c r="AC18" s="1960">
        <v>1</v>
      </c>
    </row>
    <row r="19" spans="1:29" ht="28.5">
      <c r="A19" s="379"/>
      <c r="B19" s="578" t="s">
        <v>1810</v>
      </c>
      <c r="C19" s="1961" t="str">
        <f>估价对象房地状况!C7</f>
        <v>估价对象所在区域公共配套设施齐备情况较好</v>
      </c>
      <c r="D19" s="406">
        <v>100</v>
      </c>
      <c r="E19" s="410"/>
      <c r="F19" s="406">
        <f>SUMIF(81:81,E20,82:82)-SUMIF(81:81,C20,82:82)+100</f>
        <v>100</v>
      </c>
      <c r="G19" s="408"/>
      <c r="H19" s="401">
        <f>SUMIF(81:81,G20,82:82)-SUMIF(81:81,C20,82:82)+100</f>
        <v>100</v>
      </c>
      <c r="I19" s="408"/>
      <c r="J19" s="401">
        <f>SUMIF(81:81,I20,82:82)-SUMIF(81:81,C20,82:82)+100</f>
        <v>100</v>
      </c>
      <c r="K19" s="563">
        <v>2</v>
      </c>
      <c r="L19" s="2718"/>
      <c r="M19" s="2712"/>
      <c r="N19" s="2712"/>
      <c r="O19" s="2712"/>
      <c r="P19" s="3753"/>
      <c r="Q19" s="1350" t="str">
        <f>B19</f>
        <v>公共配套设施</v>
      </c>
      <c r="R19" s="704" t="s">
        <v>14</v>
      </c>
      <c r="S19" s="705">
        <f>F19</f>
        <v>100</v>
      </c>
      <c r="T19" s="704" t="s">
        <v>14</v>
      </c>
      <c r="U19" s="705">
        <f>H19</f>
        <v>100</v>
      </c>
      <c r="V19" s="704" t="s">
        <v>14</v>
      </c>
      <c r="W19" s="705">
        <f>J19</f>
        <v>100</v>
      </c>
      <c r="X19" s="1353"/>
      <c r="Y19" s="3755"/>
      <c r="Z19" s="1354" t="str">
        <f>Q19</f>
        <v>公共配套设施</v>
      </c>
      <c r="AA19" s="1351">
        <f t="shared" si="3"/>
        <v>1</v>
      </c>
      <c r="AB19" s="1351">
        <f t="shared" si="4"/>
        <v>1</v>
      </c>
      <c r="AC19" s="1960">
        <f t="shared" si="5"/>
        <v>1</v>
      </c>
    </row>
    <row r="20" spans="1:29" ht="15">
      <c r="A20" s="379"/>
      <c r="B20" s="579"/>
      <c r="C20" s="1902" t="s">
        <v>3511</v>
      </c>
      <c r="D20" s="399"/>
      <c r="E20" s="1902" t="s">
        <v>3511</v>
      </c>
      <c r="F20" s="399"/>
      <c r="G20" s="1902" t="s">
        <v>3511</v>
      </c>
      <c r="H20" s="399"/>
      <c r="I20" s="1902" t="s">
        <v>3511</v>
      </c>
      <c r="J20" s="399"/>
      <c r="K20" s="564"/>
      <c r="L20" s="2718"/>
      <c r="M20" s="2712"/>
      <c r="N20" s="2712"/>
      <c r="O20" s="2712"/>
      <c r="P20" s="3753"/>
      <c r="Q20" s="1350"/>
      <c r="R20" s="704"/>
      <c r="S20" s="705"/>
      <c r="T20" s="704"/>
      <c r="U20" s="705"/>
      <c r="V20" s="704"/>
      <c r="W20" s="705"/>
      <c r="X20" s="1353"/>
      <c r="Y20" s="3755"/>
      <c r="Z20" s="1354"/>
      <c r="AA20" s="1351">
        <v>1</v>
      </c>
      <c r="AB20" s="1351">
        <v>1</v>
      </c>
      <c r="AC20" s="1960">
        <v>1</v>
      </c>
    </row>
    <row r="21" spans="1:29" ht="28.5">
      <c r="A21" s="379"/>
      <c r="B21" s="580" t="s">
        <v>1811</v>
      </c>
      <c r="C21" s="1961" t="str">
        <f>估价对象房地状况!C8</f>
        <v>估价对象所在区域基础设施水平七通</v>
      </c>
      <c r="D21" s="401">
        <v>100</v>
      </c>
      <c r="E21" s="410"/>
      <c r="F21" s="406">
        <f>SUMIF(83:83,E22,84:84)-SUMIF(83:83,C22,84:84)+100</f>
        <v>100</v>
      </c>
      <c r="G21" s="408"/>
      <c r="H21" s="401">
        <f>SUMIF(83:83,G22,84:84)-SUMIF(83:83,C22,84:84)+100</f>
        <v>100</v>
      </c>
      <c r="I21" s="408"/>
      <c r="J21" s="401">
        <f>SUMIF(83:83,I22,84:84)-SUMIF(83:83,C22,84:84)+100</f>
        <v>100</v>
      </c>
      <c r="K21" s="563">
        <v>1</v>
      </c>
      <c r="L21" s="2718"/>
      <c r="M21" s="2712"/>
      <c r="N21" s="2712"/>
      <c r="O21" s="2712"/>
      <c r="P21" s="3753"/>
      <c r="Q21" s="1350" t="str">
        <f>B21</f>
        <v>基础设施水平</v>
      </c>
      <c r="R21" s="704" t="s">
        <v>14</v>
      </c>
      <c r="S21" s="705">
        <f>F21</f>
        <v>100</v>
      </c>
      <c r="T21" s="704" t="s">
        <v>14</v>
      </c>
      <c r="U21" s="705">
        <f>H21</f>
        <v>100</v>
      </c>
      <c r="V21" s="704" t="s">
        <v>14</v>
      </c>
      <c r="W21" s="705">
        <f>J21</f>
        <v>100</v>
      </c>
      <c r="X21" s="1353"/>
      <c r="Y21" s="3755"/>
      <c r="Z21" s="1354" t="str">
        <f>Q21</f>
        <v>基础设施水平</v>
      </c>
      <c r="AA21" s="1351">
        <f t="shared" ref="AA21" si="8">D21/F21</f>
        <v>1</v>
      </c>
      <c r="AB21" s="1351">
        <f t="shared" ref="AB21" si="9">D21/H21</f>
        <v>1</v>
      </c>
      <c r="AC21" s="1960">
        <f t="shared" ref="AC21" si="10">D21/J21</f>
        <v>1</v>
      </c>
    </row>
    <row r="22" spans="1:29" ht="15">
      <c r="A22" s="379"/>
      <c r="B22" s="580"/>
      <c r="C22" s="1962" t="s">
        <v>3512</v>
      </c>
      <c r="D22" s="399"/>
      <c r="E22" s="1962" t="s">
        <v>3512</v>
      </c>
      <c r="F22" s="399"/>
      <c r="G22" s="1962" t="s">
        <v>3512</v>
      </c>
      <c r="H22" s="399"/>
      <c r="I22" s="1962" t="s">
        <v>3512</v>
      </c>
      <c r="J22" s="399"/>
      <c r="K22" s="1128"/>
      <c r="L22" s="2718"/>
      <c r="M22" s="2712"/>
      <c r="N22" s="2712"/>
      <c r="O22" s="2712"/>
      <c r="P22" s="3753"/>
      <c r="Q22" s="1350"/>
      <c r="R22" s="704"/>
      <c r="S22" s="705"/>
      <c r="T22" s="704"/>
      <c r="U22" s="705"/>
      <c r="V22" s="704"/>
      <c r="W22" s="705"/>
      <c r="X22" s="1353"/>
      <c r="Y22" s="3755"/>
      <c r="Z22" s="1354"/>
      <c r="AA22" s="1351">
        <v>1</v>
      </c>
      <c r="AB22" s="1351">
        <v>1</v>
      </c>
      <c r="AC22" s="1960">
        <v>1</v>
      </c>
    </row>
    <row r="23" spans="1:29" ht="71.25">
      <c r="A23" s="379"/>
      <c r="B23" s="578" t="s">
        <v>1812</v>
      </c>
      <c r="C23" s="1961" t="str">
        <f>估价对象房地状况!C9</f>
        <v>区域自然环境：北京动物园、官园公园；人文环境：北京天文馆、北京建筑大学；综合评价环境状况较好</v>
      </c>
      <c r="D23" s="401">
        <v>100</v>
      </c>
      <c r="E23" s="405"/>
      <c r="F23" s="401">
        <f>SUMIF(85:85,E24,86:86)-SUMIF(85:85,C24,86:86)+100</f>
        <v>100</v>
      </c>
      <c r="G23" s="403"/>
      <c r="H23" s="401">
        <f>SUMIF(85:85,G24,86:86)-SUMIF(85:85,C24,86:86)+100</f>
        <v>100</v>
      </c>
      <c r="I23" s="403"/>
      <c r="J23" s="401">
        <f>SUMIF(85:85,I24,86:86)-SUMIF(85:85,C24,86:86)+100</f>
        <v>100</v>
      </c>
      <c r="K23" s="563">
        <v>3</v>
      </c>
      <c r="L23" s="2718"/>
      <c r="M23" s="2712"/>
      <c r="N23" s="2712"/>
      <c r="O23" s="2712"/>
      <c r="P23" s="3753"/>
      <c r="Q23" s="1350" t="str">
        <f>B23</f>
        <v>环境质量</v>
      </c>
      <c r="R23" s="704" t="s">
        <v>14</v>
      </c>
      <c r="S23" s="705">
        <f>F23</f>
        <v>100</v>
      </c>
      <c r="T23" s="704" t="s">
        <v>14</v>
      </c>
      <c r="U23" s="705">
        <f>H23</f>
        <v>100</v>
      </c>
      <c r="V23" s="704" t="s">
        <v>14</v>
      </c>
      <c r="W23" s="705">
        <f>J23</f>
        <v>100</v>
      </c>
      <c r="X23" s="1353"/>
      <c r="Y23" s="3755"/>
      <c r="Z23" s="1354" t="str">
        <f>Q23</f>
        <v>环境质量</v>
      </c>
      <c r="AA23" s="1351">
        <f t="shared" si="3"/>
        <v>1</v>
      </c>
      <c r="AB23" s="1351">
        <f t="shared" si="4"/>
        <v>1</v>
      </c>
      <c r="AC23" s="1960">
        <f t="shared" si="5"/>
        <v>1</v>
      </c>
    </row>
    <row r="24" spans="1:29" ht="15">
      <c r="A24" s="379"/>
      <c r="B24" s="580"/>
      <c r="C24" s="1902" t="s">
        <v>3511</v>
      </c>
      <c r="D24" s="399"/>
      <c r="E24" s="1902" t="s">
        <v>3511</v>
      </c>
      <c r="F24" s="399"/>
      <c r="G24" s="1902" t="s">
        <v>3511</v>
      </c>
      <c r="H24" s="399"/>
      <c r="I24" s="1902" t="s">
        <v>3511</v>
      </c>
      <c r="J24" s="399"/>
      <c r="K24" s="564"/>
      <c r="L24" s="2718"/>
      <c r="M24" s="2712"/>
      <c r="N24" s="2712"/>
      <c r="O24" s="2712"/>
      <c r="P24" s="3753"/>
      <c r="Q24" s="1350"/>
      <c r="R24" s="704"/>
      <c r="S24" s="705"/>
      <c r="T24" s="704"/>
      <c r="U24" s="705"/>
      <c r="V24" s="704"/>
      <c r="W24" s="705"/>
      <c r="X24" s="1353"/>
      <c r="Y24" s="3755"/>
      <c r="Z24" s="1354"/>
      <c r="AA24" s="1351">
        <v>1</v>
      </c>
      <c r="AB24" s="1351">
        <v>1</v>
      </c>
      <c r="AC24" s="1960">
        <v>1</v>
      </c>
    </row>
    <row r="25" spans="1:29" ht="27">
      <c r="A25" s="358"/>
      <c r="B25" s="578" t="s">
        <v>1813</v>
      </c>
      <c r="C25" s="3511" t="s">
        <v>3514</v>
      </c>
      <c r="D25" s="386">
        <v>100</v>
      </c>
      <c r="E25" s="3511" t="s">
        <v>3514</v>
      </c>
      <c r="F25" s="386">
        <f>SUMIF(87:87,E26,88:88)-SUMIF(87:87,C26,88:88)+100</f>
        <v>100</v>
      </c>
      <c r="G25" s="3511" t="s">
        <v>3514</v>
      </c>
      <c r="H25" s="386">
        <f>SUMIF(87:87,G26,88:88)-SUMIF(87:87,C26,88:88)+100</f>
        <v>100</v>
      </c>
      <c r="I25" s="3512" t="s">
        <v>3515</v>
      </c>
      <c r="J25" s="386">
        <f>SUMIF(87:87,I26,88:88)-SUMIF(87:87,C26,88:88)+100</f>
        <v>100</v>
      </c>
      <c r="K25" s="563">
        <v>1</v>
      </c>
      <c r="L25" s="2718"/>
      <c r="M25" s="2712"/>
      <c r="N25" s="2712"/>
      <c r="O25" s="2712"/>
      <c r="P25" s="3753"/>
      <c r="Q25" s="1350" t="str">
        <f>B25</f>
        <v>毗邻道路的类型与等级</v>
      </c>
      <c r="R25" s="704" t="s">
        <v>14</v>
      </c>
      <c r="S25" s="705">
        <f>F25</f>
        <v>100</v>
      </c>
      <c r="T25" s="704" t="s">
        <v>14</v>
      </c>
      <c r="U25" s="705">
        <f>H25</f>
        <v>100</v>
      </c>
      <c r="V25" s="704" t="s">
        <v>14</v>
      </c>
      <c r="W25" s="705">
        <f>J25</f>
        <v>100</v>
      </c>
      <c r="X25" s="1353"/>
      <c r="Y25" s="3755"/>
      <c r="Z25" s="1354" t="str">
        <f>Q25</f>
        <v>毗邻道路的类型与等级</v>
      </c>
      <c r="AA25" s="1351">
        <f t="shared" si="3"/>
        <v>1</v>
      </c>
      <c r="AB25" s="1351">
        <f t="shared" si="4"/>
        <v>1</v>
      </c>
      <c r="AC25" s="1960">
        <f t="shared" si="5"/>
        <v>1</v>
      </c>
    </row>
    <row r="26" spans="1:29" ht="15">
      <c r="A26" s="358"/>
      <c r="B26" s="579"/>
      <c r="C26" s="581" t="s">
        <v>3513</v>
      </c>
      <c r="D26" s="386"/>
      <c r="E26" s="581" t="s">
        <v>3513</v>
      </c>
      <c r="F26" s="386"/>
      <c r="G26" s="581" t="s">
        <v>3513</v>
      </c>
      <c r="H26" s="386"/>
      <c r="I26" s="581" t="s">
        <v>3513</v>
      </c>
      <c r="J26" s="386"/>
      <c r="K26" s="564"/>
      <c r="L26" s="2718"/>
      <c r="M26" s="2712"/>
      <c r="N26" s="2712"/>
      <c r="O26" s="2712"/>
      <c r="P26" s="3753"/>
      <c r="Q26" s="1350"/>
      <c r="R26" s="704"/>
      <c r="S26" s="705"/>
      <c r="T26" s="704"/>
      <c r="U26" s="705"/>
      <c r="V26" s="704"/>
      <c r="W26" s="705"/>
      <c r="X26" s="1353"/>
      <c r="Y26" s="3755"/>
      <c r="Z26" s="1354"/>
      <c r="AA26" s="1351">
        <v>1</v>
      </c>
      <c r="AB26" s="1351">
        <v>1</v>
      </c>
      <c r="AC26" s="1960">
        <v>1</v>
      </c>
    </row>
    <row r="27" spans="1:29" ht="15">
      <c r="A27" s="379"/>
      <c r="B27" s="579" t="s">
        <v>1781</v>
      </c>
      <c r="C27" s="581" t="s">
        <v>3529</v>
      </c>
      <c r="D27" s="386">
        <v>100</v>
      </c>
      <c r="E27" s="565" t="s">
        <v>3530</v>
      </c>
      <c r="F27" s="386">
        <f>SUMIF(89:89,E27,90:90)-SUMIF(89:89,C27,90:90)+100</f>
        <v>103</v>
      </c>
      <c r="G27" s="581" t="s">
        <v>3530</v>
      </c>
      <c r="H27" s="386">
        <f>SUMIF(89:89,G27,90:90)-SUMIF(89:89,C27,90:90)+100</f>
        <v>103</v>
      </c>
      <c r="I27" s="565" t="s">
        <v>3530</v>
      </c>
      <c r="J27" s="386">
        <f>SUMIF(89:89,I27,90:90)-SUMIF(89:89,C27,90:90)+100</f>
        <v>103</v>
      </c>
      <c r="K27" s="561">
        <v>3</v>
      </c>
      <c r="L27" s="2718"/>
      <c r="M27" s="2712"/>
      <c r="N27" s="2712"/>
      <c r="O27" s="2712"/>
      <c r="P27" s="3753"/>
      <c r="Q27" s="1350" t="str">
        <f t="shared" ref="Q27:Q47" si="11">B27</f>
        <v>楼层</v>
      </c>
      <c r="R27" s="704" t="s">
        <v>14</v>
      </c>
      <c r="S27" s="705">
        <f>F27</f>
        <v>103</v>
      </c>
      <c r="T27" s="704" t="s">
        <v>14</v>
      </c>
      <c r="U27" s="705">
        <f>H27</f>
        <v>103</v>
      </c>
      <c r="V27" s="704" t="s">
        <v>14</v>
      </c>
      <c r="W27" s="705">
        <f>J27</f>
        <v>103</v>
      </c>
      <c r="X27" s="1353"/>
      <c r="Y27" s="3755"/>
      <c r="Z27" s="1354" t="str">
        <f>Q27</f>
        <v>楼层</v>
      </c>
      <c r="AA27" s="1351">
        <f t="shared" si="3"/>
        <v>0.970873786407767</v>
      </c>
      <c r="AB27" s="1351">
        <f t="shared" si="4"/>
        <v>0.970873786407767</v>
      </c>
      <c r="AC27" s="1960">
        <f t="shared" si="5"/>
        <v>0.970873786407767</v>
      </c>
    </row>
    <row r="28" spans="1:29" s="108" customFormat="1" ht="15">
      <c r="A28" s="382"/>
      <c r="B28" s="578" t="s">
        <v>1814</v>
      </c>
      <c r="C28" s="1963"/>
      <c r="D28" s="413">
        <v>100</v>
      </c>
      <c r="E28" s="1954"/>
      <c r="F28" s="413">
        <f>SUMIF(91:91,E28,92:92)-SUMIF(91:91,C28,92:92)+100</f>
        <v>100</v>
      </c>
      <c r="G28" s="1963"/>
      <c r="H28" s="413">
        <f>SUMIF(91:91,G28,92:92)-SUMIF(91:91,C28,92:92)+100</f>
        <v>100</v>
      </c>
      <c r="I28" s="1954"/>
      <c r="J28" s="413">
        <f>SUMIF(91:91,I28,92:92)-SUMIF(91:91,C28,92:92)+100</f>
        <v>100</v>
      </c>
      <c r="K28" s="561"/>
      <c r="L28" s="2713"/>
      <c r="M28" s="2714"/>
      <c r="N28" s="2714"/>
      <c r="O28" s="2714"/>
      <c r="P28" s="3753"/>
      <c r="Q28" s="1341" t="str">
        <f t="shared" si="11"/>
        <v>朝向</v>
      </c>
      <c r="R28" s="700" t="s">
        <v>14</v>
      </c>
      <c r="S28" s="701">
        <f>F28</f>
        <v>100</v>
      </c>
      <c r="T28" s="700" t="s">
        <v>14</v>
      </c>
      <c r="U28" s="701">
        <f>H28</f>
        <v>100</v>
      </c>
      <c r="V28" s="700" t="s">
        <v>14</v>
      </c>
      <c r="W28" s="701">
        <f>J28</f>
        <v>100</v>
      </c>
      <c r="X28" s="702"/>
      <c r="Y28" s="3755"/>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18"/>
      <c r="M29" s="2712"/>
      <c r="N29" s="2712"/>
      <c r="O29" s="2712"/>
      <c r="P29" s="3753"/>
      <c r="Q29" s="1350">
        <f t="shared" si="11"/>
        <v>111</v>
      </c>
      <c r="R29" s="704" t="s">
        <v>14</v>
      </c>
      <c r="S29" s="705">
        <f t="shared" ref="S29:S47" si="12">F29</f>
        <v>100</v>
      </c>
      <c r="T29" s="704" t="s">
        <v>14</v>
      </c>
      <c r="U29" s="705">
        <f t="shared" ref="U29:U47" si="13">H29</f>
        <v>100</v>
      </c>
      <c r="V29" s="704" t="s">
        <v>14</v>
      </c>
      <c r="W29" s="705">
        <f t="shared" ref="W29:W47" si="14">J29</f>
        <v>100</v>
      </c>
      <c r="X29" s="1353"/>
      <c r="Y29" s="3755"/>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18"/>
      <c r="M30" s="2712"/>
      <c r="N30" s="2712"/>
      <c r="O30" s="2712"/>
      <c r="P30" s="3753"/>
      <c r="Q30" s="1350">
        <f t="shared" si="11"/>
        <v>111</v>
      </c>
      <c r="R30" s="704" t="s">
        <v>14</v>
      </c>
      <c r="S30" s="705">
        <f t="shared" si="12"/>
        <v>100</v>
      </c>
      <c r="T30" s="704" t="s">
        <v>14</v>
      </c>
      <c r="U30" s="705">
        <f t="shared" si="13"/>
        <v>100</v>
      </c>
      <c r="V30" s="704" t="s">
        <v>14</v>
      </c>
      <c r="W30" s="705">
        <f t="shared" si="14"/>
        <v>100</v>
      </c>
      <c r="X30" s="1353"/>
      <c r="Y30" s="3755"/>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18"/>
      <c r="M31" s="2712"/>
      <c r="N31" s="2712"/>
      <c r="O31" s="2712"/>
      <c r="P31" s="3753"/>
      <c r="Q31" s="1350">
        <f t="shared" si="11"/>
        <v>111</v>
      </c>
      <c r="R31" s="704" t="s">
        <v>14</v>
      </c>
      <c r="S31" s="705">
        <f t="shared" si="12"/>
        <v>100</v>
      </c>
      <c r="T31" s="704" t="s">
        <v>14</v>
      </c>
      <c r="U31" s="705">
        <f t="shared" si="13"/>
        <v>100</v>
      </c>
      <c r="V31" s="704" t="s">
        <v>14</v>
      </c>
      <c r="W31" s="705">
        <f t="shared" si="14"/>
        <v>100</v>
      </c>
      <c r="X31" s="1353"/>
      <c r="Y31" s="3755"/>
      <c r="Z31" s="1354">
        <f t="shared" si="15"/>
        <v>111</v>
      </c>
      <c r="AA31" s="1351">
        <f t="shared" si="3"/>
        <v>1</v>
      </c>
      <c r="AB31" s="1351">
        <f t="shared" si="4"/>
        <v>1</v>
      </c>
      <c r="AC31" s="1960">
        <f t="shared" si="5"/>
        <v>1</v>
      </c>
    </row>
    <row r="32" spans="1:29" ht="15.75" thickBot="1">
      <c r="A32" s="387"/>
      <c r="B32" s="582">
        <v>111</v>
      </c>
      <c r="C32" s="1907"/>
      <c r="D32" s="389">
        <v>100</v>
      </c>
      <c r="E32" s="575"/>
      <c r="F32" s="389">
        <f>SUMIF(99:99,E32,100:100)-SUMIF(99:99,C32,100:100)+100</f>
        <v>100</v>
      </c>
      <c r="G32" s="1958"/>
      <c r="H32" s="389">
        <f>SUMIF(99:99,G32,100:100)-SUMIF(99:99,C32,100:100)+100</f>
        <v>100</v>
      </c>
      <c r="I32" s="383"/>
      <c r="J32" s="389">
        <f>SUMIF(99:99,I32,100:100)-SUMIF(99:99,C32,100:100)+100</f>
        <v>100</v>
      </c>
      <c r="K32" s="562"/>
      <c r="L32" s="2718"/>
      <c r="M32" s="2712"/>
      <c r="N32" s="2712"/>
      <c r="O32" s="2712"/>
      <c r="P32" s="3753"/>
      <c r="Q32" s="1350">
        <f t="shared" si="11"/>
        <v>111</v>
      </c>
      <c r="R32" s="704" t="s">
        <v>14</v>
      </c>
      <c r="S32" s="705">
        <f t="shared" si="12"/>
        <v>100</v>
      </c>
      <c r="T32" s="704" t="s">
        <v>14</v>
      </c>
      <c r="U32" s="705">
        <f t="shared" si="13"/>
        <v>100</v>
      </c>
      <c r="V32" s="704" t="s">
        <v>14</v>
      </c>
      <c r="W32" s="705">
        <f t="shared" si="14"/>
        <v>100</v>
      </c>
      <c r="X32" s="1353"/>
      <c r="Y32" s="3755"/>
      <c r="Z32" s="1354">
        <f t="shared" si="15"/>
        <v>111</v>
      </c>
      <c r="AA32" s="1351">
        <f t="shared" si="3"/>
        <v>1</v>
      </c>
      <c r="AB32" s="1351">
        <f t="shared" si="4"/>
        <v>1</v>
      </c>
      <c r="AC32" s="1960">
        <f t="shared" si="5"/>
        <v>1</v>
      </c>
    </row>
    <row r="33" spans="1:29" ht="15">
      <c r="A33" s="391" t="s">
        <v>1692</v>
      </c>
      <c r="B33" s="63" t="s">
        <v>1815</v>
      </c>
      <c r="C33" s="1965" t="s">
        <v>3516</v>
      </c>
      <c r="D33" s="418">
        <v>100</v>
      </c>
      <c r="E33" s="1965" t="s">
        <v>3522</v>
      </c>
      <c r="F33" s="412">
        <f>SUMIF(101:101,E33,102:102)-SUMIF(101:101,C33,102:102)+100</f>
        <v>102</v>
      </c>
      <c r="G33" s="1965" t="s">
        <v>3516</v>
      </c>
      <c r="H33" s="386">
        <f>SUMIF(101:101,G33,102:102)-SUMIF(101:101,C33,102:102)+100</f>
        <v>100</v>
      </c>
      <c r="I33" s="1965" t="s">
        <v>3522</v>
      </c>
      <c r="J33" s="418">
        <f>SUMIF(101:101,I33,102:102)-SUMIF(101:101,C33,102:102)+100</f>
        <v>102</v>
      </c>
      <c r="K33" s="561">
        <v>2</v>
      </c>
      <c r="L33" s="2718"/>
      <c r="M33" s="2712"/>
      <c r="N33" s="2712"/>
      <c r="O33" s="2712"/>
      <c r="P33" s="3756" t="s">
        <v>1694</v>
      </c>
      <c r="Q33" s="1350" t="str">
        <f t="shared" si="11"/>
        <v>建筑类型</v>
      </c>
      <c r="R33" s="704" t="s">
        <v>14</v>
      </c>
      <c r="S33" s="705">
        <f t="shared" si="12"/>
        <v>102</v>
      </c>
      <c r="T33" s="704" t="s">
        <v>14</v>
      </c>
      <c r="U33" s="705">
        <f t="shared" si="13"/>
        <v>100</v>
      </c>
      <c r="V33" s="704" t="s">
        <v>14</v>
      </c>
      <c r="W33" s="705">
        <f t="shared" si="14"/>
        <v>102</v>
      </c>
      <c r="X33" s="1353"/>
      <c r="Y33" s="3759" t="s">
        <v>1694</v>
      </c>
      <c r="Z33" s="1354" t="str">
        <f t="shared" si="15"/>
        <v>建筑类型</v>
      </c>
      <c r="AA33" s="1351">
        <f t="shared" si="3"/>
        <v>0.98039215686274506</v>
      </c>
      <c r="AB33" s="1351">
        <f t="shared" si="4"/>
        <v>1</v>
      </c>
      <c r="AC33" s="1960">
        <f t="shared" si="5"/>
        <v>0.98039215686274506</v>
      </c>
    </row>
    <row r="34" spans="1:29" s="422" customFormat="1" ht="15">
      <c r="A34" s="419"/>
      <c r="B34" s="375" t="s">
        <v>1695</v>
      </c>
      <c r="C34" s="420">
        <f>'[3]数据-汇总表'!F20</f>
        <v>206.15</v>
      </c>
      <c r="D34" s="127">
        <v>100</v>
      </c>
      <c r="E34" s="420">
        <v>500</v>
      </c>
      <c r="F34" s="376">
        <f>LOOKUP(E34,104:104,105:105)-LOOKUP(C34,104:104,105:105)+100</f>
        <v>101</v>
      </c>
      <c r="G34" s="420">
        <v>1400</v>
      </c>
      <c r="H34" s="127">
        <f>LOOKUP(G34,104:104,105:105)-LOOKUP(C34,104:104,105:105)+100</f>
        <v>99</v>
      </c>
      <c r="I34" s="420">
        <v>386.28</v>
      </c>
      <c r="J34" s="127">
        <f>LOOKUP(I34,104:104,105:105)-LOOKUP(C34,104:104,105:105)+100</f>
        <v>101</v>
      </c>
      <c r="K34" s="562"/>
      <c r="L34" s="2717"/>
      <c r="M34" s="2719"/>
      <c r="N34" s="2719"/>
      <c r="O34" s="2719"/>
      <c r="P34" s="3757"/>
      <c r="Q34" s="706" t="str">
        <f t="shared" si="11"/>
        <v>项目建筑规模</v>
      </c>
      <c r="R34" s="707" t="s">
        <v>14</v>
      </c>
      <c r="S34" s="708">
        <f t="shared" si="12"/>
        <v>101</v>
      </c>
      <c r="T34" s="707" t="s">
        <v>14</v>
      </c>
      <c r="U34" s="708">
        <f t="shared" si="13"/>
        <v>99</v>
      </c>
      <c r="V34" s="707" t="s">
        <v>14</v>
      </c>
      <c r="W34" s="708">
        <f t="shared" si="14"/>
        <v>101</v>
      </c>
      <c r="X34" s="709"/>
      <c r="Y34" s="3759"/>
      <c r="Z34" s="710" t="str">
        <f t="shared" si="15"/>
        <v>项目建筑规模</v>
      </c>
      <c r="AA34" s="1351">
        <f t="shared" si="3"/>
        <v>0.99009900990099009</v>
      </c>
      <c r="AB34" s="1351">
        <f t="shared" si="4"/>
        <v>1.0101010101010102</v>
      </c>
      <c r="AC34" s="1960">
        <f t="shared" si="5"/>
        <v>0.99009900990099009</v>
      </c>
    </row>
    <row r="35" spans="1:29" ht="15">
      <c r="A35" s="423"/>
      <c r="B35" s="375" t="s">
        <v>1696</v>
      </c>
      <c r="C35" s="411" t="s">
        <v>3461</v>
      </c>
      <c r="D35" s="386">
        <v>100</v>
      </c>
      <c r="E35" s="411" t="s">
        <v>3461</v>
      </c>
      <c r="F35" s="412">
        <f>SUMIF(106:106,E35,107:107)-SUMIF(106:106,C35,107:107)+100</f>
        <v>100</v>
      </c>
      <c r="G35" s="411" t="s">
        <v>3461</v>
      </c>
      <c r="H35" s="386">
        <f>SUMIF(106:106,G35,107:107)-SUMIF(106:106,C35,107:107)+100</f>
        <v>100</v>
      </c>
      <c r="I35" s="411" t="s">
        <v>3461</v>
      </c>
      <c r="J35" s="386">
        <f>SUMIF(106:106,I35,107:107)-SUMIF(106:106,C35,107:107)+100</f>
        <v>100</v>
      </c>
      <c r="K35" s="561">
        <v>2</v>
      </c>
      <c r="L35" s="2718"/>
      <c r="M35" s="2712"/>
      <c r="N35" s="2712"/>
      <c r="O35" s="2712"/>
      <c r="P35" s="3757"/>
      <c r="Q35" s="1350" t="str">
        <f t="shared" si="11"/>
        <v>建筑结构</v>
      </c>
      <c r="R35" s="704" t="s">
        <v>14</v>
      </c>
      <c r="S35" s="705">
        <f t="shared" si="12"/>
        <v>100</v>
      </c>
      <c r="T35" s="704" t="s">
        <v>14</v>
      </c>
      <c r="U35" s="705">
        <f t="shared" si="13"/>
        <v>100</v>
      </c>
      <c r="V35" s="704" t="s">
        <v>14</v>
      </c>
      <c r="W35" s="705">
        <f t="shared" si="14"/>
        <v>100</v>
      </c>
      <c r="X35" s="1353"/>
      <c r="Y35" s="3759"/>
      <c r="Z35" s="1354" t="str">
        <f t="shared" si="15"/>
        <v>建筑结构</v>
      </c>
      <c r="AA35" s="1351">
        <f t="shared" si="3"/>
        <v>1</v>
      </c>
      <c r="AB35" s="1351">
        <f t="shared" si="4"/>
        <v>1</v>
      </c>
      <c r="AC35" s="1960">
        <f t="shared" si="5"/>
        <v>1</v>
      </c>
    </row>
    <row r="36" spans="1:29" ht="15">
      <c r="A36" s="423"/>
      <c r="B36" s="375" t="s">
        <v>1783</v>
      </c>
      <c r="C36" s="411" t="s">
        <v>3517</v>
      </c>
      <c r="D36" s="386">
        <v>100</v>
      </c>
      <c r="E36" s="411" t="s">
        <v>3517</v>
      </c>
      <c r="F36" s="412">
        <f>SUMIF(108:108,E36,109:109)-SUMIF(108:108,C36,109:109)+100</f>
        <v>100</v>
      </c>
      <c r="G36" s="411" t="s">
        <v>3517</v>
      </c>
      <c r="H36" s="386">
        <f>SUMIF(108:108,G36,109:109)-SUMIF(108:108,C36,109:109)+100</f>
        <v>100</v>
      </c>
      <c r="I36" s="411" t="s">
        <v>3517</v>
      </c>
      <c r="J36" s="386">
        <f>SUMIF(108:108,I36,109:109)-SUMIF(108:108,C36,109:109)+100</f>
        <v>100</v>
      </c>
      <c r="K36" s="561">
        <v>2</v>
      </c>
      <c r="L36" s="2718"/>
      <c r="M36" s="2712"/>
      <c r="N36" s="2712"/>
      <c r="O36" s="2712"/>
      <c r="P36" s="3757"/>
      <c r="Q36" s="1350" t="str">
        <f t="shared" si="11"/>
        <v>公共部分装修</v>
      </c>
      <c r="R36" s="704" t="s">
        <v>14</v>
      </c>
      <c r="S36" s="705">
        <f t="shared" si="12"/>
        <v>100</v>
      </c>
      <c r="T36" s="704" t="s">
        <v>14</v>
      </c>
      <c r="U36" s="705">
        <f t="shared" si="13"/>
        <v>100</v>
      </c>
      <c r="V36" s="704" t="s">
        <v>14</v>
      </c>
      <c r="W36" s="705">
        <f t="shared" si="14"/>
        <v>100</v>
      </c>
      <c r="X36" s="1353"/>
      <c r="Y36" s="3759"/>
      <c r="Z36" s="1354" t="str">
        <f t="shared" si="15"/>
        <v>公共部分装修</v>
      </c>
      <c r="AA36" s="1351">
        <f t="shared" si="3"/>
        <v>1</v>
      </c>
      <c r="AB36" s="1351">
        <f t="shared" si="4"/>
        <v>1</v>
      </c>
      <c r="AC36" s="1960">
        <f t="shared" si="5"/>
        <v>1</v>
      </c>
    </row>
    <row r="37" spans="1:29" ht="15">
      <c r="A37" s="423"/>
      <c r="B37" s="375" t="s">
        <v>1784</v>
      </c>
      <c r="C37" s="3513">
        <f>'数据-取费表'!N7</f>
        <v>0.78</v>
      </c>
      <c r="D37" s="386">
        <v>100</v>
      </c>
      <c r="E37" s="730">
        <v>0.7</v>
      </c>
      <c r="F37" s="412">
        <f>LOOKUP(E37,111:111,112:112)-LOOKUP(C37,111:111,112:112)+100</f>
        <v>100</v>
      </c>
      <c r="G37" s="730">
        <f>C37</f>
        <v>0.78</v>
      </c>
      <c r="H37" s="412">
        <f>LOOKUP(G37,111:111,112:112)-LOOKUP(C37,111:111,112:112)+100</f>
        <v>100</v>
      </c>
      <c r="I37" s="730">
        <f>ROUND(1-(2024-2006)/60,2)</f>
        <v>0.7</v>
      </c>
      <c r="J37" s="386">
        <f>LOOKUP(I37,111:111,112:112)-LOOKUP(C37,111:111,112:112)+100</f>
        <v>100</v>
      </c>
      <c r="K37" s="561">
        <v>1</v>
      </c>
      <c r="L37" s="2718"/>
      <c r="M37" s="2712"/>
      <c r="N37" s="2712"/>
      <c r="O37" s="2712"/>
      <c r="P37" s="3757"/>
      <c r="Q37" s="1350" t="str">
        <f t="shared" si="11"/>
        <v>成新度</v>
      </c>
      <c r="R37" s="704" t="s">
        <v>14</v>
      </c>
      <c r="S37" s="705">
        <f t="shared" si="12"/>
        <v>100</v>
      </c>
      <c r="T37" s="704" t="s">
        <v>14</v>
      </c>
      <c r="U37" s="705">
        <f t="shared" si="13"/>
        <v>100</v>
      </c>
      <c r="V37" s="704" t="s">
        <v>14</v>
      </c>
      <c r="W37" s="705">
        <f t="shared" si="14"/>
        <v>100</v>
      </c>
      <c r="X37" s="1353"/>
      <c r="Y37" s="3759"/>
      <c r="Z37" s="1354" t="str">
        <f t="shared" si="15"/>
        <v>成新度</v>
      </c>
      <c r="AA37" s="1351">
        <f t="shared" si="3"/>
        <v>1</v>
      </c>
      <c r="AB37" s="1351">
        <f t="shared" si="4"/>
        <v>1</v>
      </c>
      <c r="AC37" s="1960">
        <f t="shared" si="5"/>
        <v>1</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57"/>
      <c r="Q38" s="1341" t="str">
        <f t="shared" si="11"/>
        <v>写字楼等级</v>
      </c>
      <c r="R38" s="700" t="s">
        <v>14</v>
      </c>
      <c r="S38" s="701">
        <f t="shared" si="12"/>
        <v>100</v>
      </c>
      <c r="T38" s="700" t="s">
        <v>14</v>
      </c>
      <c r="U38" s="701">
        <f t="shared" si="13"/>
        <v>100</v>
      </c>
      <c r="V38" s="700" t="s">
        <v>14</v>
      </c>
      <c r="W38" s="701">
        <f t="shared" si="14"/>
        <v>100</v>
      </c>
      <c r="X38" s="702"/>
      <c r="Y38" s="3759"/>
      <c r="Z38" s="52" t="str">
        <f t="shared" si="15"/>
        <v>写字楼等级</v>
      </c>
      <c r="AA38" s="703">
        <f t="shared" si="3"/>
        <v>1</v>
      </c>
      <c r="AB38" s="703">
        <f t="shared" si="4"/>
        <v>1</v>
      </c>
      <c r="AC38" s="1957">
        <f t="shared" si="5"/>
        <v>1</v>
      </c>
    </row>
    <row r="39" spans="1:29" ht="15">
      <c r="A39" s="423"/>
      <c r="B39" s="375" t="s">
        <v>1817</v>
      </c>
      <c r="C39" s="411" t="s">
        <v>3518</v>
      </c>
      <c r="D39" s="386">
        <v>100</v>
      </c>
      <c r="E39" s="411" t="s">
        <v>3518</v>
      </c>
      <c r="F39" s="412">
        <f>SUMIF(115:115,E39,116:116)-SUMIF(115:115,C39,116:116)+100</f>
        <v>100</v>
      </c>
      <c r="G39" s="411" t="s">
        <v>3518</v>
      </c>
      <c r="H39" s="386">
        <f>SUMIF(115:115,G39,116:116)-SUMIF(115:115,C39,116:116)+100</f>
        <v>100</v>
      </c>
      <c r="I39" s="411" t="s">
        <v>3518</v>
      </c>
      <c r="J39" s="386">
        <f>SUMIF(115:115,I39,116:116)-SUMIF(115:115,C39,116:116)+100</f>
        <v>100</v>
      </c>
      <c r="K39" s="561">
        <v>2</v>
      </c>
      <c r="L39" s="2718"/>
      <c r="M39" s="2712"/>
      <c r="N39" s="2712"/>
      <c r="O39" s="2712"/>
      <c r="P39" s="3757" t="s">
        <v>1694</v>
      </c>
      <c r="Q39" s="1350" t="str">
        <f t="shared" si="11"/>
        <v>物业管理</v>
      </c>
      <c r="R39" s="704" t="s">
        <v>14</v>
      </c>
      <c r="S39" s="705">
        <f t="shared" si="12"/>
        <v>100</v>
      </c>
      <c r="T39" s="704" t="s">
        <v>14</v>
      </c>
      <c r="U39" s="705">
        <f t="shared" si="13"/>
        <v>100</v>
      </c>
      <c r="V39" s="704" t="s">
        <v>14</v>
      </c>
      <c r="W39" s="705">
        <f t="shared" si="14"/>
        <v>100</v>
      </c>
      <c r="X39" s="1353"/>
      <c r="Y39" s="3759" t="s">
        <v>1694</v>
      </c>
      <c r="Z39" s="1354" t="str">
        <f t="shared" si="15"/>
        <v>物业管理</v>
      </c>
      <c r="AA39" s="1351">
        <f t="shared" si="3"/>
        <v>1</v>
      </c>
      <c r="AB39" s="1351">
        <f t="shared" si="4"/>
        <v>1</v>
      </c>
      <c r="AC39" s="1960">
        <f t="shared" si="5"/>
        <v>1</v>
      </c>
    </row>
    <row r="40" spans="1:29" ht="15">
      <c r="A40" s="423"/>
      <c r="B40" s="375" t="s">
        <v>1785</v>
      </c>
      <c r="C40" s="411" t="s">
        <v>3519</v>
      </c>
      <c r="D40" s="386">
        <v>100</v>
      </c>
      <c r="E40" s="411" t="s">
        <v>3519</v>
      </c>
      <c r="F40" s="412">
        <f>SUMIF(117:117,E40,118:118)-SUMIF(117:117,C40,118:118)+100</f>
        <v>100</v>
      </c>
      <c r="G40" s="411" t="s">
        <v>3519</v>
      </c>
      <c r="H40" s="386">
        <f>SUMIF(117:117,G40,118:118)-SUMIF(117:117,C40,118:118)+100</f>
        <v>100</v>
      </c>
      <c r="I40" s="411" t="s">
        <v>3519</v>
      </c>
      <c r="J40" s="386">
        <f>SUMIF(117:117,I40,118:118)-SUMIF(117:117,C40,118:118)+100</f>
        <v>100</v>
      </c>
      <c r="K40" s="561">
        <v>1</v>
      </c>
      <c r="L40" s="2718"/>
      <c r="M40" s="2712"/>
      <c r="N40" s="2712"/>
      <c r="O40" s="2712"/>
      <c r="P40" s="3757"/>
      <c r="Q40" s="1350" t="str">
        <f t="shared" si="11"/>
        <v>市政基础设施</v>
      </c>
      <c r="R40" s="704" t="s">
        <v>14</v>
      </c>
      <c r="S40" s="705">
        <f t="shared" si="12"/>
        <v>100</v>
      </c>
      <c r="T40" s="704" t="s">
        <v>14</v>
      </c>
      <c r="U40" s="705">
        <f t="shared" si="13"/>
        <v>100</v>
      </c>
      <c r="V40" s="704" t="s">
        <v>14</v>
      </c>
      <c r="W40" s="705">
        <f t="shared" si="14"/>
        <v>100</v>
      </c>
      <c r="X40" s="1353"/>
      <c r="Y40" s="3759"/>
      <c r="Z40" s="1354" t="str">
        <f t="shared" si="15"/>
        <v>市政基础设施</v>
      </c>
      <c r="AA40" s="1351">
        <f t="shared" si="3"/>
        <v>1</v>
      </c>
      <c r="AB40" s="1351">
        <f t="shared" si="4"/>
        <v>1</v>
      </c>
      <c r="AC40" s="1960">
        <f t="shared" si="5"/>
        <v>1</v>
      </c>
    </row>
    <row r="41" spans="1:29" ht="15">
      <c r="A41" s="423"/>
      <c r="B41" s="375" t="s">
        <v>1787</v>
      </c>
      <c r="C41" s="565" t="s">
        <v>3520</v>
      </c>
      <c r="D41" s="386">
        <v>100</v>
      </c>
      <c r="E41" s="565" t="s">
        <v>3520</v>
      </c>
      <c r="F41" s="412">
        <f>SUMIF(119:119,E41,120:120)-SUMIF(119:119,C41,120:120)+100</f>
        <v>100</v>
      </c>
      <c r="G41" s="565" t="s">
        <v>3520</v>
      </c>
      <c r="H41" s="386">
        <f>SUMIF(119:119,G41,120:120)-SUMIF(119:119,C41,120:120)+100</f>
        <v>100</v>
      </c>
      <c r="I41" s="565" t="s">
        <v>3520</v>
      </c>
      <c r="J41" s="386">
        <f>SUMIF(119:119,I41,120:120)-SUMIF(119:119,C41,120:120)+100</f>
        <v>100</v>
      </c>
      <c r="K41" s="561">
        <v>2</v>
      </c>
      <c r="L41" s="2718"/>
      <c r="M41" s="2712"/>
      <c r="N41" s="2712"/>
      <c r="O41" s="2712"/>
      <c r="P41" s="3757"/>
      <c r="Q41" s="1350" t="str">
        <f t="shared" si="11"/>
        <v>层高</v>
      </c>
      <c r="R41" s="704" t="s">
        <v>14</v>
      </c>
      <c r="S41" s="705">
        <f t="shared" si="12"/>
        <v>100</v>
      </c>
      <c r="T41" s="704" t="s">
        <v>14</v>
      </c>
      <c r="U41" s="705">
        <f t="shared" si="13"/>
        <v>100</v>
      </c>
      <c r="V41" s="704" t="s">
        <v>14</v>
      </c>
      <c r="W41" s="705">
        <f t="shared" si="14"/>
        <v>100</v>
      </c>
      <c r="X41" s="1353"/>
      <c r="Y41" s="3759"/>
      <c r="Z41" s="1354" t="str">
        <f t="shared" si="15"/>
        <v>层高</v>
      </c>
      <c r="AA41" s="1351">
        <f t="shared" si="3"/>
        <v>1</v>
      </c>
      <c r="AB41" s="1351">
        <f t="shared" si="4"/>
        <v>1</v>
      </c>
      <c r="AC41" s="1960">
        <f t="shared" si="5"/>
        <v>1</v>
      </c>
    </row>
    <row r="42" spans="1:29" s="422" customFormat="1" ht="15">
      <c r="A42" s="419"/>
      <c r="B42" s="1352"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57"/>
      <c r="Q42" s="706" t="str">
        <f t="shared" si="11"/>
        <v>单套建筑面积</v>
      </c>
      <c r="R42" s="707" t="s">
        <v>14</v>
      </c>
      <c r="S42" s="708">
        <f t="shared" si="12"/>
        <v>100</v>
      </c>
      <c r="T42" s="707" t="s">
        <v>14</v>
      </c>
      <c r="U42" s="708">
        <f t="shared" si="13"/>
        <v>100</v>
      </c>
      <c r="V42" s="707" t="s">
        <v>14</v>
      </c>
      <c r="W42" s="708">
        <f t="shared" si="14"/>
        <v>100</v>
      </c>
      <c r="X42" s="709"/>
      <c r="Y42" s="3759"/>
      <c r="Z42" s="710" t="str">
        <f t="shared" si="15"/>
        <v>单套建筑面积</v>
      </c>
      <c r="AA42" s="1351">
        <f t="shared" si="3"/>
        <v>1</v>
      </c>
      <c r="AB42" s="1351">
        <f t="shared" si="4"/>
        <v>1</v>
      </c>
      <c r="AC42" s="1960">
        <f t="shared" si="5"/>
        <v>1</v>
      </c>
    </row>
    <row r="43" spans="1:29" ht="15">
      <c r="A43" s="423"/>
      <c r="B43" s="375" t="s">
        <v>1790</v>
      </c>
      <c r="C43" s="411" t="s">
        <v>3521</v>
      </c>
      <c r="D43" s="386">
        <v>100</v>
      </c>
      <c r="E43" s="411" t="s">
        <v>3521</v>
      </c>
      <c r="F43" s="412">
        <f>SUMIF(123:123,E43,124:124)-SUMIF(123:123,C43,124:124)+100</f>
        <v>100</v>
      </c>
      <c r="G43" s="411" t="s">
        <v>3521</v>
      </c>
      <c r="H43" s="386">
        <f>SUMIF(123:123,G43,124:124)-SUMIF(123:123,C43,124:124)+100</f>
        <v>100</v>
      </c>
      <c r="I43" s="411" t="s">
        <v>3521</v>
      </c>
      <c r="J43" s="386">
        <f>SUMIF(123:123,I43,124:124)-SUMIF(123:123,C43,124:124)+100</f>
        <v>100</v>
      </c>
      <c r="K43" s="561">
        <v>2</v>
      </c>
      <c r="L43" s="2718"/>
      <c r="M43" s="2712"/>
      <c r="N43" s="2712"/>
      <c r="O43" s="2712"/>
      <c r="P43" s="3757"/>
      <c r="Q43" s="1350" t="str">
        <f t="shared" si="11"/>
        <v>内部装修</v>
      </c>
      <c r="R43" s="704" t="s">
        <v>14</v>
      </c>
      <c r="S43" s="705">
        <f t="shared" si="12"/>
        <v>100</v>
      </c>
      <c r="T43" s="704" t="s">
        <v>14</v>
      </c>
      <c r="U43" s="705">
        <f t="shared" si="13"/>
        <v>100</v>
      </c>
      <c r="V43" s="704" t="s">
        <v>14</v>
      </c>
      <c r="W43" s="705">
        <f t="shared" si="14"/>
        <v>100</v>
      </c>
      <c r="X43" s="1353"/>
      <c r="Y43" s="3759"/>
      <c r="Z43" s="1354" t="str">
        <f t="shared" si="15"/>
        <v>内部装修</v>
      </c>
      <c r="AA43" s="1351">
        <f t="shared" si="3"/>
        <v>1</v>
      </c>
      <c r="AB43" s="1351">
        <f t="shared" si="4"/>
        <v>1</v>
      </c>
      <c r="AC43" s="1960">
        <f t="shared" si="5"/>
        <v>1</v>
      </c>
    </row>
    <row r="44" spans="1:29" ht="15">
      <c r="A44" s="423"/>
      <c r="B44" s="375" t="s">
        <v>1705</v>
      </c>
      <c r="C44" s="411" t="s">
        <v>3511</v>
      </c>
      <c r="D44" s="386">
        <v>100</v>
      </c>
      <c r="E44" s="411" t="s">
        <v>3511</v>
      </c>
      <c r="F44" s="412">
        <f>SUMIF(125:125,E44,126:126)-SUMIF(125:125,C44,126:126)+100</f>
        <v>100</v>
      </c>
      <c r="G44" s="411" t="s">
        <v>3511</v>
      </c>
      <c r="H44" s="386">
        <f>SUMIF(125:125,G44,126:126)-SUMIF(125:125,C44,126:126)+100</f>
        <v>100</v>
      </c>
      <c r="I44" s="411" t="s">
        <v>3511</v>
      </c>
      <c r="J44" s="386">
        <f>SUMIF(125:125,I44,126:126)-SUMIF(125:125,C44,126:126)+100</f>
        <v>100</v>
      </c>
      <c r="K44" s="561">
        <v>2</v>
      </c>
      <c r="L44" s="2718"/>
      <c r="M44" s="2712"/>
      <c r="N44" s="2712"/>
      <c r="O44" s="2712"/>
      <c r="P44" s="3757"/>
      <c r="Q44" s="1350" t="str">
        <f t="shared" si="11"/>
        <v>内部装修维护情况</v>
      </c>
      <c r="R44" s="704" t="s">
        <v>14</v>
      </c>
      <c r="S44" s="705">
        <f t="shared" si="12"/>
        <v>100</v>
      </c>
      <c r="T44" s="704" t="s">
        <v>14</v>
      </c>
      <c r="U44" s="705">
        <f t="shared" si="13"/>
        <v>100</v>
      </c>
      <c r="V44" s="704" t="s">
        <v>14</v>
      </c>
      <c r="W44" s="705">
        <f t="shared" si="14"/>
        <v>100</v>
      </c>
      <c r="X44" s="1353"/>
      <c r="Y44" s="3759"/>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57"/>
      <c r="Q45" s="1341">
        <f t="shared" si="11"/>
        <v>111</v>
      </c>
      <c r="R45" s="700" t="s">
        <v>14</v>
      </c>
      <c r="S45" s="701">
        <f t="shared" si="12"/>
        <v>100</v>
      </c>
      <c r="T45" s="700" t="s">
        <v>14</v>
      </c>
      <c r="U45" s="701">
        <f t="shared" si="13"/>
        <v>100</v>
      </c>
      <c r="V45" s="700" t="s">
        <v>14</v>
      </c>
      <c r="W45" s="701">
        <f t="shared" si="14"/>
        <v>100</v>
      </c>
      <c r="X45" s="702"/>
      <c r="Y45" s="3759"/>
      <c r="Z45" s="52">
        <f t="shared" si="15"/>
        <v>111</v>
      </c>
      <c r="AA45" s="703">
        <f t="shared" si="3"/>
        <v>1</v>
      </c>
      <c r="AB45" s="703">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57"/>
      <c r="Q46" s="1350">
        <f t="shared" si="11"/>
        <v>111</v>
      </c>
      <c r="R46" s="704" t="s">
        <v>14</v>
      </c>
      <c r="S46" s="705">
        <f t="shared" si="12"/>
        <v>100</v>
      </c>
      <c r="T46" s="704" t="s">
        <v>14</v>
      </c>
      <c r="U46" s="705">
        <f t="shared" si="13"/>
        <v>100</v>
      </c>
      <c r="V46" s="704" t="s">
        <v>14</v>
      </c>
      <c r="W46" s="705">
        <f t="shared" si="14"/>
        <v>100</v>
      </c>
      <c r="X46" s="1353"/>
      <c r="Y46" s="3759"/>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58"/>
      <c r="Q47" s="1350">
        <f t="shared" si="11"/>
        <v>111</v>
      </c>
      <c r="R47" s="704" t="s">
        <v>14</v>
      </c>
      <c r="S47" s="705">
        <f t="shared" si="12"/>
        <v>100</v>
      </c>
      <c r="T47" s="704" t="s">
        <v>14</v>
      </c>
      <c r="U47" s="705">
        <f t="shared" si="13"/>
        <v>100</v>
      </c>
      <c r="V47" s="704" t="s">
        <v>14</v>
      </c>
      <c r="W47" s="705">
        <f t="shared" si="14"/>
        <v>100</v>
      </c>
      <c r="X47" s="1353"/>
      <c r="Y47" s="3760"/>
      <c r="Z47" s="1354">
        <f t="shared" si="15"/>
        <v>111</v>
      </c>
      <c r="AA47" s="1351">
        <f t="shared" si="3"/>
        <v>1</v>
      </c>
      <c r="AB47" s="1351">
        <f t="shared" si="4"/>
        <v>1</v>
      </c>
      <c r="AC47" s="1960">
        <f t="shared" si="5"/>
        <v>1</v>
      </c>
    </row>
    <row r="48" spans="1:29" ht="15">
      <c r="A48" s="430" t="s">
        <v>1706</v>
      </c>
      <c r="B48" s="431"/>
      <c r="C48" s="1152" t="s">
        <v>0</v>
      </c>
      <c r="D48" s="1153"/>
      <c r="E48" s="1154">
        <v>50000</v>
      </c>
      <c r="F48" s="1155"/>
      <c r="G48" s="3516">
        <v>50000</v>
      </c>
      <c r="H48" s="1157"/>
      <c r="I48" s="1154">
        <v>50223</v>
      </c>
      <c r="J48" s="436"/>
      <c r="K48" s="713"/>
      <c r="L48" s="2720"/>
      <c r="M48" s="2712"/>
      <c r="N48" s="2712"/>
      <c r="O48" s="2712"/>
      <c r="P48" s="3731" t="str">
        <f>A48</f>
        <v>成交单价（元/平方米）</v>
      </c>
      <c r="Q48" s="3761"/>
      <c r="R48" s="3762">
        <f>E48</f>
        <v>50000</v>
      </c>
      <c r="S48" s="3762"/>
      <c r="T48" s="3762">
        <f>G48</f>
        <v>50000</v>
      </c>
      <c r="U48" s="3762"/>
      <c r="V48" s="3762">
        <f>I48</f>
        <v>50223</v>
      </c>
      <c r="W48" s="3762"/>
      <c r="X48" s="397"/>
      <c r="Y48" s="711"/>
      <c r="Z48" s="397"/>
      <c r="AA48" s="397"/>
      <c r="AB48" s="397"/>
      <c r="AC48" s="577"/>
    </row>
    <row r="49" spans="1:29" ht="15.75" thickBot="1">
      <c r="A49" s="437" t="s">
        <v>1791</v>
      </c>
      <c r="B49" s="438"/>
      <c r="C49" s="1158">
        <f>R50</f>
        <v>46891</v>
      </c>
      <c r="D49" s="2315" t="s">
        <v>2135</v>
      </c>
      <c r="E49" s="1159">
        <f>R49</f>
        <v>46197</v>
      </c>
      <c r="F49" s="2316"/>
      <c r="G49" s="1158">
        <f>T49</f>
        <v>48073</v>
      </c>
      <c r="H49" s="2316"/>
      <c r="I49" s="1159">
        <f>V49</f>
        <v>46403</v>
      </c>
      <c r="J49" s="2316"/>
      <c r="K49" s="2318">
        <f>F49+H49+J49</f>
        <v>0</v>
      </c>
      <c r="L49" s="2720"/>
      <c r="M49" s="2712"/>
      <c r="N49" s="2712"/>
      <c r="O49" s="2712"/>
      <c r="P49" s="3731" t="str">
        <f>A49</f>
        <v>比较价值（元/平方米）</v>
      </c>
      <c r="Q49" s="3761"/>
      <c r="R49" s="3762">
        <f>IF(F1="售价",ROUND(PRODUCT(R48,AA7:AA47),0),ROUND(PRODUCT(R48,AA7:AA47),1))</f>
        <v>46197</v>
      </c>
      <c r="S49" s="3762"/>
      <c r="T49" s="3762">
        <f>IF(F1="售价",ROUND(PRODUCT(T48,AB7:AB47),0),ROUND(PRODUCT(T48,AB7:AB47),1))</f>
        <v>48073</v>
      </c>
      <c r="U49" s="3762"/>
      <c r="V49" s="3762">
        <f>IF(F1="售价",ROUND(PRODUCT(V48,AC7:AC47),0),ROUND(PRODUCT(V48,AC7:AC47),1))</f>
        <v>46403</v>
      </c>
      <c r="W49" s="3762"/>
      <c r="X49" s="397"/>
      <c r="Y49" s="397"/>
      <c r="Z49" s="397"/>
      <c r="AA49" s="397"/>
      <c r="AB49" s="397"/>
      <c r="AC49" s="577"/>
    </row>
    <row r="50" spans="1:29" ht="15.75" thickBot="1">
      <c r="A50" s="441" t="s">
        <v>1792</v>
      </c>
      <c r="B50" s="442"/>
      <c r="C50" s="1161">
        <f>R50</f>
        <v>46891</v>
      </c>
      <c r="D50" s="1161"/>
      <c r="E50" s="1161"/>
      <c r="F50" s="1161"/>
      <c r="G50" s="1161"/>
      <c r="H50" s="1161"/>
      <c r="I50" s="1161"/>
      <c r="J50" s="443"/>
      <c r="K50" s="714"/>
      <c r="L50" s="2720"/>
      <c r="M50" s="2712"/>
      <c r="N50" s="2712"/>
      <c r="O50" s="2712"/>
      <c r="P50" s="3763" t="str">
        <f>A50</f>
        <v>估价对象XX用房的比较价值（楼面单价，元/平方米）</v>
      </c>
      <c r="Q50" s="3764"/>
      <c r="R50" s="3765">
        <f>IF(F1="售价",ROUND(IF(D49="简单平均",AVERAGE(R49:V49),R49*F49+T49*H49+V49*J49),0),ROUND(IF(D49="简单平均",AVERAGE(R49:V49),R49*F49+T49*H49+V49*J49),1))</f>
        <v>46891</v>
      </c>
      <c r="S50" s="3765"/>
      <c r="T50" s="3765"/>
      <c r="U50" s="3765"/>
      <c r="V50" s="3765"/>
      <c r="W50" s="3765"/>
      <c r="X50" s="1944"/>
      <c r="Y50" s="1944"/>
      <c r="Z50" s="1944"/>
      <c r="AA50" s="1944"/>
      <c r="AB50" s="1944"/>
      <c r="AC50" s="1945"/>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1793</v>
      </c>
      <c r="D53" s="447"/>
      <c r="E53" s="448">
        <f>IF(E48&lt;E49,E49/E48-1,E48/E49-1)</f>
        <v>8.2321362859060221E-2</v>
      </c>
      <c r="F53" s="449" t="str">
        <f>IF(OR(E53&gt;=0.3,E53&lt;=-0.3),"超过30%","")</f>
        <v/>
      </c>
      <c r="G53" s="448">
        <f>IF(G48&lt;G49,G49/G48-1,G48/G49-1)</f>
        <v>4.0084870925467531E-2</v>
      </c>
      <c r="H53" s="449" t="str">
        <f>IF(OR(G53&gt;=0.3,G53&lt;=-0.3),"超过30%","")</f>
        <v/>
      </c>
      <c r="I53" s="448">
        <f>IF(I48&lt;I49,I49/I48-1,I48/I49-1)</f>
        <v>8.2322263646746885E-2</v>
      </c>
      <c r="J53" s="449" t="str">
        <f>IF(OR(I53&gt;=0.3,I53&lt;=-0.3),"超过30%","")</f>
        <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1794</v>
      </c>
      <c r="D54" s="450"/>
      <c r="E54" s="448">
        <f>IF(E49&lt;G49,G49/E49-1,E49/G49-1)</f>
        <v>4.0608697534471938E-2</v>
      </c>
      <c r="F54" s="449" t="str">
        <f>IF(OR(E54&gt;=0.2,E54&lt;=-0.2),"超过20%","")</f>
        <v/>
      </c>
      <c r="G54" s="448">
        <f>IF(G49&lt;I49,I49/G49-1,G49/I49-1)</f>
        <v>3.5989052431954827E-2</v>
      </c>
      <c r="H54" s="449" t="str">
        <f>IF(OR(G54&gt;=0.2,G54&lt;=-0.2),"超过20%","")</f>
        <v/>
      </c>
      <c r="I54" s="448">
        <f>IF(I49&lt;E49,E49/I49-1,I49/E49-1)</f>
        <v>4.4591640149793665E-3</v>
      </c>
      <c r="J54" s="449" t="str">
        <f>IF(OR(I54&gt;=0.2,I54&lt;=-0.2),"超过20%","")</f>
        <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1795</v>
      </c>
      <c r="D55" s="450"/>
      <c r="E55" s="448">
        <f>IF(E48&lt;G48,G48/E48-1,E48/G48-1)</f>
        <v>0</v>
      </c>
      <c r="F55" s="449" t="str">
        <f>IF(OR(E55&gt;=0.3,E55&lt;=-0.3),"超过30%","")</f>
        <v/>
      </c>
      <c r="G55" s="448">
        <f>IF(G48&lt;I48,I48/G48-1,G48/I48-1)</f>
        <v>4.4599999999999085E-3</v>
      </c>
      <c r="H55" s="449" t="str">
        <f>IF(OR(G55&gt;=0.3,G55&lt;=-0.3),"超过30%","")</f>
        <v/>
      </c>
      <c r="I55" s="448">
        <f>IF(I48&lt;E48,E48/I48-1,I48/E48-1)</f>
        <v>4.4599999999999085E-3</v>
      </c>
      <c r="J55" s="449" t="str">
        <f>IF(OR(I55&gt;=0.3,I55&lt;=-0.3),"超过30%","")</f>
        <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3" t="s">
        <v>1796</v>
      </c>
      <c r="B58" s="689"/>
      <c r="C58" s="694"/>
      <c r="D58" s="694"/>
      <c r="E58" s="694"/>
      <c r="F58" s="695"/>
      <c r="G58" s="695"/>
      <c r="H58" s="694"/>
      <c r="I58" s="694"/>
      <c r="J58" s="694"/>
      <c r="K58" s="696"/>
      <c r="L58" s="941"/>
      <c r="M58" s="939"/>
      <c r="N58" s="2765"/>
      <c r="O58" s="2765"/>
      <c r="P58" s="2754"/>
      <c r="Q58" s="2735"/>
      <c r="R58" s="2721"/>
      <c r="S58" s="2721"/>
      <c r="T58" s="2721"/>
      <c r="U58" s="2721"/>
      <c r="V58" s="2721"/>
      <c r="W58" s="2721"/>
      <c r="X58" s="2721"/>
      <c r="Y58" s="2721"/>
      <c r="Z58" s="2721"/>
      <c r="AA58" s="2721"/>
      <c r="AB58" s="2721"/>
      <c r="AC58" s="2721"/>
    </row>
    <row r="59" spans="1:29" s="457" customFormat="1" ht="15">
      <c r="A59" s="454" t="s">
        <v>1677</v>
      </c>
      <c r="B59" s="455"/>
      <c r="C59" s="1182" t="str">
        <f>YEAR(C7)&amp;"-"&amp;MONTH(C7)</f>
        <v>2024-7</v>
      </c>
      <c r="D59" s="1183">
        <f>EDATE(C59,-1)</f>
        <v>45444</v>
      </c>
      <c r="E59" s="1183">
        <f>EDATE(D59,-1)</f>
        <v>45413</v>
      </c>
      <c r="F59" s="1183">
        <f t="shared" ref="F59:O59" si="16">EDATE(E59,-1)</f>
        <v>45383</v>
      </c>
      <c r="G59" s="1183">
        <f t="shared" si="16"/>
        <v>45352</v>
      </c>
      <c r="H59" s="1183">
        <f t="shared" si="16"/>
        <v>45323</v>
      </c>
      <c r="I59" s="1183">
        <f t="shared" si="16"/>
        <v>45292</v>
      </c>
      <c r="J59" s="1183">
        <f t="shared" si="16"/>
        <v>45261</v>
      </c>
      <c r="K59" s="1183">
        <f t="shared" si="16"/>
        <v>45231</v>
      </c>
      <c r="L59" s="1183">
        <f t="shared" si="16"/>
        <v>45200</v>
      </c>
      <c r="M59" s="1183">
        <f t="shared" si="16"/>
        <v>45170</v>
      </c>
      <c r="N59" s="1183">
        <f t="shared" si="16"/>
        <v>45139</v>
      </c>
      <c r="O59" s="1183">
        <f t="shared" si="16"/>
        <v>45108</v>
      </c>
      <c r="P59" s="2755"/>
      <c r="Q59" s="2737"/>
      <c r="R59" s="2737"/>
      <c r="S59" s="2737"/>
      <c r="T59" s="2737"/>
      <c r="U59" s="2737"/>
      <c r="V59" s="2737"/>
      <c r="W59" s="2737"/>
      <c r="X59" s="2737"/>
      <c r="Y59" s="2737"/>
      <c r="Z59" s="2737"/>
      <c r="AA59" s="2737"/>
      <c r="AB59" s="2737"/>
      <c r="AC59" s="2737"/>
    </row>
    <row r="60" spans="1:29" s="108" customFormat="1" ht="15">
      <c r="A60" s="458"/>
      <c r="B60" s="459"/>
      <c r="C60" s="1181">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1714</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1679</v>
      </c>
      <c r="B62" s="459"/>
      <c r="C62" s="471" t="s">
        <v>1774</v>
      </c>
      <c r="D62" s="3504" t="s">
        <v>3468</v>
      </c>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v>102</v>
      </c>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1717</v>
      </c>
      <c r="B64" s="477" t="s">
        <v>1683</v>
      </c>
      <c r="C64" s="478" t="str">
        <f>C9</f>
        <v>办公</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1686</v>
      </c>
      <c r="C66" s="532" t="s">
        <v>3469</v>
      </c>
      <c r="D66" s="532" t="s">
        <v>3470</v>
      </c>
      <c r="E66" s="532" t="s">
        <v>3471</v>
      </c>
      <c r="F66" s="532" t="s">
        <v>3472</v>
      </c>
      <c r="G66" s="532" t="s">
        <v>3473</v>
      </c>
      <c r="H66" s="532" t="s">
        <v>3474</v>
      </c>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v>100</v>
      </c>
      <c r="D67" s="485">
        <f>C67-1</f>
        <v>99</v>
      </c>
      <c r="E67" s="485">
        <f t="shared" ref="E67:H67" si="17">D67-1</f>
        <v>98</v>
      </c>
      <c r="F67" s="485">
        <f t="shared" si="17"/>
        <v>97</v>
      </c>
      <c r="G67" s="485">
        <f t="shared" si="17"/>
        <v>96</v>
      </c>
      <c r="H67" s="485">
        <f t="shared" si="17"/>
        <v>95</v>
      </c>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1687</v>
      </c>
      <c r="C68" s="496" t="str">
        <f>C69&amp;"（含）"&amp;"-"&amp;D69</f>
        <v>0（含）-3</v>
      </c>
      <c r="D68" s="496" t="str">
        <f t="shared" ref="D68:L68" si="18">D69&amp;"（含）"&amp;"-"&amp;E69</f>
        <v>3（含）-</v>
      </c>
      <c r="E68" s="496" t="str">
        <f t="shared" si="18"/>
        <v>（含）-</v>
      </c>
      <c r="F68" s="496" t="str">
        <f t="shared" si="18"/>
        <v>（含）-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1688</v>
      </c>
      <c r="B77" s="477" t="s">
        <v>1819</v>
      </c>
      <c r="C77" s="522" t="s">
        <v>1719</v>
      </c>
      <c r="D77" s="522" t="s">
        <v>1720</v>
      </c>
      <c r="E77" s="522" t="s">
        <v>1721</v>
      </c>
      <c r="F77" s="522" t="s">
        <v>1722</v>
      </c>
      <c r="G77" s="522" t="s">
        <v>1723</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97</v>
      </c>
      <c r="E78" s="493">
        <f>D78-$K15</f>
        <v>94</v>
      </c>
      <c r="F78" s="493">
        <f>E78-$K15</f>
        <v>91</v>
      </c>
      <c r="G78" s="493">
        <f>F78-$K15</f>
        <v>88</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1724</v>
      </c>
      <c r="C79" s="527" t="s">
        <v>1719</v>
      </c>
      <c r="D79" s="527" t="s">
        <v>1720</v>
      </c>
      <c r="E79" s="527" t="s">
        <v>1721</v>
      </c>
      <c r="F79" s="527" t="s">
        <v>1722</v>
      </c>
      <c r="G79" s="527" t="s">
        <v>1723</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98</v>
      </c>
      <c r="E80" s="493">
        <f>D80-$K17</f>
        <v>96</v>
      </c>
      <c r="F80" s="493">
        <f>E80-$K17</f>
        <v>94</v>
      </c>
      <c r="G80" s="493">
        <f>F80-$K17</f>
        <v>92</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1725</v>
      </c>
      <c r="C81" s="527" t="s">
        <v>1719</v>
      </c>
      <c r="D81" s="527" t="s">
        <v>1720</v>
      </c>
      <c r="E81" s="527" t="s">
        <v>1721</v>
      </c>
      <c r="F81" s="527" t="s">
        <v>1722</v>
      </c>
      <c r="G81" s="527" t="s">
        <v>1723</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98</v>
      </c>
      <c r="E82" s="493">
        <f>D82-$K19</f>
        <v>96</v>
      </c>
      <c r="F82" s="493">
        <f>E82-$K19</f>
        <v>94</v>
      </c>
      <c r="G82" s="493">
        <f>F82-$K19</f>
        <v>92</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1811</v>
      </c>
      <c r="C83" s="607" t="s">
        <v>1797</v>
      </c>
      <c r="D83" s="607" t="s">
        <v>1798</v>
      </c>
      <c r="E83" s="607" t="s">
        <v>1799</v>
      </c>
      <c r="F83" s="607" t="s">
        <v>1800</v>
      </c>
      <c r="G83" s="607" t="s">
        <v>1801</v>
      </c>
      <c r="H83" s="488"/>
      <c r="I83" s="488"/>
      <c r="J83" s="488"/>
      <c r="K83" s="488"/>
      <c r="L83" s="488"/>
      <c r="M83" s="1127"/>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99</v>
      </c>
      <c r="E84" s="493">
        <f>D84-$K21</f>
        <v>98</v>
      </c>
      <c r="F84" s="493">
        <f>E84-$K21</f>
        <v>97</v>
      </c>
      <c r="G84" s="493">
        <f>F84-$K21</f>
        <v>96</v>
      </c>
      <c r="H84" s="607"/>
      <c r="I84" s="607"/>
      <c r="J84" s="607"/>
      <c r="K84" s="607"/>
      <c r="L84" s="607"/>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1820</v>
      </c>
      <c r="C85" s="527" t="s">
        <v>1719</v>
      </c>
      <c r="D85" s="527" t="s">
        <v>1720</v>
      </c>
      <c r="E85" s="527" t="s">
        <v>1721</v>
      </c>
      <c r="F85" s="527" t="s">
        <v>1722</v>
      </c>
      <c r="G85" s="527" t="s">
        <v>1723</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97</v>
      </c>
      <c r="E86" s="493">
        <f>D86-$K23</f>
        <v>94</v>
      </c>
      <c r="F86" s="493">
        <f>E86-$K23</f>
        <v>91</v>
      </c>
      <c r="G86" s="493">
        <f>F86-$K23</f>
        <v>88</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1821</v>
      </c>
      <c r="C87" s="3505" t="s">
        <v>3475</v>
      </c>
      <c r="D87" s="3505" t="s">
        <v>3476</v>
      </c>
      <c r="E87" s="3505" t="s">
        <v>3477</v>
      </c>
      <c r="F87" s="3505" t="s">
        <v>3478</v>
      </c>
      <c r="G87" s="3505" t="s">
        <v>3479</v>
      </c>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20">C88-$K25</f>
        <v>99</v>
      </c>
      <c r="E88" s="493">
        <f t="shared" si="20"/>
        <v>98</v>
      </c>
      <c r="F88" s="493">
        <f t="shared" si="20"/>
        <v>97</v>
      </c>
      <c r="G88" s="493">
        <f t="shared" si="20"/>
        <v>96</v>
      </c>
      <c r="H88" s="493">
        <f t="shared" si="20"/>
        <v>95</v>
      </c>
      <c r="I88" s="493">
        <f t="shared" si="20"/>
        <v>94</v>
      </c>
      <c r="J88" s="493">
        <f t="shared" si="20"/>
        <v>93</v>
      </c>
      <c r="K88" s="493">
        <f t="shared" si="20"/>
        <v>92</v>
      </c>
      <c r="L88" s="493">
        <f t="shared" si="20"/>
        <v>91</v>
      </c>
      <c r="M88" s="493">
        <f t="shared" si="20"/>
        <v>90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3505" t="s">
        <v>3480</v>
      </c>
      <c r="D89" s="3505" t="s">
        <v>3481</v>
      </c>
      <c r="E89" s="3505" t="s">
        <v>3482</v>
      </c>
      <c r="F89" s="1925"/>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97</v>
      </c>
      <c r="E90" s="493">
        <f t="shared" ref="E90:M90" si="21">D90-$K27</f>
        <v>94</v>
      </c>
      <c r="F90" s="493">
        <f t="shared" si="21"/>
        <v>91</v>
      </c>
      <c r="G90" s="493">
        <f t="shared" si="21"/>
        <v>88</v>
      </c>
      <c r="H90" s="493">
        <f t="shared" si="21"/>
        <v>85</v>
      </c>
      <c r="I90" s="493">
        <f t="shared" si="21"/>
        <v>82</v>
      </c>
      <c r="J90" s="493">
        <f t="shared" si="21"/>
        <v>79</v>
      </c>
      <c r="K90" s="493">
        <f t="shared" si="21"/>
        <v>76</v>
      </c>
      <c r="L90" s="493">
        <f t="shared" si="21"/>
        <v>73</v>
      </c>
      <c r="M90" s="493">
        <f t="shared" si="21"/>
        <v>70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6"/>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1692</v>
      </c>
      <c r="B101" s="477" t="s">
        <v>1734</v>
      </c>
      <c r="C101" s="3506" t="s">
        <v>3483</v>
      </c>
      <c r="D101" s="3506" t="s">
        <v>3484</v>
      </c>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3">C102-$K33</f>
        <v>98</v>
      </c>
      <c r="E102" s="493">
        <f t="shared" si="23"/>
        <v>96</v>
      </c>
      <c r="F102" s="493">
        <f t="shared" si="23"/>
        <v>94</v>
      </c>
      <c r="G102" s="493">
        <f t="shared" si="23"/>
        <v>92</v>
      </c>
      <c r="H102" s="493">
        <f t="shared" si="23"/>
        <v>90</v>
      </c>
      <c r="I102" s="493">
        <f t="shared" si="23"/>
        <v>88</v>
      </c>
      <c r="J102" s="493">
        <f t="shared" si="23"/>
        <v>86</v>
      </c>
      <c r="K102" s="493">
        <f t="shared" si="23"/>
        <v>84</v>
      </c>
      <c r="L102" s="493">
        <f t="shared" si="23"/>
        <v>82</v>
      </c>
      <c r="M102" s="494">
        <f t="shared" si="23"/>
        <v>80</v>
      </c>
      <c r="N102" s="2750"/>
      <c r="O102" s="2750"/>
      <c r="P102" s="2758"/>
      <c r="Q102" s="2735"/>
      <c r="R102" s="2721"/>
      <c r="S102" s="2721"/>
      <c r="T102" s="2721"/>
      <c r="U102" s="2721"/>
      <c r="V102" s="2721"/>
      <c r="W102" s="2721"/>
      <c r="X102" s="2721"/>
      <c r="Y102" s="2721"/>
      <c r="Z102" s="2721"/>
      <c r="AA102" s="2721"/>
      <c r="AB102" s="2721"/>
      <c r="AC102" s="2721"/>
    </row>
    <row r="103" spans="1:29" ht="29.25" thickTop="1">
      <c r="A103" s="483"/>
      <c r="B103" s="487" t="s">
        <v>1735</v>
      </c>
      <c r="C103" s="527" t="str">
        <f>C104&amp;"(含)"&amp;"-"&amp;D104</f>
        <v>0(含)-300</v>
      </c>
      <c r="D103" s="527" t="str">
        <f t="shared" ref="D103:L103" si="24">D104&amp;"(含)"&amp;"-"&amp;E104</f>
        <v>300(含)-600</v>
      </c>
      <c r="E103" s="527" t="str">
        <f t="shared" si="24"/>
        <v>600(含)-1000</v>
      </c>
      <c r="F103" s="527" t="str">
        <f t="shared" si="24"/>
        <v>1000(含)-1500</v>
      </c>
      <c r="G103" s="527" t="str">
        <f t="shared" si="24"/>
        <v>1500(含)-2000</v>
      </c>
      <c r="H103" s="527" t="str">
        <f t="shared" si="24"/>
        <v>2000(含)-</v>
      </c>
      <c r="I103" s="527" t="str">
        <f t="shared" si="24"/>
        <v>(含)-</v>
      </c>
      <c r="J103" s="527" t="str">
        <f t="shared" si="24"/>
        <v>(含)-</v>
      </c>
      <c r="K103" s="527" t="str">
        <f t="shared" si="24"/>
        <v>(含)-</v>
      </c>
      <c r="L103" s="527" t="str">
        <f t="shared" si="24"/>
        <v>(含)-</v>
      </c>
      <c r="M103" s="569"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v>0</v>
      </c>
      <c r="D104" s="544">
        <v>300</v>
      </c>
      <c r="E104" s="544">
        <v>600</v>
      </c>
      <c r="F104" s="544">
        <v>1000</v>
      </c>
      <c r="G104" s="544">
        <v>1500</v>
      </c>
      <c r="H104" s="544">
        <v>2000</v>
      </c>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v>99</v>
      </c>
      <c r="D105" s="485">
        <v>100</v>
      </c>
      <c r="E105" s="485">
        <v>99</v>
      </c>
      <c r="F105" s="485">
        <v>98</v>
      </c>
      <c r="G105" s="485">
        <f t="shared" ref="G105:H105" si="25">F105-1</f>
        <v>97</v>
      </c>
      <c r="H105" s="485">
        <f t="shared" si="25"/>
        <v>96</v>
      </c>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1736</v>
      </c>
      <c r="C106" s="3507" t="s">
        <v>3485</v>
      </c>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6">C107-$K35</f>
        <v>98</v>
      </c>
      <c r="E107" s="493">
        <f t="shared" si="26"/>
        <v>96</v>
      </c>
      <c r="F107" s="493">
        <f t="shared" si="26"/>
        <v>94</v>
      </c>
      <c r="G107" s="493">
        <f t="shared" si="26"/>
        <v>92</v>
      </c>
      <c r="H107" s="493">
        <f t="shared" si="26"/>
        <v>90</v>
      </c>
      <c r="I107" s="493">
        <f t="shared" si="26"/>
        <v>88</v>
      </c>
      <c r="J107" s="493">
        <f t="shared" si="26"/>
        <v>86</v>
      </c>
      <c r="K107" s="493">
        <f t="shared" si="26"/>
        <v>84</v>
      </c>
      <c r="L107" s="493">
        <f t="shared" si="26"/>
        <v>82</v>
      </c>
      <c r="M107" s="494">
        <f t="shared" si="26"/>
        <v>80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1738</v>
      </c>
      <c r="C108" s="3505" t="s">
        <v>3486</v>
      </c>
      <c r="D108" s="3505" t="s">
        <v>3487</v>
      </c>
      <c r="E108" s="3505" t="s">
        <v>3488</v>
      </c>
      <c r="F108" s="3508" t="s">
        <v>3489</v>
      </c>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7">C109-$K36</f>
        <v>98</v>
      </c>
      <c r="E109" s="493">
        <f t="shared" si="27"/>
        <v>96</v>
      </c>
      <c r="F109" s="493">
        <f t="shared" si="27"/>
        <v>94</v>
      </c>
      <c r="G109" s="493">
        <f t="shared" si="27"/>
        <v>92</v>
      </c>
      <c r="H109" s="493">
        <f t="shared" si="27"/>
        <v>90</v>
      </c>
      <c r="I109" s="493">
        <f t="shared" si="27"/>
        <v>88</v>
      </c>
      <c r="J109" s="493">
        <f t="shared" si="27"/>
        <v>86</v>
      </c>
      <c r="K109" s="493">
        <f t="shared" si="27"/>
        <v>84</v>
      </c>
      <c r="L109" s="493">
        <f t="shared" si="27"/>
        <v>82</v>
      </c>
      <c r="M109" s="494">
        <f t="shared" si="27"/>
        <v>80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0"/>
      <c r="J111" s="570"/>
      <c r="K111" s="571"/>
      <c r="L111" s="572"/>
      <c r="M111" s="573"/>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101</v>
      </c>
      <c r="E112" s="493">
        <f t="shared" ref="E112:M112" si="28">D112+$K37</f>
        <v>102</v>
      </c>
      <c r="F112" s="493">
        <f t="shared" si="28"/>
        <v>103</v>
      </c>
      <c r="G112" s="493">
        <f t="shared" si="28"/>
        <v>104</v>
      </c>
      <c r="H112" s="493">
        <f t="shared" si="28"/>
        <v>105</v>
      </c>
      <c r="I112" s="493">
        <f t="shared" si="28"/>
        <v>106</v>
      </c>
      <c r="J112" s="493">
        <f t="shared" si="28"/>
        <v>107</v>
      </c>
      <c r="K112" s="493">
        <f t="shared" si="28"/>
        <v>108</v>
      </c>
      <c r="L112" s="493">
        <f t="shared" si="28"/>
        <v>109</v>
      </c>
      <c r="M112" s="493">
        <f t="shared" si="28"/>
        <v>110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1822</v>
      </c>
      <c r="C113" s="3505" t="s">
        <v>3490</v>
      </c>
      <c r="D113" s="3505" t="s">
        <v>3491</v>
      </c>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9">D114-$K38</f>
        <v>100</v>
      </c>
      <c r="F114" s="493">
        <f t="shared" si="29"/>
        <v>100</v>
      </c>
      <c r="G114" s="493">
        <f t="shared" si="29"/>
        <v>100</v>
      </c>
      <c r="H114" s="493">
        <f t="shared" si="29"/>
        <v>100</v>
      </c>
      <c r="I114" s="493">
        <f t="shared" si="29"/>
        <v>100</v>
      </c>
      <c r="J114" s="493">
        <f t="shared" si="29"/>
        <v>100</v>
      </c>
      <c r="K114" s="493">
        <f t="shared" si="29"/>
        <v>100</v>
      </c>
      <c r="L114" s="493">
        <f t="shared" si="29"/>
        <v>100</v>
      </c>
      <c r="M114" s="493">
        <f t="shared" si="29"/>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1739</v>
      </c>
      <c r="C115" s="3507" t="s">
        <v>3492</v>
      </c>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30">C116-$K39</f>
        <v>98</v>
      </c>
      <c r="E116" s="493">
        <f t="shared" si="30"/>
        <v>96</v>
      </c>
      <c r="F116" s="493">
        <f t="shared" si="30"/>
        <v>94</v>
      </c>
      <c r="G116" s="493">
        <f t="shared" si="30"/>
        <v>92</v>
      </c>
      <c r="H116" s="493">
        <f t="shared" si="30"/>
        <v>90</v>
      </c>
      <c r="I116" s="493">
        <f t="shared" si="30"/>
        <v>88</v>
      </c>
      <c r="J116" s="493">
        <f t="shared" si="30"/>
        <v>86</v>
      </c>
      <c r="K116" s="493">
        <f t="shared" si="30"/>
        <v>84</v>
      </c>
      <c r="L116" s="493">
        <f t="shared" si="30"/>
        <v>82</v>
      </c>
      <c r="M116" s="494">
        <f t="shared" si="30"/>
        <v>80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1740</v>
      </c>
      <c r="C117" s="3505" t="s">
        <v>3493</v>
      </c>
      <c r="D117" s="3505" t="s">
        <v>3494</v>
      </c>
      <c r="E117" s="3505" t="s">
        <v>3495</v>
      </c>
      <c r="F117" s="3505" t="s">
        <v>3496</v>
      </c>
      <c r="G117" s="3505" t="s">
        <v>3497</v>
      </c>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3" t="s">
        <v>1823</v>
      </c>
      <c r="C119" s="3508" t="s">
        <v>3498</v>
      </c>
      <c r="D119" s="532"/>
      <c r="E119" s="532"/>
      <c r="F119" s="532"/>
      <c r="G119" s="532"/>
      <c r="H119" s="532"/>
      <c r="I119" s="532"/>
      <c r="J119" s="532"/>
      <c r="K119" s="532"/>
      <c r="L119" s="1966"/>
      <c r="M119" s="1967"/>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98</v>
      </c>
      <c r="E120" s="493">
        <f t="shared" ref="E120:M120" si="31">D120-$K41</f>
        <v>96</v>
      </c>
      <c r="F120" s="493">
        <f t="shared" si="31"/>
        <v>94</v>
      </c>
      <c r="G120" s="493">
        <f t="shared" si="31"/>
        <v>92</v>
      </c>
      <c r="H120" s="493">
        <f t="shared" si="31"/>
        <v>90</v>
      </c>
      <c r="I120" s="493">
        <f t="shared" si="31"/>
        <v>88</v>
      </c>
      <c r="J120" s="493">
        <f t="shared" si="31"/>
        <v>86</v>
      </c>
      <c r="K120" s="493">
        <f t="shared" si="31"/>
        <v>84</v>
      </c>
      <c r="L120" s="493">
        <f t="shared" si="31"/>
        <v>82</v>
      </c>
      <c r="M120" s="493">
        <f t="shared" si="31"/>
        <v>80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1806</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1742</v>
      </c>
      <c r="C123" s="3505" t="s">
        <v>3486</v>
      </c>
      <c r="D123" s="3505" t="s">
        <v>3487</v>
      </c>
      <c r="E123" s="3505" t="s">
        <v>3488</v>
      </c>
      <c r="F123" s="3508" t="s">
        <v>3489</v>
      </c>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2">C124-$K43</f>
        <v>98</v>
      </c>
      <c r="E124" s="493">
        <f t="shared" si="32"/>
        <v>96</v>
      </c>
      <c r="F124" s="493">
        <f t="shared" si="32"/>
        <v>94</v>
      </c>
      <c r="G124" s="493">
        <f t="shared" si="32"/>
        <v>92</v>
      </c>
      <c r="H124" s="493">
        <f t="shared" si="32"/>
        <v>90</v>
      </c>
      <c r="I124" s="493">
        <f t="shared" si="32"/>
        <v>88</v>
      </c>
      <c r="J124" s="493">
        <f t="shared" si="32"/>
        <v>86</v>
      </c>
      <c r="K124" s="493">
        <f t="shared" si="32"/>
        <v>84</v>
      </c>
      <c r="L124" s="493">
        <f t="shared" si="32"/>
        <v>82</v>
      </c>
      <c r="M124" s="494">
        <f t="shared" si="32"/>
        <v>80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6"/>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77" priority="20" stopIfTrue="1" operator="containsText" text="超过">
      <formula>NOT(ISERROR(SEARCH("超过",F53)))</formula>
    </cfRule>
  </conditionalFormatting>
  <conditionalFormatting sqref="H55">
    <cfRule type="containsText" dxfId="176" priority="19" stopIfTrue="1" operator="containsText" text="超过">
      <formula>NOT(ISERROR(SEARCH("超过",H55)))</formula>
    </cfRule>
  </conditionalFormatting>
  <conditionalFormatting sqref="F55">
    <cfRule type="containsText" dxfId="175" priority="18" stopIfTrue="1" operator="containsText" text="超过">
      <formula>NOT(ISERROR(SEARCH("超过",F55)))</formula>
    </cfRule>
  </conditionalFormatting>
  <conditionalFormatting sqref="F54 H54">
    <cfRule type="containsText" dxfId="174" priority="17" stopIfTrue="1" operator="containsText" text="超过">
      <formula>NOT(ISERROR(SEARCH("超过",F54)))</formula>
    </cfRule>
  </conditionalFormatting>
  <conditionalFormatting sqref="E53">
    <cfRule type="expression" dxfId="173" priority="16" stopIfTrue="1">
      <formula>$F$53="超过30%"</formula>
    </cfRule>
  </conditionalFormatting>
  <conditionalFormatting sqref="E54">
    <cfRule type="expression" dxfId="172" priority="15" stopIfTrue="1">
      <formula>$F$54="超过20%"</formula>
    </cfRule>
  </conditionalFormatting>
  <conditionalFormatting sqref="E55">
    <cfRule type="expression" dxfId="171" priority="14" stopIfTrue="1">
      <formula>$F$55="超过30%"</formula>
    </cfRule>
  </conditionalFormatting>
  <conditionalFormatting sqref="G55">
    <cfRule type="expression" dxfId="170" priority="13" stopIfTrue="1">
      <formula>$H$55="超过30%"</formula>
    </cfRule>
  </conditionalFormatting>
  <conditionalFormatting sqref="G53">
    <cfRule type="expression" dxfId="169" priority="12" stopIfTrue="1">
      <formula>$H$53="超过30%"</formula>
    </cfRule>
  </conditionalFormatting>
  <conditionalFormatting sqref="G54">
    <cfRule type="expression" dxfId="168" priority="11" stopIfTrue="1">
      <formula>$H$54="超过20%"</formula>
    </cfRule>
  </conditionalFormatting>
  <conditionalFormatting sqref="J53">
    <cfRule type="containsText" dxfId="167" priority="10" stopIfTrue="1" operator="containsText" text="超过">
      <formula>NOT(ISERROR(SEARCH("超过",J53)))</formula>
    </cfRule>
  </conditionalFormatting>
  <conditionalFormatting sqref="J55">
    <cfRule type="containsText" dxfId="166" priority="9" stopIfTrue="1" operator="containsText" text="超过">
      <formula>NOT(ISERROR(SEARCH("超过",J55)))</formula>
    </cfRule>
  </conditionalFormatting>
  <conditionalFormatting sqref="J54">
    <cfRule type="containsText" dxfId="165" priority="8" stopIfTrue="1" operator="containsText" text="超过">
      <formula>NOT(ISERROR(SEARCH("超过",J54)))</formula>
    </cfRule>
  </conditionalFormatting>
  <conditionalFormatting sqref="I53">
    <cfRule type="expression" dxfId="164" priority="7" stopIfTrue="1">
      <formula>$J$53="超过30%"</formula>
    </cfRule>
  </conditionalFormatting>
  <conditionalFormatting sqref="I54">
    <cfRule type="expression" dxfId="163" priority="6" stopIfTrue="1">
      <formula>$J$53+$J$54="超过20%"</formula>
    </cfRule>
  </conditionalFormatting>
  <conditionalFormatting sqref="I55">
    <cfRule type="expression" dxfId="162" priority="5" stopIfTrue="1">
      <formula>$J$55="超过30%"</formula>
    </cfRule>
  </conditionalFormatting>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F7:F47 H7:H47 J7:J47">
    <cfRule type="cellIs" dxfId="15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85" zoomScaleNormal="70" zoomScaleSheetLayoutView="85" workbookViewId="0">
      <selection activeCell="F36" sqref="F36"/>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875</v>
      </c>
      <c r="B1" s="712"/>
      <c r="C1" s="1377" t="s">
        <v>21</v>
      </c>
      <c r="D1" s="1360" t="s">
        <v>43</v>
      </c>
      <c r="E1" s="1361" t="s">
        <v>676</v>
      </c>
      <c r="F1" s="1061">
        <f ca="1">J53</f>
        <v>29.63</v>
      </c>
      <c r="G1" s="1376">
        <f>MATCH(C1,'数据-取费表'!A6:A16,0)+5</f>
        <v>7</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876</v>
      </c>
      <c r="B2" s="3421">
        <f ca="1">ROUND(D2/10000,4)</f>
        <v>595.50990000000002</v>
      </c>
      <c r="C2" s="1385" t="s">
        <v>877</v>
      </c>
      <c r="D2" s="1469">
        <f ca="1">C40+J29+L46</f>
        <v>5955099</v>
      </c>
      <c r="E2" s="1386" t="s">
        <v>878</v>
      </c>
      <c r="F2" s="1387"/>
      <c r="G2" s="2702"/>
      <c r="H2" s="2691"/>
      <c r="I2" s="2691"/>
      <c r="J2" s="2691"/>
      <c r="K2" s="2692"/>
      <c r="L2" s="2691"/>
      <c r="M2" s="2691"/>
    </row>
    <row r="3" spans="1:37" ht="18" customHeight="1" thickBot="1">
      <c r="A3" s="1388" t="s">
        <v>879</v>
      </c>
      <c r="B3" s="1389">
        <f ca="1">IF(ISERROR(D2/F43),0,ROUND(D2/F43,0))</f>
        <v>28887</v>
      </c>
      <c r="C3" s="1385" t="s">
        <v>880</v>
      </c>
      <c r="D3" s="1385"/>
      <c r="E3" s="1386"/>
      <c r="F3" s="1387"/>
      <c r="G3" s="2702"/>
      <c r="H3" s="682" t="s">
        <v>874</v>
      </c>
      <c r="I3" s="1380"/>
      <c r="J3" s="1380"/>
      <c r="K3" s="1381"/>
      <c r="L3" s="1380"/>
      <c r="M3" s="1380"/>
    </row>
    <row r="4" spans="1:37" ht="18" customHeight="1">
      <c r="A4" s="295" t="s">
        <v>881</v>
      </c>
      <c r="B4" s="296" t="s">
        <v>882</v>
      </c>
      <c r="C4" s="296" t="s">
        <v>883</v>
      </c>
      <c r="D4" s="296" t="s">
        <v>884</v>
      </c>
      <c r="E4" s="297" t="s">
        <v>885</v>
      </c>
      <c r="F4" s="298"/>
      <c r="G4" s="1382"/>
      <c r="H4" s="295" t="s">
        <v>881</v>
      </c>
      <c r="I4" s="296" t="s">
        <v>882</v>
      </c>
      <c r="J4" s="296" t="s">
        <v>883</v>
      </c>
      <c r="K4" s="296" t="s">
        <v>884</v>
      </c>
      <c r="L4" s="297" t="s">
        <v>885</v>
      </c>
      <c r="M4" s="298"/>
    </row>
    <row r="5" spans="1:37" ht="18" customHeight="1">
      <c r="A5" s="299">
        <v>1</v>
      </c>
      <c r="B5" s="300" t="s">
        <v>886</v>
      </c>
      <c r="C5" s="1069">
        <f ca="1">C6+C10+C12</f>
        <v>406830</v>
      </c>
      <c r="D5" s="1362" t="s">
        <v>887</v>
      </c>
      <c r="E5" s="1070"/>
      <c r="F5" s="1071"/>
      <c r="G5" s="1382"/>
      <c r="H5" s="299">
        <v>1</v>
      </c>
      <c r="I5" s="300" t="s">
        <v>886</v>
      </c>
      <c r="J5" s="1069">
        <f ca="1">J6+J10+J12</f>
        <v>0</v>
      </c>
      <c r="K5" s="1362" t="s">
        <v>887</v>
      </c>
      <c r="L5" s="1070"/>
      <c r="M5" s="1071"/>
    </row>
    <row r="6" spans="1:37" ht="18" customHeight="1">
      <c r="A6" s="1068" t="s">
        <v>398</v>
      </c>
      <c r="B6" s="3710" t="s">
        <v>692</v>
      </c>
      <c r="C6" s="1073">
        <f ca="1">ROUND(F6*F8*F7*(1-F9),0)</f>
        <v>406322</v>
      </c>
      <c r="D6" s="155" t="s">
        <v>2103</v>
      </c>
      <c r="E6" s="302" t="s">
        <v>694</v>
      </c>
      <c r="F6" s="303">
        <f ca="1">INDIRECT("'数据-取费表'!u"&amp;$G$1)</f>
        <v>6</v>
      </c>
      <c r="G6" s="1382"/>
      <c r="H6" s="1068" t="s">
        <v>398</v>
      </c>
      <c r="I6" s="3710" t="s">
        <v>692</v>
      </c>
      <c r="J6" s="301">
        <f ca="1">ROUND(M6*M8*M7*(1-M9),0)</f>
        <v>0</v>
      </c>
      <c r="K6" s="1374" t="s">
        <v>2104</v>
      </c>
      <c r="L6" s="302" t="s">
        <v>694</v>
      </c>
      <c r="M6" s="303">
        <f ca="1">INDIRECT("'数据-取费表'!z"&amp;$G$1)</f>
        <v>0</v>
      </c>
    </row>
    <row r="7" spans="1:37" ht="18" customHeight="1">
      <c r="A7" s="1072"/>
      <c r="B7" s="3711"/>
      <c r="C7" s="1074"/>
      <c r="D7" s="307"/>
      <c r="E7" s="1075" t="s">
        <v>695</v>
      </c>
      <c r="F7" s="303">
        <f ca="1">IF(INDIRECT("'数据-取费表'!ah"&amp;$G$1)="",INDIRECT("'数据-取费表'!k"&amp;$G$1),INDIRECT("'数据-取费表'!ah"&amp;$G$1))</f>
        <v>206.15</v>
      </c>
      <c r="G7" s="1382"/>
      <c r="H7" s="304"/>
      <c r="I7" s="3711"/>
      <c r="J7" s="306"/>
      <c r="K7" s="307"/>
      <c r="L7" s="302" t="s">
        <v>695</v>
      </c>
      <c r="M7" s="303">
        <f ca="1">F7</f>
        <v>206.15</v>
      </c>
    </row>
    <row r="8" spans="1:37" ht="18" customHeight="1">
      <c r="A8" s="304"/>
      <c r="B8" s="3711"/>
      <c r="C8" s="306"/>
      <c r="D8" s="307"/>
      <c r="E8" s="302" t="s">
        <v>696</v>
      </c>
      <c r="F8" s="303">
        <f ca="1">INDIRECT("'数据-取费表'!ai"&amp;$G$1)</f>
        <v>365</v>
      </c>
      <c r="G8" s="1382"/>
      <c r="H8" s="304"/>
      <c r="I8" s="3711"/>
      <c r="J8" s="306"/>
      <c r="K8" s="307"/>
      <c r="L8" s="302" t="s">
        <v>696</v>
      </c>
      <c r="M8" s="303">
        <f ca="1">INDIRECT("'数据-取费表'!ai"&amp;$G$1)</f>
        <v>365</v>
      </c>
    </row>
    <row r="9" spans="1:37" ht="18" customHeight="1">
      <c r="A9" s="304"/>
      <c r="B9" s="3712"/>
      <c r="C9" s="306"/>
      <c r="D9" s="307"/>
      <c r="E9" s="302" t="s">
        <v>697</v>
      </c>
      <c r="F9" s="312">
        <f ca="1">INDIRECT("'数据-取费表'!w"&amp;$G$1)</f>
        <v>0.1</v>
      </c>
      <c r="G9" s="1382"/>
      <c r="H9" s="304"/>
      <c r="I9" s="3712"/>
      <c r="J9" s="306"/>
      <c r="K9" s="307"/>
      <c r="L9" s="313" t="s">
        <v>697</v>
      </c>
      <c r="M9" s="314">
        <f ca="1">INDIRECT("'数据-取费表'!ab"&amp;$G$1)</f>
        <v>0</v>
      </c>
    </row>
    <row r="10" spans="1:37" ht="18" customHeight="1">
      <c r="A10" s="1068" t="s">
        <v>402</v>
      </c>
      <c r="B10" s="1363" t="s">
        <v>698</v>
      </c>
      <c r="C10" s="316">
        <f ca="1">ROUND(IF(F10="押一",C6/12*F11,IF(F10="押二",C6/12*2*F11,IF(F10="押三",C6/12*3*F11,C11*F11))),0)</f>
        <v>508</v>
      </c>
      <c r="D10" s="1364" t="s">
        <v>2113</v>
      </c>
      <c r="E10" s="313" t="s">
        <v>699</v>
      </c>
      <c r="F10" s="1114" t="s">
        <v>3523</v>
      </c>
      <c r="G10" s="1382"/>
      <c r="H10" s="1068" t="s">
        <v>402</v>
      </c>
      <c r="I10" s="1363" t="s">
        <v>698</v>
      </c>
      <c r="J10" s="301">
        <f ca="1">ROUND(IF(M10="押一",J6/12*M11,IF(M10="押二",J6/12*2*M11,IF(M10="押三",J6/12*3*M11,J11*M11))),0)</f>
        <v>0</v>
      </c>
      <c r="K10" s="1375" t="s">
        <v>2115</v>
      </c>
      <c r="L10" s="313" t="s">
        <v>699</v>
      </c>
      <c r="M10" s="1114"/>
    </row>
    <row r="11" spans="1:37" ht="18" customHeight="1">
      <c r="A11" s="308"/>
      <c r="B11" s="1365" t="s">
        <v>888</v>
      </c>
      <c r="C11" s="958"/>
      <c r="D11" s="307"/>
      <c r="E11" s="313" t="s">
        <v>700</v>
      </c>
      <c r="F11" s="314">
        <f ca="1">'数据-取费表'!B39</f>
        <v>1.4999999999999999E-2</v>
      </c>
      <c r="G11" s="1382"/>
      <c r="H11" s="1076"/>
      <c r="I11" s="1365" t="s">
        <v>889</v>
      </c>
      <c r="J11" s="958"/>
      <c r="K11" s="683"/>
      <c r="L11" s="313" t="s">
        <v>700</v>
      </c>
      <c r="M11" s="861">
        <f ca="1">'数据-取费表'!B39</f>
        <v>1.4999999999999999E-2</v>
      </c>
    </row>
    <row r="12" spans="1:37" ht="18" customHeight="1" thickBot="1">
      <c r="A12" s="1081" t="s">
        <v>437</v>
      </c>
      <c r="B12" s="1367" t="s">
        <v>701</v>
      </c>
      <c r="C12" s="1082"/>
      <c r="D12" s="1083"/>
      <c r="E12" s="1088"/>
      <c r="F12" s="1084"/>
      <c r="G12" s="1382"/>
      <c r="H12" s="1081" t="s">
        <v>437</v>
      </c>
      <c r="I12" s="1367" t="s">
        <v>701</v>
      </c>
      <c r="J12" s="1082"/>
      <c r="K12" s="1096"/>
      <c r="L12" s="1088"/>
      <c r="M12" s="1097"/>
    </row>
    <row r="13" spans="1:37" ht="18" customHeight="1" thickTop="1">
      <c r="A13" s="1077">
        <v>2</v>
      </c>
      <c r="B13" s="1078" t="s">
        <v>702</v>
      </c>
      <c r="C13" s="310">
        <f ca="1">ROUND(C29*F13,0)</f>
        <v>1054669</v>
      </c>
      <c r="D13" s="1079" t="s">
        <v>703</v>
      </c>
      <c r="E13" s="1079" t="s">
        <v>704</v>
      </c>
      <c r="F13" s="1080">
        <f ca="1">INDIRECT("'数据-取费表'!y"&amp;$G$1)</f>
        <v>0.78</v>
      </c>
      <c r="G13" s="1382"/>
      <c r="H13" s="1077">
        <v>2</v>
      </c>
      <c r="I13" s="1078" t="s">
        <v>702</v>
      </c>
      <c r="J13" s="1067">
        <f ca="1">ROUND(J14*J15,0)</f>
        <v>0</v>
      </c>
      <c r="K13" s="1085" t="s">
        <v>703</v>
      </c>
      <c r="L13" s="1390"/>
      <c r="M13" s="1391"/>
    </row>
    <row r="14" spans="1:37" ht="18" customHeight="1">
      <c r="A14" s="981" t="s">
        <v>397</v>
      </c>
      <c r="B14" s="302" t="s">
        <v>705</v>
      </c>
      <c r="C14" s="318">
        <f ca="1">ROUND(INDIRECT("'数据-取费表'!l"&amp;$G$1)*F43+'数据-取费表'!L14*INDIRECT("'数据-取费表'!S"&amp;$G$1),0)</f>
        <v>927675</v>
      </c>
      <c r="D14" s="1343" t="s">
        <v>706</v>
      </c>
      <c r="E14" s="1340"/>
      <c r="F14" s="319"/>
      <c r="G14" s="1382"/>
      <c r="H14" s="981" t="s">
        <v>398</v>
      </c>
      <c r="I14" s="302" t="s">
        <v>707</v>
      </c>
      <c r="J14" s="21">
        <f ca="1">C29</f>
        <v>1352140</v>
      </c>
      <c r="K14" s="12"/>
      <c r="L14" s="806"/>
      <c r="M14" s="807"/>
    </row>
    <row r="15" spans="1:37" s="1395" customFormat="1" ht="18" customHeight="1" thickBot="1">
      <c r="A15" s="981" t="s">
        <v>399</v>
      </c>
      <c r="B15" s="302" t="s">
        <v>708</v>
      </c>
      <c r="C15" s="21">
        <f ca="1">ROUND(C14*F15,0)</f>
        <v>46384</v>
      </c>
      <c r="D15" s="320" t="s">
        <v>709</v>
      </c>
      <c r="E15" s="320" t="s">
        <v>710</v>
      </c>
      <c r="F15" s="321">
        <f>'数据-取费表'!B33</f>
        <v>0.05</v>
      </c>
      <c r="G15" s="1394"/>
      <c r="H15" s="1087" t="s">
        <v>402</v>
      </c>
      <c r="I15" s="1088" t="s">
        <v>704</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678</v>
      </c>
      <c r="B16" s="302" t="s">
        <v>711</v>
      </c>
      <c r="C16" s="21">
        <f ca="1">ROUND(INDIRECT("'数据-取费表'!l"&amp;$G$1)*F43*F16,0)</f>
        <v>0</v>
      </c>
      <c r="D16" s="302" t="s">
        <v>709</v>
      </c>
      <c r="E16" s="302" t="s">
        <v>710</v>
      </c>
      <c r="F16" s="322">
        <f ca="1">IF(INDIRECT("'数据-取费表'!c"&amp;$G$1)="住宅",'数据-取费表'!B34,0)</f>
        <v>0</v>
      </c>
      <c r="G16" s="1382"/>
      <c r="H16" s="1077" t="s">
        <v>393</v>
      </c>
      <c r="I16" s="1078" t="s">
        <v>712</v>
      </c>
      <c r="J16" s="310">
        <f ca="1">ROUND(J17+J22+J23+J24,0)</f>
        <v>7319</v>
      </c>
      <c r="K16" s="1085" t="s">
        <v>713</v>
      </c>
      <c r="L16" s="1086"/>
      <c r="M16" s="1071"/>
    </row>
    <row r="17" spans="1:37" s="1395" customFormat="1" ht="18" customHeight="1">
      <c r="A17" s="981" t="s">
        <v>679</v>
      </c>
      <c r="B17" s="302" t="s">
        <v>714</v>
      </c>
      <c r="C17" s="21">
        <f ca="1">ROUND(F17*(F43+INDIRECT("'数据-取费表'!S"&amp;$G$1)),0)</f>
        <v>41230</v>
      </c>
      <c r="D17" s="302" t="s">
        <v>715</v>
      </c>
      <c r="E17" s="302" t="s">
        <v>716</v>
      </c>
      <c r="F17" s="23">
        <f>'数据-取费表'!B35</f>
        <v>200</v>
      </c>
      <c r="G17" s="1394"/>
      <c r="H17" s="981" t="s">
        <v>398</v>
      </c>
      <c r="I17" s="302" t="s">
        <v>717</v>
      </c>
      <c r="J17" s="2314">
        <f ca="1">ROUND(IF(AND(项目基本情况!B11="自然人",项目基本情况!B10="北京市"),J6*M17/(1+'数据-取费表'!C42),J18+J19+J20),0)</f>
        <v>558</v>
      </c>
      <c r="K17" s="1343" t="s">
        <v>718</v>
      </c>
      <c r="L17" s="1342" t="s">
        <v>719</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680</v>
      </c>
      <c r="B18" s="302" t="s">
        <v>720</v>
      </c>
      <c r="C18" s="21">
        <f ca="1">ROUND(C14*F18,0)</f>
        <v>18554</v>
      </c>
      <c r="D18" s="302" t="s">
        <v>709</v>
      </c>
      <c r="E18" s="302" t="s">
        <v>710</v>
      </c>
      <c r="F18" s="322">
        <f>'数据-取费表'!B36</f>
        <v>0.02</v>
      </c>
      <c r="G18" s="1394"/>
      <c r="H18" s="981" t="s">
        <v>397</v>
      </c>
      <c r="I18" s="302" t="s">
        <v>721</v>
      </c>
      <c r="J18" s="21">
        <f ca="1">ROUND(J6*M18/(1+'数据-取费表'!C42),0)</f>
        <v>0</v>
      </c>
      <c r="K18" s="1342" t="s">
        <v>722</v>
      </c>
      <c r="L18" s="302" t="s">
        <v>710</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723</v>
      </c>
      <c r="C19" s="21">
        <f ca="1">SUM(C14:C18)</f>
        <v>1033843</v>
      </c>
      <c r="D19" s="131" t="s">
        <v>724</v>
      </c>
      <c r="E19" s="1358"/>
      <c r="F19" s="23"/>
      <c r="G19" s="1382"/>
      <c r="H19" s="981" t="s">
        <v>399</v>
      </c>
      <c r="I19" s="302" t="s">
        <v>725</v>
      </c>
      <c r="J19" s="21">
        <f ca="1">IF(K19="按租金收入计税",ROUND(J6*M19/(1+'数据-取费表'!C42),0),ROUND(C29*M19*0.7,0))</f>
        <v>0</v>
      </c>
      <c r="K19" s="1368" t="s">
        <v>3333</v>
      </c>
      <c r="L19" s="302" t="s">
        <v>710</v>
      </c>
      <c r="M19" s="322">
        <f>IF(K19="按租金收入计税",'数据-取费表'!B51,'数据-取费表'!B50)</f>
        <v>0.12</v>
      </c>
    </row>
    <row r="20" spans="1:37" s="1395" customFormat="1" ht="18" customHeight="1">
      <c r="A20" s="981" t="s">
        <v>402</v>
      </c>
      <c r="B20" s="302" t="s">
        <v>726</v>
      </c>
      <c r="C20" s="21">
        <f ca="1">ROUND(C19*F20,0)</f>
        <v>20677</v>
      </c>
      <c r="D20" s="323" t="s">
        <v>727</v>
      </c>
      <c r="E20" s="302" t="s">
        <v>710</v>
      </c>
      <c r="F20" s="322">
        <f>'数据-取费表'!B37</f>
        <v>0.02</v>
      </c>
      <c r="G20" s="1394"/>
      <c r="H20" s="981" t="s">
        <v>678</v>
      </c>
      <c r="I20" s="155" t="s">
        <v>728</v>
      </c>
      <c r="J20" s="22">
        <f ca="1">ROUND(M20*M21,0)</f>
        <v>558</v>
      </c>
      <c r="K20" s="324" t="s">
        <v>729</v>
      </c>
      <c r="L20" s="302" t="s">
        <v>730</v>
      </c>
      <c r="M20" s="325">
        <f>'数据-取费表'!B52</f>
        <v>24</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731</v>
      </c>
      <c r="C21" s="21" t="s">
        <v>0</v>
      </c>
      <c r="D21" s="323" t="s">
        <v>732</v>
      </c>
      <c r="E21" s="302" t="s">
        <v>733</v>
      </c>
      <c r="F21" s="322">
        <f>'数据-取费表'!B38</f>
        <v>0.02</v>
      </c>
      <c r="G21" s="1394"/>
      <c r="H21" s="326"/>
      <c r="I21" s="311"/>
      <c r="J21" s="26"/>
      <c r="K21" s="327"/>
      <c r="L21" s="302" t="s">
        <v>734</v>
      </c>
      <c r="M21" s="303">
        <f ca="1">INDIRECT("'数据-取费表'!r"&amp;$G$1)</f>
        <v>23.24</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681</v>
      </c>
      <c r="B22" s="302" t="s">
        <v>735</v>
      </c>
      <c r="C22" s="21"/>
      <c r="D22" s="131" t="str">
        <f>IF(F23&lt;=1,"单利计息。","复利计息。")&amp;"建造成本、管理费用、销售费用产生的利息。"</f>
        <v>复利计息。建造成本、管理费用、销售费用产生的利息。</v>
      </c>
      <c r="E22" s="1358"/>
      <c r="F22" s="23"/>
      <c r="G22" s="1382"/>
      <c r="H22" s="981" t="s">
        <v>402</v>
      </c>
      <c r="I22" s="302" t="s">
        <v>736</v>
      </c>
      <c r="J22" s="21">
        <f ca="1">ROUND(J14*M22,0)</f>
        <v>6761</v>
      </c>
      <c r="K22" s="1342" t="s">
        <v>737</v>
      </c>
      <c r="L22" s="302" t="s">
        <v>710</v>
      </c>
      <c r="M22" s="328">
        <f ca="1">INDIRECT("'数据-取费表'!Ak"&amp;$G$1)</f>
        <v>5.0000000000000001E-3</v>
      </c>
    </row>
    <row r="23" spans="1:37" s="1395" customFormat="1" ht="18" customHeight="1">
      <c r="A23" s="981" t="s">
        <v>397</v>
      </c>
      <c r="B23" s="302" t="s">
        <v>738</v>
      </c>
      <c r="C23" s="21">
        <f ca="1">IF('数据-取费表'!B22&lt;=1,ROUND(C19*F24*F23/2,0)+ROUND(C20*F24*F23/2,0),ROUND(C19*(POWER((1+F24),F23/2)-1),0)+ROUND(C20*(POWER((1+F24),F23/2)-1),0))</f>
        <v>35327</v>
      </c>
      <c r="D23" s="329" t="str">
        <f>IF(F23&lt;=1,"(建造成本+管理费用)×利率×(建设周期÷2)","(建造成本+管理费用)×((1+利率)^(建设周期÷2)-1)")</f>
        <v>(建造成本+管理费用)×((1+利率)^(建设周期÷2)-1)</v>
      </c>
      <c r="E23" s="302" t="s">
        <v>739</v>
      </c>
      <c r="F23" s="325">
        <f>'数据-取费表'!B20</f>
        <v>2</v>
      </c>
      <c r="G23" s="1394"/>
      <c r="H23" s="981" t="s">
        <v>437</v>
      </c>
      <c r="I23" s="302" t="s">
        <v>740</v>
      </c>
      <c r="J23" s="21">
        <f ca="1">ROUND(J13*M23,0)</f>
        <v>0</v>
      </c>
      <c r="K23" s="1342" t="s">
        <v>741</v>
      </c>
      <c r="L23" s="302" t="s">
        <v>742</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743</v>
      </c>
      <c r="B24" s="302" t="s">
        <v>744</v>
      </c>
      <c r="C24" s="21">
        <f>ROUND(IF('数据-取费表'!B22&lt;=1,F21*F24*F23/2,F21*(POWER((1+F24),F23/2)-1)),4)</f>
        <v>6.9999999999999999E-4</v>
      </c>
      <c r="D24" s="329" t="str">
        <f>IF(F23&lt;=1,"销售费用×利率×(建设周期÷2)","销售费用×((1+利率)^(建设周期÷2)-1)")</f>
        <v>销售费用×((1+利率)^(建设周期÷2)-1)</v>
      </c>
      <c r="E24" s="302" t="s">
        <v>745</v>
      </c>
      <c r="F24" s="331">
        <f>'数据-取费表'!B40</f>
        <v>3.3500000000000002E-2</v>
      </c>
      <c r="G24" s="1394"/>
      <c r="H24" s="1087" t="s">
        <v>682</v>
      </c>
      <c r="I24" s="1088" t="s">
        <v>726</v>
      </c>
      <c r="J24" s="1089">
        <f ca="1">ROUND(J5*M24,0)</f>
        <v>0</v>
      </c>
      <c r="K24" s="1090" t="s">
        <v>746</v>
      </c>
      <c r="L24" s="1088" t="s">
        <v>742</v>
      </c>
      <c r="M24" s="1084">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1" t="s">
        <v>747</v>
      </c>
      <c r="B25" s="302" t="s">
        <v>748</v>
      </c>
      <c r="C25" s="21"/>
      <c r="D25" s="131" t="s">
        <v>749</v>
      </c>
      <c r="E25" s="1358"/>
      <c r="F25" s="23"/>
      <c r="G25" s="1382"/>
      <c r="H25" s="1077" t="s">
        <v>394</v>
      </c>
      <c r="I25" s="1092" t="s">
        <v>750</v>
      </c>
      <c r="J25" s="310">
        <f ca="1">J5-J16</f>
        <v>-7319</v>
      </c>
      <c r="K25" s="1093" t="s">
        <v>751</v>
      </c>
      <c r="L25" s="1094"/>
      <c r="M25" s="1095"/>
    </row>
    <row r="26" spans="1:37" ht="18" customHeight="1">
      <c r="A26" s="981" t="s">
        <v>397</v>
      </c>
      <c r="B26" s="302" t="s">
        <v>752</v>
      </c>
      <c r="C26" s="21">
        <f ca="1">ROUND((C19+C20)*F26,0)</f>
        <v>158178</v>
      </c>
      <c r="D26" s="323" t="s">
        <v>753</v>
      </c>
      <c r="E26" s="313" t="s">
        <v>754</v>
      </c>
      <c r="F26" s="312">
        <f ca="1">INDIRECT("'数据-取费表'!q"&amp;$G$1)</f>
        <v>0.15</v>
      </c>
      <c r="G26" s="1382"/>
      <c r="H26" s="299" t="s">
        <v>395</v>
      </c>
      <c r="I26" s="300" t="s">
        <v>755</v>
      </c>
      <c r="J26" s="301">
        <f ca="1">IF(J5&lt;&gt;0,ROUND(J25*(1-((1+M28)/(1+M26))^M27)/(M26-M28),0),0)</f>
        <v>0</v>
      </c>
      <c r="K26" s="324" t="s">
        <v>756</v>
      </c>
      <c r="L26" s="302" t="s">
        <v>757</v>
      </c>
      <c r="M26" s="312">
        <f ca="1">INDIRECT("'数据-取费表'!I"&amp;$G$1)</f>
        <v>5.5E-2</v>
      </c>
    </row>
    <row r="27" spans="1:37" ht="18" customHeight="1">
      <c r="A27" s="981" t="s">
        <v>399</v>
      </c>
      <c r="B27" s="302" t="s">
        <v>758</v>
      </c>
      <c r="C27" s="21">
        <f ca="1">ROUND(F21*F26,4)</f>
        <v>3.0000000000000001E-3</v>
      </c>
      <c r="D27" s="323" t="s">
        <v>759</v>
      </c>
      <c r="E27" s="320"/>
      <c r="F27" s="321"/>
      <c r="G27" s="1382"/>
      <c r="H27" s="304"/>
      <c r="I27" s="305"/>
      <c r="J27" s="306"/>
      <c r="K27" s="332" t="s">
        <v>760</v>
      </c>
      <c r="L27" s="302" t="s">
        <v>761</v>
      </c>
      <c r="M27" s="333">
        <f ca="1">INDIRECT("'数据-取费表'!ag"&amp;$G$1)</f>
        <v>0</v>
      </c>
    </row>
    <row r="28" spans="1:37" s="1395" customFormat="1" ht="18" customHeight="1">
      <c r="A28" s="981" t="s">
        <v>400</v>
      </c>
      <c r="B28" s="302" t="s">
        <v>762</v>
      </c>
      <c r="C28" s="21">
        <f>ROUND(F28/(1+'数据-取费表'!C42),4)</f>
        <v>5.33E-2</v>
      </c>
      <c r="D28" s="323" t="s">
        <v>763</v>
      </c>
      <c r="E28" s="302" t="s">
        <v>710</v>
      </c>
      <c r="F28" s="322">
        <f>'数据-取费表'!B41</f>
        <v>5.6000000000000001E-2</v>
      </c>
      <c r="G28" s="1394"/>
      <c r="H28" s="308"/>
      <c r="I28" s="309"/>
      <c r="J28" s="310"/>
      <c r="K28" s="327"/>
      <c r="L28" s="302" t="s">
        <v>764</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765</v>
      </c>
      <c r="C29" s="1089">
        <f ca="1">ROUND((C19+C20+C23+C26)/(1-F21-C24-C27-C28),0)</f>
        <v>1352140</v>
      </c>
      <c r="D29" s="1090"/>
      <c r="E29" s="1088"/>
      <c r="F29" s="1091"/>
      <c r="G29" s="1394"/>
      <c r="H29" s="334" t="s">
        <v>396</v>
      </c>
      <c r="I29" s="335" t="s">
        <v>766</v>
      </c>
      <c r="J29" s="336">
        <f ca="1">ROUND(J26/(1+F40)^F41,0)</f>
        <v>0</v>
      </c>
      <c r="K29" s="337" t="s">
        <v>767</v>
      </c>
      <c r="L29" s="338"/>
      <c r="M29" s="339">
        <f ca="1">INDIRECT("'数据-取费表'!k"&amp;$G$1)</f>
        <v>206.15</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712</v>
      </c>
      <c r="C30" s="310">
        <f ca="1">ROUND(C31+C36+C37+C38,0)</f>
        <v>80550</v>
      </c>
      <c r="D30" s="1085" t="s">
        <v>713</v>
      </c>
      <c r="E30" s="1086"/>
      <c r="F30" s="1071"/>
      <c r="G30" s="1382"/>
      <c r="H30" s="2693"/>
      <c r="I30" s="1396"/>
      <c r="J30" s="1397"/>
      <c r="K30" s="2472"/>
      <c r="L30" s="2694"/>
      <c r="M30" s="2695"/>
    </row>
    <row r="31" spans="1:37" ht="18" customHeight="1">
      <c r="A31" s="981" t="s">
        <v>398</v>
      </c>
      <c r="B31" s="302" t="s">
        <v>717</v>
      </c>
      <c r="C31" s="2314">
        <f ca="1">ROUND(IF(AND(项目基本情况!B11="自然人",项目基本情况!B10="北京市"),C6*F31/(1+'数据-取费表'!C42),C32+C33+C34),0)</f>
        <v>68666</v>
      </c>
      <c r="D31" s="1343" t="s">
        <v>718</v>
      </c>
      <c r="E31" s="1342" t="s">
        <v>768</v>
      </c>
      <c r="F31" s="2313" t="str">
        <f>IF(项目基本情况!B11="企业","——",IF(M47="住宅",IF(F6*F7*F8/12/(1+'数据-取费表'!F30)&gt;100000,4%,2.5%),IF(F6*F7*F8/12/(1+'数据-取费表'!F30)&gt;100000,12%,7%)))</f>
        <v>——</v>
      </c>
      <c r="G31" s="1382"/>
      <c r="H31" s="2804" t="s">
        <v>2303</v>
      </c>
      <c r="I31" s="1396"/>
      <c r="J31" s="1397"/>
      <c r="K31" s="2472"/>
      <c r="L31" s="2694"/>
      <c r="M31" s="2695"/>
    </row>
    <row r="32" spans="1:37" ht="18" customHeight="1">
      <c r="A32" s="981" t="s">
        <v>397</v>
      </c>
      <c r="B32" s="302" t="s">
        <v>721</v>
      </c>
      <c r="C32" s="21">
        <f ca="1">IF(项目基本情况!B11="自然人","——",ROUND(C6*F32/(1+'数据-取费表'!C42),0))</f>
        <v>21671</v>
      </c>
      <c r="D32" s="1342" t="s">
        <v>722</v>
      </c>
      <c r="E32" s="302" t="s">
        <v>710</v>
      </c>
      <c r="F32" s="331">
        <f>'数据-取费表'!B41</f>
        <v>5.6000000000000001E-2</v>
      </c>
      <c r="G32" s="1382"/>
      <c r="H32" s="2693"/>
      <c r="I32" s="1396"/>
      <c r="J32" s="1397"/>
      <c r="K32" s="2472"/>
      <c r="L32" s="2694"/>
      <c r="M32" s="2695"/>
    </row>
    <row r="33" spans="1:18" ht="18" customHeight="1">
      <c r="A33" s="981" t="s">
        <v>399</v>
      </c>
      <c r="B33" s="302" t="s">
        <v>725</v>
      </c>
      <c r="C33" s="21">
        <f ca="1">IF(项目基本情况!B11="自然人","——",IF(D33="按租金收入计税",ROUND(C6*F33/(1+'数据-取费表'!C42),0),IF(D33="按房产原值计税",ROUND(C29*F33*0.7,0),INDIRECT("'数据-取费表'!Aj"&amp;$G$1))))</f>
        <v>46437</v>
      </c>
      <c r="D33" s="1368" t="s">
        <v>3333</v>
      </c>
      <c r="E33" s="302" t="s">
        <v>710</v>
      </c>
      <c r="F33" s="322">
        <f>IF(D33="按票据","——",IF(D33="按租金收入计税",'数据-取费表'!B51,'数据-取费表'!B50))</f>
        <v>0.12</v>
      </c>
      <c r="G33" s="1382"/>
      <c r="H33" s="2696"/>
      <c r="I33" s="1396"/>
      <c r="J33" s="1397"/>
      <c r="K33" s="2697"/>
      <c r="L33" s="2696"/>
      <c r="M33" s="2696"/>
    </row>
    <row r="34" spans="1:18" ht="18" customHeight="1">
      <c r="A34" s="1068" t="s">
        <v>678</v>
      </c>
      <c r="B34" s="155" t="s">
        <v>728</v>
      </c>
      <c r="C34" s="22">
        <f ca="1">IF(项目基本情况!B11="自然人","——",ROUND(F34*F35,0))</f>
        <v>558</v>
      </c>
      <c r="D34" s="324" t="s">
        <v>729</v>
      </c>
      <c r="E34" s="302" t="s">
        <v>730</v>
      </c>
      <c r="F34" s="325">
        <f>'数据-取费表'!B52</f>
        <v>24</v>
      </c>
      <c r="G34" s="1382"/>
      <c r="H34" s="2693"/>
      <c r="I34" s="1396"/>
      <c r="J34" s="1397"/>
      <c r="K34" s="2698"/>
      <c r="L34" s="2699"/>
      <c r="M34" s="2699"/>
    </row>
    <row r="35" spans="1:18" ht="18" customHeight="1">
      <c r="A35" s="1101"/>
      <c r="B35" s="1099"/>
      <c r="C35" s="26"/>
      <c r="D35" s="327"/>
      <c r="E35" s="302" t="s">
        <v>734</v>
      </c>
      <c r="F35" s="303">
        <f ca="1">INDIRECT("'数据-取费表'!r"&amp;$G$1)</f>
        <v>23.24</v>
      </c>
      <c r="G35" s="1382"/>
      <c r="H35" s="2693"/>
      <c r="I35" s="1396"/>
      <c r="J35" s="1397"/>
      <c r="K35" s="2697"/>
      <c r="L35" s="2696"/>
      <c r="M35" s="2696"/>
    </row>
    <row r="36" spans="1:18" ht="18" customHeight="1">
      <c r="A36" s="1100" t="s">
        <v>402</v>
      </c>
      <c r="B36" s="302" t="s">
        <v>736</v>
      </c>
      <c r="C36" s="21">
        <f ca="1">ROUND(C29*F36,0)</f>
        <v>6761</v>
      </c>
      <c r="D36" s="1342" t="s">
        <v>769</v>
      </c>
      <c r="E36" s="302" t="s">
        <v>710</v>
      </c>
      <c r="F36" s="328">
        <f ca="1">INDIRECT("'数据-取费表'!Ak"&amp;$G$1)</f>
        <v>5.0000000000000001E-3</v>
      </c>
      <c r="G36" s="1382"/>
      <c r="H36" s="2696"/>
      <c r="I36" s="1396"/>
      <c r="J36" s="1397"/>
      <c r="K36" s="2540"/>
      <c r="L36" s="2696"/>
      <c r="M36" s="2696"/>
    </row>
    <row r="37" spans="1:18" ht="18" customHeight="1">
      <c r="A37" s="981" t="s">
        <v>437</v>
      </c>
      <c r="B37" s="302" t="s">
        <v>740</v>
      </c>
      <c r="C37" s="21">
        <f ca="1">ROUND(C13*F37,0)</f>
        <v>1055</v>
      </c>
      <c r="D37" s="1342" t="s">
        <v>741</v>
      </c>
      <c r="E37" s="302" t="s">
        <v>742</v>
      </c>
      <c r="F37" s="330">
        <f ca="1">INDIRECT("'数据-取费表'!Al"&amp;$G$1)</f>
        <v>1E-3</v>
      </c>
      <c r="G37" s="1382"/>
      <c r="H37" s="2696"/>
      <c r="I37" s="1396"/>
      <c r="J37" s="1397"/>
      <c r="K37" s="2540"/>
      <c r="L37" s="2696"/>
      <c r="M37" s="2696"/>
    </row>
    <row r="38" spans="1:18" ht="18" customHeight="1" thickBot="1">
      <c r="A38" s="1087" t="s">
        <v>682</v>
      </c>
      <c r="B38" s="1088" t="s">
        <v>726</v>
      </c>
      <c r="C38" s="1089">
        <f ca="1">ROUND(C5*F38,0)</f>
        <v>4068</v>
      </c>
      <c r="D38" s="1090" t="s">
        <v>746</v>
      </c>
      <c r="E38" s="1088" t="s">
        <v>742</v>
      </c>
      <c r="F38" s="1084">
        <f ca="1">INDIRECT("'数据-取费表'!Am"&amp;$G$1)</f>
        <v>0.01</v>
      </c>
      <c r="G38" s="1382"/>
      <c r="H38" s="2696"/>
      <c r="I38" s="1396"/>
      <c r="J38" s="1397"/>
      <c r="K38" s="2700"/>
      <c r="L38" s="2696"/>
      <c r="M38" s="2696"/>
    </row>
    <row r="39" spans="1:18" ht="24.6" customHeight="1" thickTop="1">
      <c r="A39" s="1077" t="s">
        <v>394</v>
      </c>
      <c r="B39" s="1092" t="s">
        <v>770</v>
      </c>
      <c r="C39" s="310">
        <f ca="1">C5-C30</f>
        <v>326280</v>
      </c>
      <c r="D39" s="1093" t="s">
        <v>771</v>
      </c>
      <c r="E39" s="1094"/>
      <c r="F39" s="1095"/>
      <c r="G39" s="1382"/>
      <c r="H39" s="2696"/>
      <c r="I39" s="1396"/>
      <c r="J39" s="1397"/>
      <c r="K39" s="2700"/>
      <c r="L39" s="2696"/>
      <c r="M39" s="2696"/>
    </row>
    <row r="40" spans="1:18" ht="18" customHeight="1">
      <c r="A40" s="299" t="s">
        <v>395</v>
      </c>
      <c r="B40" s="300" t="s">
        <v>772</v>
      </c>
      <c r="C40" s="301">
        <f ca="1">ROUND(C39*(1-((1+F42)/(1+F40))^F41)/(F40-F42),0)</f>
        <v>5891646</v>
      </c>
      <c r="D40" s="324" t="s">
        <v>756</v>
      </c>
      <c r="E40" s="302" t="s">
        <v>757</v>
      </c>
      <c r="F40" s="312">
        <f ca="1">INDIRECT("'数据-取费表'!I"&amp;$G$1)</f>
        <v>5.5E-2</v>
      </c>
      <c r="G40" s="1382"/>
      <c r="H40" s="1459">
        <f ca="1">C39/C6</f>
        <v>0.80300845142522437</v>
      </c>
      <c r="I40" s="1396"/>
      <c r="J40" s="1397"/>
      <c r="K40" s="2700"/>
      <c r="L40" s="1459"/>
      <c r="M40" s="1459"/>
    </row>
    <row r="41" spans="1:18" ht="18" customHeight="1">
      <c r="A41" s="304"/>
      <c r="B41" s="305"/>
      <c r="C41" s="306"/>
      <c r="D41" s="332" t="s">
        <v>773</v>
      </c>
      <c r="E41" s="302" t="s">
        <v>761</v>
      </c>
      <c r="F41" s="333">
        <f ca="1">IF(INDIRECT("'数据-取费表'!af"&amp;$G$1)=0,INDIRECT("'数据-取费表'!ae"&amp;$G$1),INDIRECT("'数据-取费表'!af"&amp;$G$1))</f>
        <v>29.63</v>
      </c>
      <c r="G41" s="1382"/>
      <c r="H41" s="1189"/>
      <c r="I41" s="1396"/>
      <c r="J41" s="1397"/>
      <c r="K41" s="2540"/>
      <c r="L41" s="1189"/>
      <c r="M41" s="1189"/>
    </row>
    <row r="42" spans="1:18" ht="18" customHeight="1">
      <c r="A42" s="308"/>
      <c r="B42" s="309"/>
      <c r="C42" s="310"/>
      <c r="D42" s="327"/>
      <c r="E42" s="302" t="s">
        <v>764</v>
      </c>
      <c r="F42" s="312">
        <f ca="1">INDIRECT("'数据-取费表'!v"&amp;$G$1)</f>
        <v>0.02</v>
      </c>
      <c r="G42" s="1382"/>
      <c r="H42" s="1189"/>
      <c r="I42" s="1396"/>
      <c r="J42" s="1397"/>
      <c r="K42" s="2540"/>
      <c r="L42" s="1189"/>
      <c r="M42" s="1189"/>
    </row>
    <row r="43" spans="1:18" ht="18" customHeight="1" thickBot="1">
      <c r="A43" s="334" t="s">
        <v>396</v>
      </c>
      <c r="B43" s="335" t="s">
        <v>774</v>
      </c>
      <c r="C43" s="336">
        <f ca="1">ROUND(C40/F43,0)</f>
        <v>28579</v>
      </c>
      <c r="D43" s="337" t="s">
        <v>775</v>
      </c>
      <c r="E43" s="338" t="s">
        <v>776</v>
      </c>
      <c r="F43" s="339">
        <f ca="1">INDIRECT("'数据-取费表'!k"&amp;$G$1)</f>
        <v>206.15</v>
      </c>
      <c r="G43" s="1382"/>
      <c r="H43" s="1189"/>
      <c r="I43" s="1189"/>
      <c r="J43" s="1189"/>
      <c r="K43" s="2540"/>
      <c r="L43" s="1189"/>
      <c r="M43" s="1189"/>
    </row>
    <row r="44" spans="1:18" s="1382" customFormat="1" ht="18" customHeight="1">
      <c r="A44" s="1398"/>
      <c r="B44" s="1398"/>
      <c r="C44" s="1399"/>
      <c r="D44" s="1398"/>
      <c r="E44" s="1398"/>
      <c r="F44" s="1398"/>
      <c r="K44" s="1400"/>
    </row>
    <row r="45" spans="1:18" s="1382" customFormat="1" ht="18" customHeight="1" thickBot="1">
      <c r="A45" s="3427" t="s">
        <v>3349</v>
      </c>
      <c r="B45" s="1398"/>
      <c r="C45" s="1470">
        <f ca="1">ROUND((C68-C40)/10000,4)</f>
        <v>-601.274</v>
      </c>
      <c r="D45" s="3428" t="s">
        <v>3350</v>
      </c>
      <c r="E45" s="1398"/>
      <c r="F45" s="1398"/>
      <c r="O45" s="1401" t="s">
        <v>806</v>
      </c>
      <c r="P45" s="1459"/>
      <c r="Q45" s="1459"/>
      <c r="R45" s="1459"/>
    </row>
    <row r="46" spans="1:18" s="1382" customFormat="1" ht="13.5" thickBot="1">
      <c r="A46" s="1402" t="s">
        <v>807</v>
      </c>
      <c r="C46" s="1403">
        <f ca="1">ROUND(C45,0)</f>
        <v>-601</v>
      </c>
      <c r="D46" s="1404" t="str">
        <f>C2</f>
        <v>万元</v>
      </c>
      <c r="I46" s="1405" t="s">
        <v>808</v>
      </c>
      <c r="J46" s="1406"/>
      <c r="K46" s="1407"/>
      <c r="L46" s="1408">
        <f ca="1">IF(M47="住宅",0,IF(L48&gt;J51,L60,J60))</f>
        <v>63453</v>
      </c>
      <c r="O46" s="1409" t="s">
        <v>809</v>
      </c>
      <c r="P46" s="1410" t="s">
        <v>810</v>
      </c>
      <c r="Q46" s="1411" t="s">
        <v>811</v>
      </c>
      <c r="R46" s="1411" t="s">
        <v>812</v>
      </c>
    </row>
    <row r="47" spans="1:18" s="1382" customFormat="1" ht="13.5" thickBot="1">
      <c r="A47" s="945" t="s">
        <v>685</v>
      </c>
      <c r="B47" s="977" t="s">
        <v>686</v>
      </c>
      <c r="C47" s="977" t="s">
        <v>687</v>
      </c>
      <c r="D47" s="977" t="s">
        <v>688</v>
      </c>
      <c r="E47" s="1057" t="s">
        <v>689</v>
      </c>
      <c r="F47" s="1058"/>
      <c r="G47" s="721"/>
      <c r="I47" s="1412" t="s">
        <v>813</v>
      </c>
      <c r="J47" s="1413" t="s">
        <v>3461</v>
      </c>
      <c r="K47" s="1414" t="s">
        <v>814</v>
      </c>
      <c r="L47" s="1415">
        <f ca="1">INDIRECT("'数据-取费表'!d"&amp;$G$1)</f>
        <v>50</v>
      </c>
      <c r="M47" s="1378" t="str">
        <f>IF(ISNUMBER(FIND("住宅",C1)),"住宅","非住宅")</f>
        <v>非住宅</v>
      </c>
      <c r="O47" s="1416" t="s">
        <v>403</v>
      </c>
      <c r="P47" s="1417" t="s">
        <v>815</v>
      </c>
      <c r="Q47" s="1418">
        <f ca="1">C40+J29</f>
        <v>5891646</v>
      </c>
      <c r="R47" s="1418" t="s">
        <v>816</v>
      </c>
    </row>
    <row r="48" spans="1:18" s="1382" customFormat="1" ht="28.5" thickBot="1">
      <c r="A48" s="1108" t="s">
        <v>438</v>
      </c>
      <c r="B48" s="300" t="s">
        <v>690</v>
      </c>
      <c r="C48" s="1357">
        <f ca="1">C49+C53+C55</f>
        <v>0</v>
      </c>
      <c r="D48" s="1110"/>
      <c r="E48" s="1111"/>
      <c r="F48" s="961"/>
      <c r="G48" s="721"/>
      <c r="H48" s="722"/>
      <c r="I48" s="1419" t="s">
        <v>817</v>
      </c>
      <c r="J48" s="1420" t="s">
        <v>3524</v>
      </c>
      <c r="K48" s="1421" t="s">
        <v>818</v>
      </c>
      <c r="L48" s="1422">
        <f ca="1">INDIRECT("'数据-取费表'!f"&amp;$G$1)</f>
        <v>29.63</v>
      </c>
      <c r="O48" s="1416" t="s">
        <v>404</v>
      </c>
      <c r="P48" s="1417" t="s">
        <v>819</v>
      </c>
      <c r="Q48" s="1418">
        <f ca="1">J60</f>
        <v>63453</v>
      </c>
      <c r="R48" s="1418" t="s">
        <v>820</v>
      </c>
    </row>
    <row r="49" spans="1:18" s="1382" customFormat="1" ht="13.5" thickBot="1">
      <c r="A49" s="974" t="s">
        <v>439</v>
      </c>
      <c r="B49" s="1369" t="s">
        <v>777</v>
      </c>
      <c r="C49" s="1112">
        <f ca="1">ROUND(F49*F51*F50*(1-F52),0)</f>
        <v>0</v>
      </c>
      <c r="D49" s="1054" t="s">
        <v>693</v>
      </c>
      <c r="E49" s="1370" t="s">
        <v>778</v>
      </c>
      <c r="F49" s="1059"/>
      <c r="G49" s="1423"/>
      <c r="H49" s="722"/>
      <c r="I49" s="1419" t="s">
        <v>821</v>
      </c>
      <c r="J49" s="1424">
        <f>取值过程!C16</f>
        <v>2011</v>
      </c>
      <c r="K49" s="1421" t="s">
        <v>822</v>
      </c>
      <c r="L49" s="1425"/>
      <c r="O49" s="1426" t="s">
        <v>405</v>
      </c>
      <c r="P49" s="1417" t="s">
        <v>823</v>
      </c>
      <c r="Q49" s="1418">
        <f ca="1">C29</f>
        <v>1352140</v>
      </c>
      <c r="R49" s="1418" t="s">
        <v>816</v>
      </c>
    </row>
    <row r="50" spans="1:18" s="1382" customFormat="1" ht="13.5" thickBot="1">
      <c r="A50" s="975"/>
      <c r="B50" s="978"/>
      <c r="C50" s="979"/>
      <c r="D50" s="952"/>
      <c r="E50" s="1055" t="s">
        <v>695</v>
      </c>
      <c r="F50" s="1056">
        <f ca="1">F7</f>
        <v>206.15</v>
      </c>
      <c r="H50" s="722"/>
      <c r="I50" s="1419" t="s">
        <v>824</v>
      </c>
      <c r="J50" s="1427">
        <f>SUMPRODUCT((I63:I65=J47)*(J62:L62=J48)*(J63:L65))</f>
        <v>60</v>
      </c>
      <c r="K50" s="1421" t="s">
        <v>825</v>
      </c>
      <c r="L50" s="1425"/>
      <c r="M50" s="1428"/>
      <c r="O50" s="1426" t="s">
        <v>406</v>
      </c>
      <c r="P50" s="1417" t="s">
        <v>826</v>
      </c>
      <c r="Q50" s="1429">
        <f ca="1">J58</f>
        <v>0.4</v>
      </c>
      <c r="R50" s="1418"/>
    </row>
    <row r="51" spans="1:18" s="1382" customFormat="1" ht="13.5" thickBot="1">
      <c r="A51" s="976"/>
      <c r="B51" s="978"/>
      <c r="C51" s="979"/>
      <c r="D51" s="952"/>
      <c r="E51" s="980" t="s">
        <v>696</v>
      </c>
      <c r="F51" s="303">
        <f ca="1">F8</f>
        <v>365</v>
      </c>
      <c r="I51" s="1430" t="s">
        <v>827</v>
      </c>
      <c r="J51" s="1431">
        <f>IF(J49="",J50,J49+J50-YEAR('数据-取费表'!B2))</f>
        <v>47</v>
      </c>
      <c r="K51" s="1432" t="s">
        <v>828</v>
      </c>
      <c r="L51" s="1433">
        <f ca="1">ROUND(-PV(INDIRECT("'数据-取费表'!h"&amp;$G$1),J51,(C39-C13*C76),0),0)</f>
        <v>4539364</v>
      </c>
      <c r="M51" s="1434"/>
      <c r="O51" s="1426" t="s">
        <v>407</v>
      </c>
      <c r="P51" s="1417" t="s">
        <v>829</v>
      </c>
      <c r="Q51" s="1429">
        <f>J52</f>
        <v>7.4999999999999997E-2</v>
      </c>
      <c r="R51" s="1418"/>
    </row>
    <row r="52" spans="1:18" s="1382" customFormat="1" ht="13.5" thickBot="1">
      <c r="A52" s="976"/>
      <c r="B52" s="978"/>
      <c r="C52" s="979"/>
      <c r="D52" s="952"/>
      <c r="E52" s="980" t="s">
        <v>697</v>
      </c>
      <c r="F52" s="1053"/>
      <c r="I52" s="1435" t="s">
        <v>830</v>
      </c>
      <c r="J52" s="1436">
        <v>7.4999999999999997E-2</v>
      </c>
      <c r="K52" s="1435" t="s">
        <v>831</v>
      </c>
      <c r="L52" s="1436"/>
      <c r="O52" s="1426" t="s">
        <v>408</v>
      </c>
      <c r="P52" s="1417" t="s">
        <v>832</v>
      </c>
      <c r="Q52" s="1418">
        <f ca="1">J53</f>
        <v>29.63</v>
      </c>
      <c r="R52" s="1418" t="s">
        <v>833</v>
      </c>
    </row>
    <row r="53" spans="1:18" s="1382" customFormat="1" ht="30.75" customHeight="1" thickBot="1">
      <c r="A53" s="1109" t="s">
        <v>440</v>
      </c>
      <c r="B53" s="323" t="s">
        <v>698</v>
      </c>
      <c r="C53" s="316">
        <f ca="1">ROUND(IF(F53="押一",C49/12*F11,IF(F53="押二",C49/12*2*F11,IF(F53="押三",C49/12*3*F11,C54*F11))),0)</f>
        <v>0</v>
      </c>
      <c r="D53" s="1364" t="s">
        <v>2116</v>
      </c>
      <c r="E53" s="313" t="s">
        <v>699</v>
      </c>
      <c r="F53" s="1114"/>
      <c r="I53" s="1437" t="s">
        <v>834</v>
      </c>
      <c r="J53" s="2166">
        <f ca="1">IF(M47="住宅",IF(D1="——",MAX(J51,L48),MAX(J51,L48-'数据-取费表'!B24)),IF(D1="——",MIN(J51,L48),MIN(J51,L48-'数据-取费表'!B24)))</f>
        <v>29.63</v>
      </c>
      <c r="K53" s="3708" t="s">
        <v>835</v>
      </c>
      <c r="L53" s="3709"/>
      <c r="O53" s="1416" t="s">
        <v>409</v>
      </c>
      <c r="P53" s="1417" t="s">
        <v>836</v>
      </c>
      <c r="Q53" s="1418">
        <f ca="1">Q47+Q48</f>
        <v>5955099</v>
      </c>
      <c r="R53" s="1418" t="s">
        <v>410</v>
      </c>
    </row>
    <row r="54" spans="1:18" s="1382" customFormat="1" ht="13.5" thickBot="1">
      <c r="A54" s="974"/>
      <c r="B54" s="1471" t="s">
        <v>889</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837</v>
      </c>
      <c r="P54" s="1379"/>
      <c r="Q54" s="1379"/>
      <c r="R54" s="1379"/>
    </row>
    <row r="55" spans="1:18" s="1382" customFormat="1" ht="13.5" thickBot="1">
      <c r="A55" s="1081" t="s">
        <v>437</v>
      </c>
      <c r="B55" s="1367" t="s">
        <v>701</v>
      </c>
      <c r="C55" s="1082"/>
      <c r="D55" s="1364"/>
      <c r="E55" s="1372"/>
      <c r="F55" s="1438"/>
      <c r="I55" s="1441" t="s">
        <v>838</v>
      </c>
      <c r="J55" s="1442">
        <f ca="1">ROUND(IF(J47="钢混",J57/J50,1-(1-2%)*(J50-J57)/J50),3)</f>
        <v>0.28999999999999998</v>
      </c>
      <c r="K55" s="1443" t="s">
        <v>839</v>
      </c>
      <c r="L55" s="1444"/>
      <c r="O55" s="1409" t="s">
        <v>809</v>
      </c>
      <c r="P55" s="1410" t="s">
        <v>810</v>
      </c>
      <c r="Q55" s="1411" t="s">
        <v>811</v>
      </c>
      <c r="R55" s="1411" t="s">
        <v>812</v>
      </c>
    </row>
    <row r="56" spans="1:18" s="1382" customFormat="1" ht="36" customHeight="1" thickTop="1" thickBot="1">
      <c r="A56" s="956">
        <v>2</v>
      </c>
      <c r="B56" s="957" t="s">
        <v>702</v>
      </c>
      <c r="C56" s="232">
        <f ca="1">C13</f>
        <v>1054669</v>
      </c>
      <c r="D56" s="1445"/>
      <c r="E56" s="1446"/>
      <c r="F56" s="1438"/>
      <c r="I56" s="1447" t="s">
        <v>840</v>
      </c>
      <c r="J56" s="1448"/>
      <c r="K56" s="1419" t="s">
        <v>841</v>
      </c>
      <c r="L56" s="1422" t="str">
        <f ca="1">IF(L48&lt;J51,"——",L48-J51)</f>
        <v>——</v>
      </c>
      <c r="O56" s="1416" t="s">
        <v>403</v>
      </c>
      <c r="P56" s="1417" t="s">
        <v>815</v>
      </c>
      <c r="Q56" s="1418">
        <f ca="1">C40+J29</f>
        <v>5891646</v>
      </c>
      <c r="R56" s="1418" t="s">
        <v>816</v>
      </c>
    </row>
    <row r="57" spans="1:18" s="1382" customFormat="1" ht="24.75" thickBot="1">
      <c r="A57" s="1449"/>
      <c r="B57" s="949" t="s">
        <v>765</v>
      </c>
      <c r="C57" s="238">
        <f ca="1">C29</f>
        <v>1352140</v>
      </c>
      <c r="D57" s="1450"/>
      <c r="E57" s="1451"/>
      <c r="F57" s="1452"/>
      <c r="I57" s="1453" t="s">
        <v>842</v>
      </c>
      <c r="J57" s="1454">
        <f ca="1">IF(OR(M47="住宅",J51&lt;L48,J56="是"),"——",J51-L48)</f>
        <v>17.37</v>
      </c>
      <c r="K57" s="1419" t="s">
        <v>890</v>
      </c>
      <c r="L57" s="1422" t="str">
        <f ca="1">IF(L48&lt;J51,"——",IF(L55="比较法",L49,IF(L55="基准地价",L50,L51)))</f>
        <v>——</v>
      </c>
      <c r="O57" s="1416" t="s">
        <v>404</v>
      </c>
      <c r="P57" s="1417" t="s">
        <v>891</v>
      </c>
      <c r="Q57" s="1418">
        <f ca="1">L60</f>
        <v>0</v>
      </c>
      <c r="R57" s="1418" t="s">
        <v>892</v>
      </c>
    </row>
    <row r="58" spans="1:18" s="1382" customFormat="1" ht="24.75" thickBot="1">
      <c r="A58" s="315" t="s">
        <v>393</v>
      </c>
      <c r="B58" s="957" t="s">
        <v>712</v>
      </c>
      <c r="C58" s="316">
        <f ca="1">ROUND(C59+C64+C65+C66,0)</f>
        <v>8374</v>
      </c>
      <c r="D58" s="959" t="s">
        <v>713</v>
      </c>
      <c r="E58" s="960"/>
      <c r="F58" s="961"/>
      <c r="I58" s="1453" t="s">
        <v>846</v>
      </c>
      <c r="J58" s="1455">
        <f ca="1">IF(J55&lt;0.4,0.4,J55)</f>
        <v>0.4</v>
      </c>
      <c r="K58" s="1432" t="s">
        <v>893</v>
      </c>
      <c r="L58" s="1422" t="e">
        <f ca="1">ROUND(POWER(1+L52,L47-L48)*(POWER(1+L52,L48)-1)/(POWER(1+L52,L47)-1),4)</f>
        <v>#DIV/0!</v>
      </c>
      <c r="O58" s="1426" t="s">
        <v>405</v>
      </c>
      <c r="P58" s="1417" t="s">
        <v>848</v>
      </c>
      <c r="Q58" s="1418">
        <f>IF(L55="比较法",L49,IF(L55="基准地价",L50,0))</f>
        <v>0</v>
      </c>
      <c r="R58" s="1418" t="s">
        <v>816</v>
      </c>
    </row>
    <row r="59" spans="1:18" s="1382" customFormat="1" ht="24.75" thickBot="1">
      <c r="A59" s="981" t="s">
        <v>398</v>
      </c>
      <c r="B59" s="949" t="s">
        <v>717</v>
      </c>
      <c r="C59" s="2314">
        <f ca="1">ROUND(IF(AND(项目基本情况!B11="自然人",项目基本情况!B10="北京市"),C49*F59/(1+'数据-取费表'!C42),C60+C61+C62),0)</f>
        <v>558</v>
      </c>
      <c r="D59" s="962" t="s">
        <v>718</v>
      </c>
      <c r="E59" s="963" t="s">
        <v>719</v>
      </c>
      <c r="F59" s="2313" t="str">
        <f>IF(项目基本情况!B11="企业","——",IF('数据-取费表'!B10="住宅",IF(F49*F50*F51/12/(1+'数据-取费表'!F30)&gt;100000,4%,2.5%),IF(F49*F50*F51/12/(1+'数据-取费表'!F30)&gt;100000,12%,7%)))</f>
        <v>——</v>
      </c>
      <c r="I59" s="1453" t="s">
        <v>849</v>
      </c>
      <c r="J59" s="1454">
        <f ca="1">IF(OR(M47="住宅",J51&lt;L48,J56="是"),"——",ROUND(C29*J58,0))</f>
        <v>540856</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850</v>
      </c>
      <c r="Q59" s="1429">
        <f>L52</f>
        <v>0</v>
      </c>
      <c r="R59" s="1418"/>
    </row>
    <row r="60" spans="1:18" s="1382" customFormat="1" ht="16.5" thickBot="1">
      <c r="A60" s="981" t="s">
        <v>397</v>
      </c>
      <c r="B60" s="949" t="s">
        <v>721</v>
      </c>
      <c r="C60" s="21">
        <f ca="1">IF(项目基本情况!B11="自然人","——",ROUND(C48*F60/(1+'数据-取费表'!C42),0))</f>
        <v>0</v>
      </c>
      <c r="D60" s="963" t="s">
        <v>722</v>
      </c>
      <c r="E60" s="949" t="s">
        <v>710</v>
      </c>
      <c r="F60" s="331">
        <f t="shared" ref="F60:F66" si="0">F32</f>
        <v>5.6000000000000001E-2</v>
      </c>
      <c r="I60" s="1456" t="s">
        <v>851</v>
      </c>
      <c r="J60" s="1457">
        <f ca="1">IF(OR(M47="住宅",J51&lt;L48,J56="是"),"0",ROUND(J59/(1+J52)^J53,0))</f>
        <v>63453</v>
      </c>
      <c r="K60" s="1458" t="s">
        <v>852</v>
      </c>
      <c r="L60" s="1457">
        <f ca="1">IF(OR(M47="住宅",L48&lt;J51),0,ROUND(L57*(L58/L59-1),0))</f>
        <v>0</v>
      </c>
      <c r="O60" s="1426" t="s">
        <v>407</v>
      </c>
      <c r="P60" s="1417" t="s">
        <v>853</v>
      </c>
      <c r="Q60" s="1418" t="e">
        <f ca="1">L58</f>
        <v>#DIV/0!</v>
      </c>
      <c r="R60" s="1418" t="s">
        <v>854</v>
      </c>
    </row>
    <row r="61" spans="1:18" s="1382" customFormat="1" ht="13.5" thickBot="1">
      <c r="A61" s="981" t="s">
        <v>779</v>
      </c>
      <c r="B61" s="949" t="s">
        <v>780</v>
      </c>
      <c r="C61" s="21">
        <f ca="1">IF(项目基本情况!B11="自然人","——",IF(D61="按租金收入计税",ROUND(C49*F61/(1+'数据-取费表'!C42),0),IF(D61="按房产原值计税",ROUND(C57*F61*0.7,0),INDIRECT("'数据-取费表'!Aj"&amp;$G$1))))</f>
        <v>0</v>
      </c>
      <c r="D61" s="1368" t="s">
        <v>3333</v>
      </c>
      <c r="E61" s="949" t="s">
        <v>781</v>
      </c>
      <c r="F61" s="322">
        <f t="shared" si="0"/>
        <v>0.12</v>
      </c>
      <c r="I61" s="1459"/>
      <c r="J61" s="1459"/>
      <c r="K61" s="1459"/>
      <c r="L61" s="1459"/>
      <c r="O61" s="1426" t="s">
        <v>408</v>
      </c>
      <c r="P61" s="1417" t="str">
        <f>K59</f>
        <v>建筑物剩余耐用年限下的土地年期修正系数Kn</v>
      </c>
      <c r="Q61" s="1418" t="e">
        <f ca="1">L59</f>
        <v>#DIV/0!</v>
      </c>
      <c r="R61" s="1418" t="s">
        <v>855</v>
      </c>
    </row>
    <row r="62" spans="1:18" s="1382" customFormat="1" ht="13.5" thickBot="1">
      <c r="A62" s="981" t="s">
        <v>782</v>
      </c>
      <c r="B62" s="948" t="s">
        <v>783</v>
      </c>
      <c r="C62" s="22">
        <f ca="1">IF(项目基本情况!B11="自然人","——",ROUND(F62*F63,0))</f>
        <v>558</v>
      </c>
      <c r="D62" s="964" t="s">
        <v>784</v>
      </c>
      <c r="E62" s="949" t="s">
        <v>785</v>
      </c>
      <c r="F62" s="325">
        <f t="shared" si="0"/>
        <v>24</v>
      </c>
      <c r="I62" s="1460" t="s">
        <v>856</v>
      </c>
      <c r="J62" s="1461" t="s">
        <v>857</v>
      </c>
      <c r="K62" s="1461" t="s">
        <v>858</v>
      </c>
      <c r="L62" s="1461" t="s">
        <v>859</v>
      </c>
      <c r="M62" s="1462" t="s">
        <v>860</v>
      </c>
      <c r="O62" s="1416" t="s">
        <v>409</v>
      </c>
      <c r="P62" s="1417" t="s">
        <v>861</v>
      </c>
      <c r="Q62" s="1418">
        <f ca="1">Q56+Q57</f>
        <v>5891646</v>
      </c>
      <c r="R62" s="1418" t="s">
        <v>410</v>
      </c>
    </row>
    <row r="63" spans="1:18" s="1382" customFormat="1" ht="13.5" thickBot="1">
      <c r="A63" s="326"/>
      <c r="B63" s="955"/>
      <c r="C63" s="26"/>
      <c r="D63" s="965"/>
      <c r="E63" s="949" t="s">
        <v>786</v>
      </c>
      <c r="F63" s="303">
        <f t="shared" ca="1" si="0"/>
        <v>23.24</v>
      </c>
      <c r="I63" s="1460" t="s">
        <v>862</v>
      </c>
      <c r="J63" s="1461">
        <v>70</v>
      </c>
      <c r="K63" s="1461">
        <v>50</v>
      </c>
      <c r="L63" s="1461">
        <v>80</v>
      </c>
      <c r="M63" s="1463">
        <v>0.02</v>
      </c>
      <c r="O63" s="1401" t="s">
        <v>863</v>
      </c>
      <c r="P63" s="1379"/>
      <c r="Q63" s="1379"/>
      <c r="R63" s="1379"/>
    </row>
    <row r="64" spans="1:18" s="1382" customFormat="1" ht="13.5" thickBot="1">
      <c r="A64" s="981" t="s">
        <v>787</v>
      </c>
      <c r="B64" s="949" t="s">
        <v>788</v>
      </c>
      <c r="C64" s="21">
        <f ca="1">ROUND(C57*F64,0)</f>
        <v>6761</v>
      </c>
      <c r="D64" s="963" t="s">
        <v>789</v>
      </c>
      <c r="E64" s="949" t="s">
        <v>781</v>
      </c>
      <c r="F64" s="328">
        <f t="shared" ca="1" si="0"/>
        <v>5.0000000000000001E-3</v>
      </c>
      <c r="I64" s="1460" t="s">
        <v>864</v>
      </c>
      <c r="J64" s="1461">
        <v>50</v>
      </c>
      <c r="K64" s="1461">
        <v>35</v>
      </c>
      <c r="L64" s="1461">
        <v>60</v>
      </c>
      <c r="M64" s="1462">
        <v>0</v>
      </c>
      <c r="O64" s="1409" t="s">
        <v>809</v>
      </c>
      <c r="P64" s="1410" t="s">
        <v>810</v>
      </c>
      <c r="Q64" s="1411" t="s">
        <v>811</v>
      </c>
      <c r="R64" s="1411" t="s">
        <v>812</v>
      </c>
    </row>
    <row r="65" spans="1:18" s="1382" customFormat="1" ht="13.5" thickBot="1">
      <c r="A65" s="981" t="s">
        <v>790</v>
      </c>
      <c r="B65" s="949" t="s">
        <v>740</v>
      </c>
      <c r="C65" s="21">
        <f ca="1">ROUND(C56*F65,0)</f>
        <v>1055</v>
      </c>
      <c r="D65" s="963" t="s">
        <v>741</v>
      </c>
      <c r="E65" s="949" t="s">
        <v>742</v>
      </c>
      <c r="F65" s="330">
        <f t="shared" ca="1" si="0"/>
        <v>1E-3</v>
      </c>
      <c r="I65" s="1460" t="s">
        <v>865</v>
      </c>
      <c r="J65" s="1461">
        <v>40</v>
      </c>
      <c r="K65" s="1461">
        <v>30</v>
      </c>
      <c r="L65" s="1461">
        <v>50</v>
      </c>
      <c r="M65" s="1463">
        <v>0.02</v>
      </c>
      <c r="O65" s="1416" t="s">
        <v>403</v>
      </c>
      <c r="P65" s="1417" t="s">
        <v>866</v>
      </c>
      <c r="Q65" s="1418">
        <f ca="1">C40+J29</f>
        <v>5891646</v>
      </c>
      <c r="R65" s="1418" t="s">
        <v>816</v>
      </c>
    </row>
    <row r="66" spans="1:18" s="1382" customFormat="1" ht="16.5" thickBot="1">
      <c r="A66" s="981" t="s">
        <v>791</v>
      </c>
      <c r="B66" s="949" t="s">
        <v>726</v>
      </c>
      <c r="C66" s="21">
        <f ca="1">ROUND(C48*F66,0)</f>
        <v>0</v>
      </c>
      <c r="D66" s="963" t="s">
        <v>792</v>
      </c>
      <c r="E66" s="949" t="s">
        <v>710</v>
      </c>
      <c r="F66" s="312">
        <f t="shared" ca="1" si="0"/>
        <v>0.01</v>
      </c>
      <c r="O66" s="1416" t="s">
        <v>404</v>
      </c>
      <c r="P66" s="1417" t="s">
        <v>844</v>
      </c>
      <c r="Q66" s="1418">
        <f ca="1">L60</f>
        <v>0</v>
      </c>
      <c r="R66" s="1418" t="s">
        <v>867</v>
      </c>
    </row>
    <row r="67" spans="1:18" s="1382" customFormat="1" ht="16.5" thickBot="1">
      <c r="A67" s="956" t="s">
        <v>394</v>
      </c>
      <c r="B67" s="966" t="s">
        <v>750</v>
      </c>
      <c r="C67" s="316">
        <f ca="1">C48-C58</f>
        <v>-8374</v>
      </c>
      <c r="D67" s="962" t="s">
        <v>751</v>
      </c>
      <c r="E67" s="967"/>
      <c r="F67" s="968"/>
      <c r="O67" s="1426" t="s">
        <v>405</v>
      </c>
      <c r="P67" s="1417" t="s">
        <v>848</v>
      </c>
      <c r="Q67" s="1464">
        <f ca="1">L51</f>
        <v>4539364</v>
      </c>
      <c r="R67" s="1418" t="s">
        <v>868</v>
      </c>
    </row>
    <row r="68" spans="1:18" s="1382" customFormat="1" ht="16.5" thickBot="1">
      <c r="A68" s="946" t="s">
        <v>395</v>
      </c>
      <c r="B68" s="947" t="s">
        <v>772</v>
      </c>
      <c r="C68" s="301">
        <f ca="1">ROUND(C67*(1-((1+F70)/(1+F68))^F69)/(F68-F70),0)</f>
        <v>-121094</v>
      </c>
      <c r="D68" s="964" t="s">
        <v>756</v>
      </c>
      <c r="E68" s="949" t="s">
        <v>757</v>
      </c>
      <c r="F68" s="312">
        <f ca="1">F40</f>
        <v>5.5E-2</v>
      </c>
      <c r="O68" s="1426" t="s">
        <v>406</v>
      </c>
      <c r="P68" s="1465" t="s">
        <v>869</v>
      </c>
      <c r="Q68" s="1418">
        <f ca="1">ROUND(Q69-Q70*Q71,0)</f>
        <v>252453</v>
      </c>
      <c r="R68" s="1418" t="s">
        <v>414</v>
      </c>
    </row>
    <row r="69" spans="1:18" s="1382" customFormat="1" ht="13.5" thickBot="1">
      <c r="A69" s="950"/>
      <c r="B69" s="951"/>
      <c r="C69" s="306"/>
      <c r="D69" s="969" t="s">
        <v>760</v>
      </c>
      <c r="E69" s="949" t="s">
        <v>761</v>
      </c>
      <c r="F69" s="333">
        <f ca="1">F41</f>
        <v>29.63</v>
      </c>
      <c r="O69" s="1426" t="s">
        <v>411</v>
      </c>
      <c r="P69" s="1465" t="s">
        <v>870</v>
      </c>
      <c r="Q69" s="1418">
        <f ca="1">C39</f>
        <v>326280</v>
      </c>
      <c r="R69" s="1418" t="s">
        <v>816</v>
      </c>
    </row>
    <row r="70" spans="1:18" s="1382" customFormat="1" ht="13.5" thickBot="1">
      <c r="A70" s="953"/>
      <c r="B70" s="954"/>
      <c r="C70" s="310"/>
      <c r="D70" s="965"/>
      <c r="E70" s="949" t="s">
        <v>764</v>
      </c>
      <c r="F70" s="1053"/>
      <c r="O70" s="1426" t="s">
        <v>412</v>
      </c>
      <c r="P70" s="1465" t="s">
        <v>871</v>
      </c>
      <c r="Q70" s="1418">
        <f ca="1">C13</f>
        <v>1054669</v>
      </c>
      <c r="R70" s="1418" t="s">
        <v>816</v>
      </c>
    </row>
    <row r="71" spans="1:18" s="1382" customFormat="1" ht="13.5" thickBot="1">
      <c r="A71" s="970" t="s">
        <v>396</v>
      </c>
      <c r="B71" s="971" t="s">
        <v>774</v>
      </c>
      <c r="C71" s="336">
        <f ca="1">ROUND(C68/F71,0)</f>
        <v>-587</v>
      </c>
      <c r="D71" s="972" t="s">
        <v>775</v>
      </c>
      <c r="E71" s="973" t="s">
        <v>776</v>
      </c>
      <c r="F71" s="339">
        <f ca="1">F43</f>
        <v>206.15</v>
      </c>
      <c r="O71" s="1426" t="s">
        <v>413</v>
      </c>
      <c r="P71" s="1465" t="s">
        <v>872</v>
      </c>
      <c r="Q71" s="1429">
        <f ca="1">C76</f>
        <v>7.0000000000000007E-2</v>
      </c>
      <c r="R71" s="1418"/>
    </row>
    <row r="72" spans="1:18" s="1382" customFormat="1" ht="13.5" thickBot="1">
      <c r="B72" s="725"/>
      <c r="C72" s="725"/>
      <c r="O72" s="1426" t="s">
        <v>407</v>
      </c>
      <c r="P72" s="1417" t="s">
        <v>850</v>
      </c>
      <c r="Q72" s="1429">
        <f>L52</f>
        <v>0</v>
      </c>
      <c r="R72" s="1418"/>
    </row>
    <row r="73" spans="1:18" ht="16.5" thickBot="1">
      <c r="A73" s="1382"/>
      <c r="B73" s="725"/>
      <c r="C73" s="725"/>
      <c r="D73" s="1382"/>
      <c r="E73" s="1382"/>
      <c r="F73" s="1382"/>
      <c r="O73" s="1426" t="s">
        <v>408</v>
      </c>
      <c r="P73" s="1417" t="s">
        <v>853</v>
      </c>
      <c r="Q73" s="1418" t="e">
        <f ca="1">L58</f>
        <v>#DIV/0!</v>
      </c>
      <c r="R73" s="1418" t="s">
        <v>854</v>
      </c>
    </row>
    <row r="74" spans="1:18" ht="13.5" thickBot="1">
      <c r="A74" s="1382"/>
      <c r="B74" s="273" t="s">
        <v>873</v>
      </c>
      <c r="C74" s="1467"/>
      <c r="D74" s="1382"/>
      <c r="E74" s="1382"/>
      <c r="F74" s="1382"/>
      <c r="O74" s="1426" t="s">
        <v>415</v>
      </c>
      <c r="P74" s="1417" t="str">
        <f>K59</f>
        <v>建筑物剩余耐用年限下的土地年期修正系数Kn</v>
      </c>
      <c r="Q74" s="1418" t="e">
        <f ca="1">L59</f>
        <v>#DIV/0!</v>
      </c>
      <c r="R74" s="1418" t="s">
        <v>855</v>
      </c>
    </row>
    <row r="75" spans="1:18" ht="13.5" thickBot="1">
      <c r="A75" s="1382"/>
      <c r="B75" s="340" t="s">
        <v>793</v>
      </c>
      <c r="C75" s="341">
        <f ca="1">ROUND(C13*C76,0)</f>
        <v>73827</v>
      </c>
      <c r="D75" s="1382"/>
      <c r="E75" s="1382"/>
      <c r="F75" s="1382"/>
      <c r="K75" s="1400"/>
      <c r="L75" s="1382"/>
      <c r="O75" s="1416" t="s">
        <v>409</v>
      </c>
      <c r="P75" s="1417" t="s">
        <v>836</v>
      </c>
      <c r="Q75" s="1418">
        <f ca="1">Q65+Q66</f>
        <v>5891646</v>
      </c>
      <c r="R75" s="1418" t="s">
        <v>410</v>
      </c>
    </row>
    <row r="76" spans="1:18">
      <c r="B76" s="342" t="s">
        <v>794</v>
      </c>
      <c r="C76" s="343">
        <f ca="1">INDIRECT("'数据-取费表'!j"&amp;$G$1)</f>
        <v>7.0000000000000007E-2</v>
      </c>
      <c r="I76" s="1382"/>
      <c r="J76" s="1382"/>
      <c r="K76" s="1400"/>
      <c r="L76" s="1382"/>
    </row>
    <row r="77" spans="1:18">
      <c r="B77" s="344" t="s">
        <v>795</v>
      </c>
      <c r="C77" s="345"/>
      <c r="I77" s="1382"/>
      <c r="J77" s="1382"/>
      <c r="K77" s="1400"/>
      <c r="L77" s="1382"/>
    </row>
    <row r="78" spans="1:18">
      <c r="B78" s="270" t="s">
        <v>796</v>
      </c>
      <c r="C78" s="346"/>
    </row>
    <row r="79" spans="1:18">
      <c r="B79" s="340" t="s">
        <v>797</v>
      </c>
      <c r="C79" s="274">
        <f ca="1">1-C80</f>
        <v>0.77400000000000002</v>
      </c>
    </row>
    <row r="80" spans="1:18">
      <c r="B80" s="340" t="s">
        <v>798</v>
      </c>
      <c r="C80" s="274">
        <f ca="1">ROUND(C75/C39,3)</f>
        <v>0.22600000000000001</v>
      </c>
    </row>
    <row r="81" spans="2:3">
      <c r="B81" s="270" t="s">
        <v>799</v>
      </c>
      <c r="C81" s="238"/>
    </row>
    <row r="82" spans="2:3">
      <c r="B82" s="273" t="s">
        <v>800</v>
      </c>
      <c r="C82" s="275">
        <f ca="1">1-C83</f>
        <v>0.82099999999999995</v>
      </c>
    </row>
    <row r="83" spans="2:3">
      <c r="B83" s="273" t="s">
        <v>801</v>
      </c>
      <c r="C83" s="274">
        <f ca="1">ROUND(C13/C40,3)</f>
        <v>0.17899999999999999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2432</v>
      </c>
      <c r="B1" s="2828"/>
      <c r="C1" s="2840"/>
      <c r="D1" s="2840"/>
      <c r="E1" s="2829"/>
      <c r="F1" s="2830"/>
      <c r="G1" s="2831"/>
      <c r="J1" s="2834" t="s">
        <v>2311</v>
      </c>
      <c r="K1" s="2835"/>
      <c r="L1" s="2835"/>
      <c r="M1" s="2835"/>
      <c r="N1" s="2835"/>
      <c r="O1" s="2835"/>
      <c r="P1" s="2835"/>
      <c r="Q1" s="2835"/>
      <c r="R1" s="2836"/>
      <c r="S1" s="2837"/>
      <c r="T1" s="2837"/>
      <c r="U1" s="2837"/>
    </row>
    <row r="2" spans="1:22" s="2849" customFormat="1" ht="13.15" customHeight="1">
      <c r="A2" s="1383" t="s">
        <v>2312</v>
      </c>
      <c r="B2" s="2839" t="e">
        <f>IF(D2="——",C40,C40+E2)</f>
        <v>#DIV/0!</v>
      </c>
      <c r="C2" s="2840" t="s">
        <v>2313</v>
      </c>
      <c r="D2" s="3439" t="s">
        <v>3356</v>
      </c>
      <c r="E2" s="3440"/>
      <c r="F2" s="2842"/>
      <c r="G2" s="2843"/>
      <c r="H2" s="2844"/>
      <c r="I2" s="2845"/>
      <c r="J2" s="3766" t="s">
        <v>2314</v>
      </c>
      <c r="K2" s="3767"/>
      <c r="L2" s="2846" t="s">
        <v>2315</v>
      </c>
      <c r="M2" s="2846" t="s">
        <v>2316</v>
      </c>
      <c r="N2" s="2846" t="s">
        <v>2317</v>
      </c>
      <c r="O2" s="2846" t="s">
        <v>2318</v>
      </c>
      <c r="P2" s="2846" t="s">
        <v>2319</v>
      </c>
      <c r="Q2" s="2847" t="s">
        <v>2320</v>
      </c>
      <c r="R2" s="2848" t="s">
        <v>2321</v>
      </c>
      <c r="S2" s="2837"/>
      <c r="T2" s="2837"/>
      <c r="U2" s="2837"/>
      <c r="V2" s="2845"/>
    </row>
    <row r="3" spans="1:22" s="2849" customFormat="1" ht="13.15" customHeight="1">
      <c r="A3" s="2850" t="s">
        <v>2322</v>
      </c>
      <c r="B3" s="2851" t="e">
        <f>ROUND(B2*10000/B4,0)</f>
        <v>#DIV/0!</v>
      </c>
      <c r="C3" s="2840" t="s">
        <v>2323</v>
      </c>
      <c r="D3" s="2840"/>
      <c r="E3" s="2841"/>
      <c r="F3" s="2842"/>
      <c r="G3" s="2843"/>
      <c r="H3" s="2844"/>
      <c r="I3" s="2845"/>
      <c r="J3" s="3768" t="s">
        <v>2324</v>
      </c>
      <c r="K3" s="3769"/>
      <c r="L3" s="2852"/>
      <c r="M3" s="2852"/>
      <c r="N3" s="2852"/>
      <c r="O3" s="2852"/>
      <c r="P3" s="2852"/>
      <c r="Q3" s="2853"/>
      <c r="R3" s="2854">
        <f>SUM(L3:Q3)</f>
        <v>0</v>
      </c>
      <c r="S3" s="2837"/>
      <c r="T3" s="2837"/>
      <c r="U3" s="2837"/>
      <c r="V3" s="2845"/>
    </row>
    <row r="4" spans="1:22" s="2849" customFormat="1" ht="13.15" customHeight="1">
      <c r="A4" s="2855" t="s">
        <v>2325</v>
      </c>
      <c r="B4" s="2856"/>
      <c r="C4" s="2840"/>
      <c r="D4" s="2840"/>
      <c r="E4" s="2841"/>
      <c r="F4" s="2842"/>
      <c r="G4" s="2843"/>
      <c r="H4" s="2844"/>
      <c r="I4" s="2845"/>
      <c r="J4" s="3768" t="s">
        <v>2326</v>
      </c>
      <c r="K4" s="3769"/>
      <c r="L4" s="2857"/>
      <c r="M4" s="2857"/>
      <c r="N4" s="2857"/>
      <c r="O4" s="2857"/>
      <c r="P4" s="2857"/>
      <c r="Q4" s="2858"/>
      <c r="R4" s="2859">
        <f>SUM(L4:Q4)</f>
        <v>0</v>
      </c>
      <c r="S4" s="2837"/>
      <c r="T4" s="2837"/>
      <c r="U4" s="2837"/>
      <c r="V4" s="2845"/>
    </row>
    <row r="5" spans="1:22" s="2849" customFormat="1" ht="13.15" customHeight="1" thickBot="1">
      <c r="A5" s="2860" t="s">
        <v>2327</v>
      </c>
      <c r="B5" s="2861"/>
      <c r="C5" s="2840"/>
      <c r="D5" s="2862"/>
      <c r="E5" s="2842"/>
      <c r="F5" s="2842"/>
      <c r="G5" s="2843"/>
      <c r="H5" s="2844"/>
      <c r="I5" s="2845"/>
      <c r="J5" s="2863" t="s">
        <v>2328</v>
      </c>
      <c r="K5" s="2864"/>
      <c r="L5" s="2864"/>
      <c r="M5" s="2865"/>
      <c r="N5" s="2865"/>
      <c r="O5" s="2865"/>
      <c r="P5" s="2865"/>
      <c r="Q5" s="2865"/>
      <c r="R5" s="2848">
        <f>SUM(R14,R19,R24,R25,R27,R28)</f>
        <v>0</v>
      </c>
      <c r="S5" s="2837"/>
      <c r="T5" s="2837" t="s">
        <v>2329</v>
      </c>
      <c r="U5" s="2837" t="e">
        <f>ROUND(R5*10000/365/R3,1)</f>
        <v>#DIV/0!</v>
      </c>
      <c r="V5" s="2845"/>
    </row>
    <row r="6" spans="1:22" s="2849" customFormat="1" ht="13.15" customHeight="1" thickBot="1">
      <c r="A6" s="3770" t="s">
        <v>2330</v>
      </c>
      <c r="B6" s="3771"/>
      <c r="C6" s="3772"/>
      <c r="D6" s="2866"/>
      <c r="E6" s="2867"/>
      <c r="F6" s="2868"/>
      <c r="G6" s="2869"/>
      <c r="H6" s="2844"/>
      <c r="I6" s="2845"/>
      <c r="J6" s="3773">
        <v>1</v>
      </c>
      <c r="K6" s="3774" t="s">
        <v>2331</v>
      </c>
      <c r="L6" s="2870" t="s">
        <v>2332</v>
      </c>
      <c r="M6" s="2871" t="s">
        <v>2333</v>
      </c>
      <c r="N6" s="2871" t="s">
        <v>2334</v>
      </c>
      <c r="O6" s="2871" t="s">
        <v>2335</v>
      </c>
      <c r="P6" s="2871" t="s">
        <v>2336</v>
      </c>
      <c r="Q6" s="2871" t="s">
        <v>2337</v>
      </c>
      <c r="R6" s="2854" t="s">
        <v>2338</v>
      </c>
      <c r="S6" s="2837"/>
      <c r="T6" s="2837" t="s">
        <v>2339</v>
      </c>
      <c r="U6" s="2837"/>
      <c r="V6" s="2845"/>
    </row>
    <row r="7" spans="1:22" s="2849" customFormat="1" ht="13.15" customHeight="1">
      <c r="A7" s="2872" t="s">
        <v>2340</v>
      </c>
      <c r="B7" s="2873"/>
      <c r="C7" s="2874"/>
      <c r="D7" s="2875">
        <f>SUM(D9,D10,D11,D17,0)</f>
        <v>0</v>
      </c>
      <c r="E7" s="2876" t="e">
        <f>E9+E10+E11+E17</f>
        <v>#DIV/0!</v>
      </c>
      <c r="F7" s="2877"/>
      <c r="G7" s="2878"/>
      <c r="H7" s="2844"/>
      <c r="I7" s="2845"/>
      <c r="J7" s="3773"/>
      <c r="K7" s="3775"/>
      <c r="L7" s="2879" t="s">
        <v>2341</v>
      </c>
      <c r="M7" s="2880"/>
      <c r="N7" s="2856"/>
      <c r="O7" s="2881"/>
      <c r="P7" s="2881"/>
      <c r="Q7" s="2882">
        <v>365</v>
      </c>
      <c r="R7" s="2883">
        <f>ROUND(M7*N7*O7*P7*Q7/10000,0)</f>
        <v>0</v>
      </c>
      <c r="S7" s="2837"/>
      <c r="T7" s="2837" t="s">
        <v>2342</v>
      </c>
      <c r="U7" s="2837"/>
      <c r="V7" s="2845"/>
    </row>
    <row r="8" spans="1:22" s="2849" customFormat="1" ht="13.15" customHeight="1">
      <c r="A8" s="2884" t="s">
        <v>2343</v>
      </c>
      <c r="B8" s="3777" t="s">
        <v>2344</v>
      </c>
      <c r="C8" s="3778"/>
      <c r="D8" s="2885" t="s">
        <v>2345</v>
      </c>
      <c r="E8" s="2886" t="s">
        <v>2346</v>
      </c>
      <c r="F8" s="2887" t="s">
        <v>2347</v>
      </c>
      <c r="G8" s="2888"/>
      <c r="H8" s="2844"/>
      <c r="I8" s="2845"/>
      <c r="J8" s="3773"/>
      <c r="K8" s="3775"/>
      <c r="L8" s="2879" t="s">
        <v>2348</v>
      </c>
      <c r="M8" s="2880"/>
      <c r="N8" s="2856"/>
      <c r="O8" s="2881"/>
      <c r="P8" s="2881"/>
      <c r="Q8" s="2882">
        <v>365</v>
      </c>
      <c r="R8" s="2883">
        <f t="shared" ref="R8:R13" si="0">ROUND(M8*N8*O8*P8*Q8/10000,0)</f>
        <v>0</v>
      </c>
      <c r="S8" s="2837"/>
      <c r="T8" s="2837" t="s">
        <v>2349</v>
      </c>
      <c r="U8" s="2837"/>
      <c r="V8" s="2845"/>
    </row>
    <row r="9" spans="1:22" s="2849" customFormat="1" ht="13.15" customHeight="1">
      <c r="A9" s="2884">
        <v>1</v>
      </c>
      <c r="B9" s="3777" t="s">
        <v>2350</v>
      </c>
      <c r="C9" s="3778"/>
      <c r="D9" s="2885">
        <f>ROUND(D6*E9,0)</f>
        <v>0</v>
      </c>
      <c r="E9" s="2889"/>
      <c r="F9" s="2890" t="s">
        <v>2351</v>
      </c>
      <c r="G9" s="2869"/>
      <c r="H9" s="2844"/>
      <c r="I9" s="2845"/>
      <c r="J9" s="3773"/>
      <c r="K9" s="3775"/>
      <c r="L9" s="2879" t="s">
        <v>2352</v>
      </c>
      <c r="M9" s="2880"/>
      <c r="N9" s="2856"/>
      <c r="O9" s="2881"/>
      <c r="P9" s="2881"/>
      <c r="Q9" s="2882">
        <v>365</v>
      </c>
      <c r="R9" s="2883">
        <f t="shared" si="0"/>
        <v>0</v>
      </c>
      <c r="S9" s="2837"/>
      <c r="T9" s="2837"/>
      <c r="U9" s="2837"/>
      <c r="V9" s="2845"/>
    </row>
    <row r="10" spans="1:22" s="2849" customFormat="1" ht="13.15" customHeight="1">
      <c r="A10" s="2884">
        <v>2</v>
      </c>
      <c r="B10" s="3777" t="s">
        <v>2353</v>
      </c>
      <c r="C10" s="3778"/>
      <c r="D10" s="2885">
        <f>ROUND(D6*E10,0)</f>
        <v>0</v>
      </c>
      <c r="E10" s="2889"/>
      <c r="F10" s="2890" t="s">
        <v>2354</v>
      </c>
      <c r="G10" s="2869"/>
      <c r="H10" s="2844"/>
      <c r="I10" s="2845"/>
      <c r="J10" s="3773"/>
      <c r="K10" s="3775"/>
      <c r="L10" s="2879" t="s">
        <v>2355</v>
      </c>
      <c r="M10" s="2880"/>
      <c r="N10" s="2856"/>
      <c r="O10" s="2881"/>
      <c r="P10" s="2881"/>
      <c r="Q10" s="2882">
        <v>365</v>
      </c>
      <c r="R10" s="2883">
        <f t="shared" si="0"/>
        <v>0</v>
      </c>
      <c r="S10" s="2837"/>
      <c r="T10" s="2837"/>
      <c r="U10" s="2837"/>
      <c r="V10" s="2845"/>
    </row>
    <row r="11" spans="1:22" s="2849" customFormat="1" ht="13.15" customHeight="1">
      <c r="A11" s="2884">
        <v>3</v>
      </c>
      <c r="B11" s="3777" t="s">
        <v>2356</v>
      </c>
      <c r="C11" s="3778"/>
      <c r="D11" s="2885">
        <f>D12+D14+D15+D16</f>
        <v>0</v>
      </c>
      <c r="E11" s="2891" t="e">
        <f>D11/D6</f>
        <v>#DIV/0!</v>
      </c>
      <c r="F11" s="2887"/>
      <c r="G11" s="2888"/>
      <c r="H11" s="2844"/>
      <c r="I11" s="2845"/>
      <c r="J11" s="3773"/>
      <c r="K11" s="3775"/>
      <c r="L11" s="2879" t="s">
        <v>2357</v>
      </c>
      <c r="M11" s="2880"/>
      <c r="N11" s="2856"/>
      <c r="O11" s="2881"/>
      <c r="P11" s="2881"/>
      <c r="Q11" s="2882">
        <v>365</v>
      </c>
      <c r="R11" s="2883">
        <f t="shared" si="0"/>
        <v>0</v>
      </c>
      <c r="S11" s="2837"/>
      <c r="T11" s="2837"/>
      <c r="U11" s="2837"/>
      <c r="V11" s="2845"/>
    </row>
    <row r="12" spans="1:22" s="2849" customFormat="1" ht="13.15" customHeight="1">
      <c r="A12" s="2892" t="s">
        <v>2358</v>
      </c>
      <c r="B12" s="3779" t="s">
        <v>2359</v>
      </c>
      <c r="C12" s="3780"/>
      <c r="D12" s="2893">
        <f>ROUND(D13*1.2%*(1-30%),0)</f>
        <v>0</v>
      </c>
      <c r="E12" s="2894">
        <v>1.2E-2</v>
      </c>
      <c r="F12" s="2887" t="s">
        <v>2360</v>
      </c>
      <c r="G12" s="2888"/>
      <c r="H12" s="2844"/>
      <c r="I12" s="2845"/>
      <c r="J12" s="3773"/>
      <c r="K12" s="3775"/>
      <c r="L12" s="2879" t="s">
        <v>2361</v>
      </c>
      <c r="M12" s="2880"/>
      <c r="N12" s="2856"/>
      <c r="O12" s="2881"/>
      <c r="P12" s="2881"/>
      <c r="Q12" s="2882">
        <v>365</v>
      </c>
      <c r="R12" s="2883">
        <f t="shared" si="0"/>
        <v>0</v>
      </c>
      <c r="S12" s="2837"/>
      <c r="T12" s="2837"/>
      <c r="U12" s="2837"/>
      <c r="V12" s="2845"/>
    </row>
    <row r="13" spans="1:22" s="2849" customFormat="1" ht="13.15" customHeight="1">
      <c r="A13" s="2892"/>
      <c r="B13" s="2895"/>
      <c r="C13" s="2896" t="s">
        <v>2362</v>
      </c>
      <c r="D13" s="2897"/>
      <c r="E13" s="2898"/>
      <c r="F13" s="2887"/>
      <c r="G13" s="2888"/>
      <c r="H13" s="2844"/>
      <c r="I13" s="2845"/>
      <c r="J13" s="3773"/>
      <c r="K13" s="3775"/>
      <c r="L13" s="2879" t="s">
        <v>2363</v>
      </c>
      <c r="M13" s="2880"/>
      <c r="N13" s="2856"/>
      <c r="O13" s="2881"/>
      <c r="P13" s="2881"/>
      <c r="Q13" s="2882">
        <v>365</v>
      </c>
      <c r="R13" s="2883">
        <f t="shared" si="0"/>
        <v>0</v>
      </c>
      <c r="S13" s="2837"/>
      <c r="T13" s="2837"/>
      <c r="U13" s="2837"/>
      <c r="V13" s="2845"/>
    </row>
    <row r="14" spans="1:22" s="2849" customFormat="1" ht="13.15" customHeight="1">
      <c r="A14" s="2892" t="s">
        <v>2364</v>
      </c>
      <c r="B14" s="3779" t="s">
        <v>2365</v>
      </c>
      <c r="C14" s="3780"/>
      <c r="D14" s="2893">
        <f>ROUND(E14*B5/10000,0)</f>
        <v>0</v>
      </c>
      <c r="E14" s="2882"/>
      <c r="F14" s="2887" t="s">
        <v>2366</v>
      </c>
      <c r="G14" s="2888"/>
      <c r="H14" s="2844"/>
      <c r="I14" s="2845"/>
      <c r="J14" s="3773"/>
      <c r="K14" s="3776"/>
      <c r="L14" s="2899" t="s">
        <v>2367</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2368</v>
      </c>
      <c r="B15" s="3779" t="s">
        <v>2369</v>
      </c>
      <c r="C15" s="3780"/>
      <c r="D15" s="2893">
        <f>ROUND(D6*E15,0)</f>
        <v>0</v>
      </c>
      <c r="E15" s="2894">
        <v>5.5E-2</v>
      </c>
      <c r="F15" s="2887" t="s">
        <v>2370</v>
      </c>
      <c r="G15" s="2869"/>
      <c r="H15" s="2844"/>
      <c r="I15" s="2845"/>
      <c r="J15" s="3773">
        <v>2</v>
      </c>
      <c r="K15" s="3774" t="s">
        <v>2371</v>
      </c>
      <c r="L15" s="2879" t="s">
        <v>2372</v>
      </c>
      <c r="M15" s="2880" t="s">
        <v>2373</v>
      </c>
      <c r="N15" s="2880" t="s">
        <v>2374</v>
      </c>
      <c r="O15" s="2881" t="s">
        <v>2375</v>
      </c>
      <c r="P15" s="2881" t="s">
        <v>2337</v>
      </c>
      <c r="Q15" s="2856" t="s">
        <v>2376</v>
      </c>
      <c r="R15" s="2903" t="s">
        <v>2338</v>
      </c>
      <c r="S15" s="2837"/>
      <c r="T15" s="2837"/>
      <c r="U15" s="2837"/>
      <c r="V15" s="2845"/>
    </row>
    <row r="16" spans="1:22" s="2849" customFormat="1" ht="13.15" customHeight="1">
      <c r="A16" s="2892" t="s">
        <v>2377</v>
      </c>
      <c r="B16" s="3779" t="s">
        <v>2378</v>
      </c>
      <c r="C16" s="3780"/>
      <c r="D16" s="2904">
        <f>D6*E16</f>
        <v>0</v>
      </c>
      <c r="E16" s="2905"/>
      <c r="F16" s="2890" t="s">
        <v>2379</v>
      </c>
      <c r="G16" s="2869"/>
      <c r="H16" s="2844"/>
      <c r="I16" s="2845"/>
      <c r="J16" s="3773"/>
      <c r="K16" s="3775"/>
      <c r="L16" s="2879" t="s">
        <v>2380</v>
      </c>
      <c r="M16" s="2880"/>
      <c r="N16" s="2880"/>
      <c r="O16" s="2881"/>
      <c r="P16" s="2882">
        <v>365</v>
      </c>
      <c r="Q16" s="2856"/>
      <c r="R16" s="2903">
        <f>ROUND(M16*N16*O16*P16/10000,0)</f>
        <v>0</v>
      </c>
      <c r="S16" s="2837"/>
      <c r="T16" s="2837"/>
      <c r="U16" s="2837"/>
      <c r="V16" s="2845"/>
    </row>
    <row r="17" spans="1:22" s="2849" customFormat="1" ht="13.15" customHeight="1" thickBot="1">
      <c r="A17" s="2906">
        <v>4</v>
      </c>
      <c r="B17" s="3781" t="s">
        <v>2381</v>
      </c>
      <c r="C17" s="3782"/>
      <c r="D17" s="2907">
        <f>ROUND(D6*E17,0)</f>
        <v>0</v>
      </c>
      <c r="E17" s="2908"/>
      <c r="F17" s="2909" t="s">
        <v>2382</v>
      </c>
      <c r="G17" s="2869"/>
      <c r="H17" s="2844"/>
      <c r="I17" s="2845"/>
      <c r="J17" s="3773"/>
      <c r="K17" s="3775"/>
      <c r="L17" s="2879" t="s">
        <v>2383</v>
      </c>
      <c r="M17" s="2880"/>
      <c r="N17" s="2880"/>
      <c r="O17" s="2881"/>
      <c r="P17" s="2882">
        <v>365</v>
      </c>
      <c r="Q17" s="2856"/>
      <c r="R17" s="2903">
        <f>ROUND(M17*N17*O17*P17/10000,0)</f>
        <v>0</v>
      </c>
      <c r="S17" s="2837"/>
      <c r="T17" s="2837"/>
      <c r="U17" s="2837"/>
      <c r="V17" s="2845"/>
    </row>
    <row r="18" spans="1:22" s="2849" customFormat="1" ht="13.15" customHeight="1" thickBot="1">
      <c r="A18" s="2872" t="s">
        <v>2384</v>
      </c>
      <c r="B18" s="2873"/>
      <c r="C18" s="2873"/>
      <c r="D18" s="2910">
        <f>ROUND(D6*E18,0)</f>
        <v>0</v>
      </c>
      <c r="E18" s="2911"/>
      <c r="F18" s="2912" t="s">
        <v>2385</v>
      </c>
      <c r="G18" s="2869"/>
      <c r="H18" s="2844"/>
      <c r="I18" s="2845"/>
      <c r="J18" s="3773"/>
      <c r="K18" s="3775"/>
      <c r="L18" s="2879" t="s">
        <v>2386</v>
      </c>
      <c r="M18" s="2880"/>
      <c r="N18" s="2880"/>
      <c r="O18" s="2881"/>
      <c r="P18" s="2882">
        <v>365</v>
      </c>
      <c r="Q18" s="2856"/>
      <c r="R18" s="2903">
        <f>ROUND(M18*N18*O18*P18/10000,0)</f>
        <v>0</v>
      </c>
      <c r="S18" s="2837"/>
      <c r="T18" s="2837"/>
      <c r="U18" s="2837"/>
      <c r="V18" s="2845"/>
    </row>
    <row r="19" spans="1:22" s="2849" customFormat="1" ht="13.15" customHeight="1" thickBot="1">
      <c r="A19" s="2913" t="s">
        <v>2387</v>
      </c>
      <c r="B19" s="2867"/>
      <c r="C19" s="2867"/>
      <c r="D19" s="2867"/>
      <c r="E19" s="2867"/>
      <c r="F19" s="2868"/>
      <c r="G19" s="2888"/>
      <c r="H19" s="2844"/>
      <c r="I19" s="2845"/>
      <c r="J19" s="3773"/>
      <c r="K19" s="3776"/>
      <c r="L19" s="2899" t="s">
        <v>2367</v>
      </c>
      <c r="M19" s="2900"/>
      <c r="N19" s="2900">
        <f>SUM(N16:N18)</f>
        <v>0</v>
      </c>
      <c r="O19" s="2901"/>
      <c r="P19" s="2914" t="s">
        <v>2431</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73">
        <v>3</v>
      </c>
      <c r="K20" s="3774" t="s">
        <v>2388</v>
      </c>
      <c r="L20" s="2879" t="s">
        <v>2389</v>
      </c>
      <c r="M20" s="2880" t="s">
        <v>2390</v>
      </c>
      <c r="N20" s="2917" t="s">
        <v>2391</v>
      </c>
      <c r="O20" s="2881" t="s">
        <v>2392</v>
      </c>
      <c r="P20" s="2882" t="s">
        <v>2393</v>
      </c>
      <c r="Q20" s="2856" t="s">
        <v>2394</v>
      </c>
      <c r="R20" s="2903" t="s">
        <v>2395</v>
      </c>
      <c r="S20" s="2918"/>
      <c r="T20" s="2918"/>
      <c r="U20" s="2918"/>
      <c r="V20" s="2845"/>
    </row>
    <row r="21" spans="1:22" s="2849" customFormat="1" ht="13.15" customHeight="1">
      <c r="A21" s="2872"/>
      <c r="B21" s="2873"/>
      <c r="C21" s="2919" t="s">
        <v>2396</v>
      </c>
      <c r="D21" s="2920" t="s">
        <v>2397</v>
      </c>
      <c r="E21" s="2921" t="s">
        <v>2398</v>
      </c>
      <c r="F21" s="2916"/>
      <c r="G21" s="2888"/>
      <c r="H21" s="2844"/>
      <c r="I21" s="2845"/>
      <c r="J21" s="3773"/>
      <c r="K21" s="3775"/>
      <c r="L21" s="2879" t="s">
        <v>2399</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2400</v>
      </c>
      <c r="D22" s="2924" t="s">
        <v>2401</v>
      </c>
      <c r="E22" s="2925" t="s">
        <v>2402</v>
      </c>
      <c r="F22" s="2916"/>
      <c r="G22" s="2926"/>
      <c r="H22" s="2844"/>
      <c r="I22" s="2845"/>
      <c r="J22" s="3773"/>
      <c r="K22" s="3775"/>
      <c r="L22" s="2879" t="s">
        <v>2403</v>
      </c>
      <c r="M22" s="2880"/>
      <c r="N22" s="2880"/>
      <c r="O22" s="2881"/>
      <c r="P22" s="2882">
        <v>365</v>
      </c>
      <c r="Q22" s="2856"/>
      <c r="R22" s="2922">
        <f>ROUND(M22*N22*O22*P22/10000,0)</f>
        <v>0</v>
      </c>
      <c r="S22" s="2918"/>
      <c r="T22" s="2918"/>
      <c r="U22" s="2918"/>
      <c r="V22" s="2845"/>
    </row>
    <row r="23" spans="1:22" s="2849" customFormat="1" ht="13.15" customHeight="1">
      <c r="A23" s="2927">
        <v>1</v>
      </c>
      <c r="B23" s="2928" t="s">
        <v>2404</v>
      </c>
      <c r="C23" s="2929">
        <f>D6</f>
        <v>0</v>
      </c>
      <c r="D23" s="2930">
        <f>C23*(1+D24)</f>
        <v>0</v>
      </c>
      <c r="E23" s="2931">
        <f>D23*(1+E24)</f>
        <v>0</v>
      </c>
      <c r="F23" s="2932"/>
      <c r="G23" s="2933"/>
      <c r="H23" s="2844"/>
      <c r="I23" s="2845"/>
      <c r="J23" s="3773"/>
      <c r="K23" s="3775"/>
      <c r="L23" s="2879" t="s">
        <v>2405</v>
      </c>
      <c r="M23" s="2880"/>
      <c r="N23" s="2880"/>
      <c r="O23" s="2881"/>
      <c r="P23" s="2882">
        <v>365</v>
      </c>
      <c r="Q23" s="2856"/>
      <c r="R23" s="2922">
        <f>ROUND(M23*N23*O23*P23/10000,0)</f>
        <v>0</v>
      </c>
      <c r="S23" s="2837"/>
      <c r="T23" s="2837"/>
      <c r="U23" s="2837"/>
      <c r="V23" s="2845"/>
    </row>
    <row r="24" spans="1:22" s="2849" customFormat="1" ht="13.15" customHeight="1">
      <c r="A24" s="2934"/>
      <c r="B24" s="2935" t="s">
        <v>2406</v>
      </c>
      <c r="C24" s="2936"/>
      <c r="D24" s="2937"/>
      <c r="E24" s="2938"/>
      <c r="F24" s="2939"/>
      <c r="G24" s="2933"/>
      <c r="H24" s="2844"/>
      <c r="I24" s="2845"/>
      <c r="J24" s="3773"/>
      <c r="K24" s="3776"/>
      <c r="L24" s="2899" t="s">
        <v>2367</v>
      </c>
      <c r="M24" s="2900">
        <f>SUM(M21:M23)</f>
        <v>0</v>
      </c>
      <c r="N24" s="2900"/>
      <c r="O24" s="2901"/>
      <c r="P24" s="2914" t="s">
        <v>2431</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2407</v>
      </c>
      <c r="L25" s="2942"/>
      <c r="M25" s="2942"/>
      <c r="N25" s="2942"/>
      <c r="O25" s="2942"/>
      <c r="P25" s="2943"/>
      <c r="Q25" s="2944">
        <v>0</v>
      </c>
      <c r="R25" s="2915">
        <f>ROUND(R14*Q25,0)</f>
        <v>0</v>
      </c>
      <c r="S25" s="2837"/>
      <c r="T25" s="2837"/>
      <c r="U25" s="2837"/>
      <c r="V25" s="2945"/>
    </row>
    <row r="26" spans="1:22" s="2946" customFormat="1" ht="13.15" customHeight="1">
      <c r="A26" s="2927">
        <v>2</v>
      </c>
      <c r="B26" s="2928" t="s">
        <v>2408</v>
      </c>
      <c r="C26" s="2929">
        <f>D7</f>
        <v>0</v>
      </c>
      <c r="D26" s="2930">
        <f>D23*D27</f>
        <v>0</v>
      </c>
      <c r="E26" s="2931">
        <f>E23*E27</f>
        <v>0</v>
      </c>
      <c r="F26" s="2932"/>
      <c r="G26" s="2933"/>
      <c r="H26" s="2844"/>
      <c r="I26" s="2845"/>
      <c r="J26" s="3783">
        <v>5</v>
      </c>
      <c r="K26" s="2947" t="s">
        <v>2409</v>
      </c>
      <c r="L26" s="2948"/>
      <c r="M26" s="2949"/>
      <c r="N26" s="2950" t="s">
        <v>2410</v>
      </c>
      <c r="O26" s="2950" t="s">
        <v>2411</v>
      </c>
      <c r="P26" s="2951" t="s">
        <v>2412</v>
      </c>
      <c r="Q26" s="2951" t="s">
        <v>2413</v>
      </c>
      <c r="R26" s="2854" t="s">
        <v>2338</v>
      </c>
      <c r="S26" s="2952"/>
      <c r="T26" s="2952"/>
      <c r="U26" s="2952"/>
      <c r="V26" s="2945"/>
    </row>
    <row r="27" spans="1:22" s="2849" customFormat="1" ht="13.15" customHeight="1">
      <c r="A27" s="2934"/>
      <c r="B27" s="2935" t="s">
        <v>2414</v>
      </c>
      <c r="C27" s="2953" t="e">
        <f>E7</f>
        <v>#DIV/0!</v>
      </c>
      <c r="D27" s="2937"/>
      <c r="E27" s="2938"/>
      <c r="F27" s="2939"/>
      <c r="G27" s="2933"/>
      <c r="H27" s="2954"/>
      <c r="I27" s="2945"/>
      <c r="J27" s="3784"/>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2415</v>
      </c>
      <c r="F28" s="2939"/>
      <c r="G28" s="2926"/>
      <c r="H28" s="2954"/>
      <c r="I28" s="2945"/>
      <c r="J28" s="2960">
        <v>6</v>
      </c>
      <c r="K28" s="2961" t="s">
        <v>2416</v>
      </c>
      <c r="L28" s="2962" t="s">
        <v>2417</v>
      </c>
      <c r="M28" s="2963"/>
      <c r="N28" s="2962" t="s">
        <v>2418</v>
      </c>
      <c r="O28" s="2964"/>
      <c r="P28" s="2962" t="s">
        <v>2419</v>
      </c>
      <c r="Q28" s="2965">
        <v>1.4999999999999999E-2</v>
      </c>
      <c r="R28" s="2966"/>
      <c r="S28" s="2918"/>
      <c r="T28" s="2918"/>
      <c r="U28" s="2918"/>
      <c r="V28" s="2945"/>
    </row>
    <row r="29" spans="1:22" s="2946" customFormat="1" ht="13.15" customHeight="1">
      <c r="A29" s="2927">
        <v>3</v>
      </c>
      <c r="B29" s="2928" t="s">
        <v>2420</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2414</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2421</v>
      </c>
      <c r="K31" s="2835"/>
      <c r="L31" s="2835"/>
      <c r="M31" s="2835"/>
      <c r="N31" s="2835"/>
      <c r="O31" s="2835"/>
      <c r="P31" s="2835"/>
      <c r="Q31" s="2835"/>
      <c r="R31" s="2836"/>
      <c r="S31" s="2918"/>
      <c r="T31" s="2837"/>
      <c r="U31" s="2837"/>
      <c r="V31" s="2945"/>
    </row>
    <row r="32" spans="1:22" s="2946" customFormat="1" ht="13.15" customHeight="1">
      <c r="A32" s="2927">
        <v>4</v>
      </c>
      <c r="B32" s="2928" t="s">
        <v>2422</v>
      </c>
      <c r="C32" s="2929">
        <f>C23-C26-C29</f>
        <v>0</v>
      </c>
      <c r="D32" s="2930">
        <f>D23-D26-D29</f>
        <v>0</v>
      </c>
      <c r="E32" s="2931">
        <f>E23-E26-E29</f>
        <v>0</v>
      </c>
      <c r="F32" s="2932"/>
      <c r="G32" s="2926"/>
      <c r="H32" s="2844"/>
      <c r="I32" s="2845"/>
      <c r="J32" s="3766" t="s">
        <v>2314</v>
      </c>
      <c r="K32" s="3767"/>
      <c r="L32" s="2846" t="s">
        <v>2315</v>
      </c>
      <c r="M32" s="2846" t="s">
        <v>2316</v>
      </c>
      <c r="N32" s="2846" t="s">
        <v>2317</v>
      </c>
      <c r="O32" s="2846" t="s">
        <v>2318</v>
      </c>
      <c r="P32" s="2846" t="s">
        <v>2319</v>
      </c>
      <c r="Q32" s="2847" t="s">
        <v>2320</v>
      </c>
      <c r="R32" s="2969" t="s">
        <v>2321</v>
      </c>
      <c r="S32" s="2918"/>
      <c r="T32" s="2837"/>
      <c r="U32" s="2837"/>
      <c r="V32" s="2945"/>
    </row>
    <row r="33" spans="1:23" s="2849" customFormat="1" ht="13.15" customHeight="1">
      <c r="A33" s="2927"/>
      <c r="B33" s="2928"/>
      <c r="C33" s="2929"/>
      <c r="D33" s="2970"/>
      <c r="E33" s="2971"/>
      <c r="F33" s="2932"/>
      <c r="G33" s="2926"/>
      <c r="H33" s="2954"/>
      <c r="I33" s="2945"/>
      <c r="J33" s="3768" t="s">
        <v>2324</v>
      </c>
      <c r="K33" s="3769"/>
      <c r="L33" s="2852"/>
      <c r="M33" s="2852"/>
      <c r="N33" s="2852"/>
      <c r="O33" s="2852"/>
      <c r="P33" s="2852"/>
      <c r="Q33" s="2853"/>
      <c r="R33" s="2972">
        <f>SUM(L33:Q33)</f>
        <v>0</v>
      </c>
      <c r="S33" s="2918"/>
      <c r="T33" s="2837"/>
      <c r="U33" s="2837"/>
      <c r="V33" s="2845"/>
    </row>
    <row r="34" spans="1:23" s="2849" customFormat="1" ht="13.15" customHeight="1">
      <c r="A34" s="2927">
        <v>5</v>
      </c>
      <c r="B34" s="2928" t="s">
        <v>2423</v>
      </c>
      <c r="C34" s="2973"/>
      <c r="D34" s="2974"/>
      <c r="E34" s="2975"/>
      <c r="F34" s="2932"/>
      <c r="G34" s="2926"/>
      <c r="H34" s="2954"/>
      <c r="I34" s="2945"/>
      <c r="J34" s="3768" t="s">
        <v>2326</v>
      </c>
      <c r="K34" s="3769"/>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2424</v>
      </c>
      <c r="C35" s="2977"/>
      <c r="D35" s="2978"/>
      <c r="E35" s="2979"/>
      <c r="F35" s="2932"/>
      <c r="G35" s="2980"/>
      <c r="H35" s="2844"/>
      <c r="I35" s="2945"/>
      <c r="J35" s="2863" t="s">
        <v>2328</v>
      </c>
      <c r="K35" s="2864"/>
      <c r="L35" s="2864"/>
      <c r="M35" s="2865"/>
      <c r="N35" s="2865"/>
      <c r="O35" s="2865"/>
      <c r="P35" s="2865"/>
      <c r="Q35" s="2865"/>
      <c r="R35" s="2981">
        <f>R40+R41+R43</f>
        <v>0</v>
      </c>
      <c r="S35" s="2918"/>
      <c r="T35" s="2837" t="s">
        <v>2329</v>
      </c>
      <c r="U35" s="2837"/>
      <c r="V35" s="2845"/>
    </row>
    <row r="36" spans="1:23" s="2849" customFormat="1" ht="13.15" customHeight="1" thickBot="1">
      <c r="A36" s="2927">
        <v>7</v>
      </c>
      <c r="B36" s="2982" t="s">
        <v>2425</v>
      </c>
      <c r="C36" s="2983"/>
      <c r="D36" s="2984"/>
      <c r="E36" s="2985"/>
      <c r="F36" s="2986">
        <f>C36+D36+E36</f>
        <v>0</v>
      </c>
      <c r="G36" s="2926"/>
      <c r="H36" s="2844"/>
      <c r="I36" s="2845"/>
      <c r="J36" s="3773">
        <v>1</v>
      </c>
      <c r="K36" s="3774" t="s">
        <v>2426</v>
      </c>
      <c r="L36" s="2870"/>
      <c r="M36" s="2871"/>
      <c r="N36" s="2871"/>
      <c r="O36" s="2871"/>
      <c r="P36" s="2871"/>
      <c r="Q36" s="2871"/>
      <c r="R36" s="2854" t="s">
        <v>2338</v>
      </c>
      <c r="S36" s="2918"/>
      <c r="T36" s="2837" t="s">
        <v>2339</v>
      </c>
      <c r="U36" s="2837"/>
      <c r="V36" s="2845"/>
    </row>
    <row r="37" spans="1:23" s="2849" customFormat="1" ht="13.15" customHeight="1">
      <c r="A37" s="2927"/>
      <c r="B37" s="2928"/>
      <c r="C37" s="2928"/>
      <c r="D37" s="2928"/>
      <c r="E37" s="2928"/>
      <c r="F37" s="2932"/>
      <c r="G37" s="2926"/>
      <c r="H37" s="2844"/>
      <c r="I37" s="2845"/>
      <c r="J37" s="3773"/>
      <c r="K37" s="3775"/>
      <c r="L37" s="2879"/>
      <c r="M37" s="2880"/>
      <c r="N37" s="2856"/>
      <c r="O37" s="2881"/>
      <c r="P37" s="2881"/>
      <c r="Q37" s="2882"/>
      <c r="R37" s="2883"/>
      <c r="S37" s="2918"/>
      <c r="T37" s="2837" t="s">
        <v>2342</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73"/>
      <c r="K38" s="3775"/>
      <c r="L38" s="2879"/>
      <c r="M38" s="2880"/>
      <c r="N38" s="2856"/>
      <c r="O38" s="2881"/>
      <c r="P38" s="2881"/>
      <c r="Q38" s="2882"/>
      <c r="R38" s="2883"/>
      <c r="S38" s="2918"/>
      <c r="T38" s="2837" t="s">
        <v>2349</v>
      </c>
      <c r="U38" s="2837"/>
      <c r="V38" s="2845"/>
    </row>
    <row r="39" spans="1:23" s="2849" customFormat="1" ht="13.15" customHeight="1">
      <c r="A39" s="2927">
        <v>9</v>
      </c>
      <c r="B39" s="2928" t="s">
        <v>2427</v>
      </c>
      <c r="C39" s="2893" t="e">
        <f>C38</f>
        <v>#DIV/0!</v>
      </c>
      <c r="D39" s="2928">
        <f>D38/(1+D34)^C36</f>
        <v>0</v>
      </c>
      <c r="E39" s="2928">
        <f>E38/(1+E34)^(C36+D36)</f>
        <v>0</v>
      </c>
      <c r="F39" s="2932"/>
      <c r="G39" s="2987"/>
      <c r="H39" s="2844"/>
      <c r="I39" s="2845"/>
      <c r="J39" s="3773"/>
      <c r="K39" s="3775"/>
      <c r="L39" s="2879"/>
      <c r="M39" s="2880"/>
      <c r="N39" s="2856"/>
      <c r="O39" s="2881"/>
      <c r="P39" s="2881"/>
      <c r="Q39" s="2882"/>
      <c r="R39" s="2883"/>
      <c r="S39" s="2918"/>
      <c r="T39" s="2837"/>
      <c r="U39" s="2837"/>
      <c r="V39" s="2845"/>
    </row>
    <row r="40" spans="1:23" s="2849" customFormat="1" ht="13.15" customHeight="1">
      <c r="A40" s="2988">
        <v>10</v>
      </c>
      <c r="B40" s="2928" t="s">
        <v>2428</v>
      </c>
      <c r="C40" s="2989" t="e">
        <f>C39+D39+E39</f>
        <v>#DIV/0!</v>
      </c>
      <c r="D40" s="2990"/>
      <c r="E40" s="2990"/>
      <c r="F40" s="2991"/>
      <c r="G40" s="2926"/>
      <c r="H40" s="2844"/>
      <c r="I40" s="2845"/>
      <c r="J40" s="3773"/>
      <c r="K40" s="3776"/>
      <c r="L40" s="2899" t="s">
        <v>2367</v>
      </c>
      <c r="M40" s="2900"/>
      <c r="N40" s="2900"/>
      <c r="O40" s="2901"/>
      <c r="P40" s="2901"/>
      <c r="Q40" s="2902"/>
      <c r="R40" s="2848">
        <f>SUM(R37:R39)</f>
        <v>0</v>
      </c>
      <c r="S40" s="2918"/>
      <c r="T40" s="2837"/>
      <c r="U40" s="2837"/>
      <c r="V40" s="2845"/>
    </row>
    <row r="41" spans="1:23" s="2849" customFormat="1" ht="13.15" customHeight="1" thickBot="1">
      <c r="A41" s="2992">
        <v>11</v>
      </c>
      <c r="B41" s="2993" t="s">
        <v>2429</v>
      </c>
      <c r="C41" s="2993" t="e">
        <f>ROUND(C40*10000/B4,0)</f>
        <v>#DIV/0!</v>
      </c>
      <c r="D41" s="2994"/>
      <c r="E41" s="2994"/>
      <c r="F41" s="2995"/>
      <c r="G41" s="2996"/>
      <c r="H41" s="2844"/>
      <c r="I41" s="2845"/>
      <c r="J41" s="2940">
        <v>2</v>
      </c>
      <c r="K41" s="2941" t="s">
        <v>2407</v>
      </c>
      <c r="L41" s="2942"/>
      <c r="M41" s="2942"/>
      <c r="N41" s="2942"/>
      <c r="O41" s="2942"/>
      <c r="P41" s="2943"/>
      <c r="Q41" s="2944"/>
      <c r="R41" s="2915">
        <f>ROUND(R40*Q41,0)</f>
        <v>0</v>
      </c>
      <c r="S41" s="2918"/>
      <c r="T41" s="2837"/>
      <c r="U41" s="2952"/>
      <c r="V41" s="2845"/>
    </row>
    <row r="42" spans="1:23" s="2849" customFormat="1" ht="13.15" customHeight="1">
      <c r="G42" s="2996"/>
      <c r="H42" s="2844"/>
      <c r="I42" s="2845"/>
      <c r="J42" s="3783">
        <v>3</v>
      </c>
      <c r="K42" s="2947" t="s">
        <v>2409</v>
      </c>
      <c r="L42" s="2948"/>
      <c r="M42" s="2949"/>
      <c r="N42" s="2950" t="s">
        <v>2410</v>
      </c>
      <c r="O42" s="2950" t="s">
        <v>2411</v>
      </c>
      <c r="P42" s="2951" t="s">
        <v>2412</v>
      </c>
      <c r="Q42" s="2951" t="s">
        <v>2413</v>
      </c>
      <c r="R42" s="2854" t="s">
        <v>2338</v>
      </c>
      <c r="S42" s="2952"/>
      <c r="T42" s="2952"/>
      <c r="U42" s="2837"/>
      <c r="V42" s="2845"/>
    </row>
    <row r="43" spans="1:23" ht="13.15" customHeight="1">
      <c r="A43" s="2849"/>
      <c r="B43" s="2849"/>
      <c r="C43" s="2849"/>
      <c r="D43" s="2849"/>
      <c r="E43" s="2849"/>
      <c r="F43" s="2849"/>
      <c r="I43" s="2832"/>
      <c r="J43" s="3784"/>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2416</v>
      </c>
      <c r="L44" s="3000" t="s">
        <v>2417</v>
      </c>
      <c r="M44" s="2963"/>
      <c r="N44" s="3000" t="s">
        <v>2418</v>
      </c>
      <c r="O44" s="2963"/>
      <c r="P44" s="3000" t="s">
        <v>2419</v>
      </c>
      <c r="Q44" s="2965">
        <v>1.4999999999999999E-2</v>
      </c>
      <c r="R44" s="29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1656</v>
      </c>
      <c r="B1" s="1866"/>
      <c r="C1" s="1866"/>
      <c r="D1" s="1866"/>
      <c r="E1" s="1867"/>
      <c r="F1" s="2703"/>
      <c r="G1" s="1487"/>
      <c r="H1" s="1487"/>
      <c r="I1" s="1487"/>
      <c r="J1" s="1487"/>
      <c r="K1" s="1487"/>
      <c r="L1" s="1487"/>
      <c r="M1" s="1487"/>
      <c r="N1" s="1487"/>
      <c r="O1" s="1487"/>
      <c r="P1" s="1487"/>
      <c r="Q1" s="1487"/>
      <c r="R1" s="1487"/>
      <c r="S1" s="1487"/>
    </row>
    <row r="2" spans="1:22" ht="15.75">
      <c r="A2" s="1868" t="s">
        <v>1460</v>
      </c>
      <c r="B2" s="1869">
        <f ca="1">SUMIF(B6:B13,"&lt;&gt;#ref!",B6:B13)</f>
        <v>2517.1986999999999</v>
      </c>
      <c r="C2" s="1870" t="s">
        <v>1649</v>
      </c>
      <c r="D2" s="1871" t="s">
        <v>1650</v>
      </c>
      <c r="E2" s="2603">
        <f>SUM(E6:E13)</f>
        <v>616.89</v>
      </c>
      <c r="F2" s="2703"/>
      <c r="G2" s="1487"/>
      <c r="H2" s="1487"/>
      <c r="I2" s="1487"/>
      <c r="J2" s="1487"/>
      <c r="K2" s="1487"/>
      <c r="L2" s="1487"/>
      <c r="M2" s="1487"/>
      <c r="N2" s="1487"/>
      <c r="O2" s="1487"/>
      <c r="P2" s="1487"/>
      <c r="Q2" s="1487"/>
      <c r="R2" s="1487"/>
      <c r="S2" s="1487"/>
    </row>
    <row r="3" spans="1:22" ht="15.75">
      <c r="A3" s="1868" t="s">
        <v>684</v>
      </c>
      <c r="B3" s="2597">
        <f ca="1">ROUND(B2*10000/E2,0)</f>
        <v>40805</v>
      </c>
      <c r="C3" s="1870" t="s">
        <v>1657</v>
      </c>
      <c r="D3" s="2705"/>
      <c r="E3" s="2707"/>
      <c r="F3" s="2703"/>
      <c r="G3" s="1487"/>
      <c r="H3" s="1487"/>
      <c r="I3" s="1487"/>
      <c r="J3" s="1487"/>
      <c r="K3" s="1487"/>
      <c r="L3" s="1487"/>
      <c r="M3" s="1487"/>
      <c r="N3" s="1487"/>
      <c r="O3" s="1487"/>
      <c r="P3" s="1487"/>
      <c r="Q3" s="1487"/>
      <c r="R3" s="1487"/>
      <c r="S3" s="1487"/>
    </row>
    <row r="4" spans="1:22" ht="15.75">
      <c r="A4" s="2708"/>
      <c r="B4" s="2705"/>
      <c r="C4" s="2705"/>
      <c r="D4" s="2705"/>
      <c r="E4" s="2707"/>
      <c r="F4" s="2703"/>
      <c r="G4" s="1487"/>
      <c r="H4" s="1487"/>
      <c r="I4" s="1487"/>
      <c r="J4" s="1487"/>
      <c r="K4" s="1487"/>
      <c r="L4" s="1487"/>
      <c r="M4" s="1487"/>
      <c r="N4" s="1487"/>
      <c r="O4" s="1487"/>
      <c r="P4" s="1487"/>
      <c r="Q4" s="1487"/>
      <c r="R4" s="1487"/>
      <c r="S4" s="1487"/>
    </row>
    <row r="5" spans="1:22" ht="15">
      <c r="A5" s="2599" t="s">
        <v>1651</v>
      </c>
      <c r="B5" s="3785" t="s">
        <v>1652</v>
      </c>
      <c r="C5" s="3786"/>
      <c r="D5" s="2704"/>
      <c r="E5" s="1872" t="s">
        <v>1653</v>
      </c>
      <c r="F5" s="1873" t="s">
        <v>1654</v>
      </c>
      <c r="G5" s="1487"/>
      <c r="H5" s="1487"/>
      <c r="I5" s="1487"/>
      <c r="J5" s="1487"/>
      <c r="K5" s="1487"/>
      <c r="L5" s="1487"/>
      <c r="M5" s="1487"/>
      <c r="N5" s="1487"/>
      <c r="O5" s="1487"/>
      <c r="P5" s="1487"/>
      <c r="Q5" s="1487"/>
      <c r="R5" s="1487"/>
      <c r="S5" s="1487"/>
    </row>
    <row r="6" spans="1:22">
      <c r="A6" s="2600" t="str">
        <f>'数据-取费表'!AN6</f>
        <v>收益法商</v>
      </c>
      <c r="B6" s="2598">
        <f ca="1">IF(F6="是",'数据-取费表'!AO6,0)</f>
        <v>1921.6887999999999</v>
      </c>
      <c r="C6" s="1870" t="s">
        <v>1649</v>
      </c>
      <c r="D6" s="2705"/>
      <c r="E6" s="2602">
        <f>IF(OR(A6=0,F6="否"),0,'数据-取费表'!K6+'数据-取费表'!S6)</f>
        <v>410.74</v>
      </c>
      <c r="F6" s="1874" t="s">
        <v>1655</v>
      </c>
      <c r="G6" s="1487"/>
      <c r="H6" s="1487"/>
      <c r="I6" s="1487"/>
      <c r="J6" s="1487"/>
      <c r="K6" s="1487"/>
      <c r="L6" s="1487"/>
      <c r="M6" s="1487"/>
      <c r="N6" s="1487"/>
      <c r="O6" s="1487"/>
      <c r="P6" s="1487"/>
      <c r="Q6" s="1487"/>
      <c r="R6" s="1487"/>
      <c r="S6" s="1487"/>
    </row>
    <row r="7" spans="1:22">
      <c r="A7" s="2600" t="str">
        <f>'数据-取费表'!AN7</f>
        <v>收益法 (元)</v>
      </c>
      <c r="B7" s="2598">
        <f ca="1">IF(F7="是",'数据-取费表'!AO7,0)</f>
        <v>595.50990000000002</v>
      </c>
      <c r="C7" s="1870" t="s">
        <v>1649</v>
      </c>
      <c r="D7" s="2705"/>
      <c r="E7" s="2602">
        <f>IF(OR(A7=0,F7="否"),0,'数据-取费表'!K7+'数据-取费表'!S7)</f>
        <v>206.15</v>
      </c>
      <c r="F7" s="1874" t="s">
        <v>1655</v>
      </c>
      <c r="G7" s="1487"/>
      <c r="H7" s="1487"/>
      <c r="I7" s="1487"/>
      <c r="J7" s="1487"/>
      <c r="K7" s="1487"/>
      <c r="L7" s="1487"/>
      <c r="M7" s="1487"/>
      <c r="N7" s="1487"/>
      <c r="O7" s="1487"/>
      <c r="P7" s="1487"/>
      <c r="Q7" s="1487"/>
      <c r="R7" s="1487"/>
      <c r="S7" s="1487"/>
    </row>
    <row r="8" spans="1:22">
      <c r="A8" s="2600">
        <f>'数据-取费表'!AN8</f>
        <v>0</v>
      </c>
      <c r="B8" s="2598" t="e">
        <f ca="1">IF(F8="是",'数据-取费表'!AO8,0)</f>
        <v>#REF!</v>
      </c>
      <c r="C8" s="1870" t="s">
        <v>1649</v>
      </c>
      <c r="D8" s="2705"/>
      <c r="E8" s="2602">
        <f>IF(OR(A8=0,F8="否"),0,'数据-取费表'!K8+'数据-取费表'!S8)</f>
        <v>0</v>
      </c>
      <c r="F8" s="1874" t="s">
        <v>1655</v>
      </c>
      <c r="G8" s="1487"/>
      <c r="H8" s="1487"/>
      <c r="I8" s="1487"/>
      <c r="J8" s="1487"/>
      <c r="K8" s="1487"/>
      <c r="L8" s="1487"/>
      <c r="M8" s="1487"/>
      <c r="N8" s="1487"/>
      <c r="O8" s="1487"/>
      <c r="P8" s="1487"/>
      <c r="Q8" s="1487"/>
      <c r="R8" s="1487"/>
      <c r="S8" s="1487"/>
    </row>
    <row r="9" spans="1:22">
      <c r="A9" s="2600">
        <f>'数据-取费表'!AN9</f>
        <v>0</v>
      </c>
      <c r="B9" s="2598" t="e">
        <f ca="1">IF(F9="是",'数据-取费表'!AO9,0)</f>
        <v>#REF!</v>
      </c>
      <c r="C9" s="1870" t="s">
        <v>1649</v>
      </c>
      <c r="D9" s="2705"/>
      <c r="E9" s="2602">
        <f>IF(OR(A9=0,F9="否"),0,'数据-取费表'!K9+'数据-取费表'!S9)</f>
        <v>0</v>
      </c>
      <c r="F9" s="1874" t="s">
        <v>1655</v>
      </c>
      <c r="G9" s="1487"/>
      <c r="H9" s="1487"/>
      <c r="I9" s="1487"/>
      <c r="J9" s="1487"/>
      <c r="K9" s="1487"/>
      <c r="L9" s="1487"/>
      <c r="M9" s="1487"/>
      <c r="N9" s="1487"/>
      <c r="O9" s="1487"/>
      <c r="P9" s="1487"/>
      <c r="Q9" s="1487"/>
      <c r="R9" s="1487"/>
      <c r="S9" s="1487"/>
    </row>
    <row r="10" spans="1:22">
      <c r="A10" s="2600">
        <f>'数据-取费表'!AN10</f>
        <v>0</v>
      </c>
      <c r="B10" s="2598" t="e">
        <f ca="1">IF(F10="是",'数据-取费表'!AO10,0)</f>
        <v>#REF!</v>
      </c>
      <c r="C10" s="1870" t="s">
        <v>1649</v>
      </c>
      <c r="D10" s="2705"/>
      <c r="E10" s="2602">
        <f>IF(OR(A10=0,F10="否"),0,'数据-取费表'!K10+'数据-取费表'!S10)</f>
        <v>0</v>
      </c>
      <c r="F10" s="1874" t="s">
        <v>1655</v>
      </c>
      <c r="G10" s="1487"/>
      <c r="H10" s="1487"/>
      <c r="I10" s="1487"/>
      <c r="J10" s="1487"/>
      <c r="K10" s="1487"/>
      <c r="L10" s="1487"/>
      <c r="M10" s="1487"/>
      <c r="N10" s="1487"/>
      <c r="O10" s="1487"/>
      <c r="P10" s="1487"/>
      <c r="Q10" s="1487"/>
      <c r="R10" s="1487"/>
      <c r="S10" s="1487"/>
    </row>
    <row r="11" spans="1:22">
      <c r="A11" s="2600">
        <f>'数据-取费表'!AN11</f>
        <v>0</v>
      </c>
      <c r="B11" s="2598" t="e">
        <f ca="1">IF(F11="是",'数据-取费表'!AO11,0)</f>
        <v>#REF!</v>
      </c>
      <c r="C11" s="1870" t="s">
        <v>1649</v>
      </c>
      <c r="D11" s="2705"/>
      <c r="E11" s="2602">
        <f>IF(OR(A11=0,F11="否"),0,'数据-取费表'!K11+'数据-取费表'!S11)</f>
        <v>0</v>
      </c>
      <c r="F11" s="1874" t="s">
        <v>1655</v>
      </c>
      <c r="G11" s="1487"/>
      <c r="H11" s="1487"/>
      <c r="I11" s="1487"/>
      <c r="J11" s="1487"/>
      <c r="K11" s="1487"/>
      <c r="L11" s="1487"/>
      <c r="M11" s="1487"/>
      <c r="N11" s="1487"/>
      <c r="O11" s="1487"/>
      <c r="P11" s="1487"/>
      <c r="Q11" s="1487"/>
      <c r="R11" s="1487"/>
      <c r="S11" s="1487"/>
    </row>
    <row r="12" spans="1:22">
      <c r="A12" s="2600">
        <f>'数据-取费表'!AN12</f>
        <v>0</v>
      </c>
      <c r="B12" s="2598" t="e">
        <f ca="1">IF(F12="是",'数据-取费表'!AO12,0)</f>
        <v>#REF!</v>
      </c>
      <c r="C12" s="1870" t="s">
        <v>1649</v>
      </c>
      <c r="D12" s="2705"/>
      <c r="E12" s="2602">
        <f>IF(OR(A12=0,F12="否"),0,'数据-取费表'!K12+'数据-取费表'!S12)</f>
        <v>0</v>
      </c>
      <c r="F12" s="1874" t="s">
        <v>1655</v>
      </c>
      <c r="G12" s="1487"/>
      <c r="H12" s="1487"/>
      <c r="I12" s="1487"/>
      <c r="J12" s="1487"/>
      <c r="K12" s="1487"/>
      <c r="L12" s="1487"/>
      <c r="M12" s="1487"/>
      <c r="N12" s="1487"/>
      <c r="O12" s="1487"/>
      <c r="P12" s="1487"/>
      <c r="Q12" s="1487"/>
      <c r="R12" s="1487"/>
      <c r="S12" s="1487"/>
    </row>
    <row r="13" spans="1:22" ht="15" thickBot="1">
      <c r="A13" s="2601">
        <f>'数据-取费表'!AN13</f>
        <v>0</v>
      </c>
      <c r="B13" s="2598" t="e">
        <f ca="1">IF(F13="是",'数据-取费表'!AO13,0)</f>
        <v>#REF!</v>
      </c>
      <c r="C13" s="1875" t="s">
        <v>1649</v>
      </c>
      <c r="D13" s="2706"/>
      <c r="E13" s="2602">
        <f>IF(OR(A13=0,F13="否"),0,'数据-取费表'!K13+'数据-取费表'!S13)</f>
        <v>0</v>
      </c>
      <c r="F13" s="1874" t="s">
        <v>1655</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876" t="s">
        <v>1659</v>
      </c>
      <c r="C1" s="1236" t="s">
        <v>1660</v>
      </c>
      <c r="D1" s="1223"/>
      <c r="E1" s="3422"/>
      <c r="F1" s="1877"/>
      <c r="G1" s="1233" t="s">
        <v>1661</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683</v>
      </c>
      <c r="B2" s="3423"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1662</v>
      </c>
      <c r="F2" s="1881"/>
      <c r="G2" s="906"/>
      <c r="H2" s="906"/>
      <c r="I2" s="906"/>
      <c r="J2" s="906"/>
      <c r="K2" s="1882"/>
      <c r="L2" s="2709"/>
      <c r="M2" s="2710"/>
      <c r="N2" s="2710"/>
      <c r="O2" s="2710"/>
      <c r="P2" s="1883"/>
      <c r="Q2" s="1884"/>
      <c r="R2" s="1884"/>
      <c r="S2" s="1884"/>
      <c r="T2" s="1884"/>
      <c r="U2" s="1884"/>
      <c r="V2" s="1884"/>
      <c r="W2" s="1884"/>
      <c r="X2" s="1884"/>
      <c r="Y2" s="1884"/>
      <c r="Z2" s="1884"/>
      <c r="AA2" s="1884"/>
      <c r="AB2" s="1884"/>
      <c r="AC2" s="1885"/>
    </row>
    <row r="3" spans="1:29" s="347" customFormat="1" ht="28.5" customHeight="1" thickBot="1">
      <c r="A3" s="203" t="s">
        <v>684</v>
      </c>
      <c r="B3" s="353">
        <f>IF(C2="——",C49,ROUND(B2*10000/D3,0))</f>
        <v>0</v>
      </c>
      <c r="C3" s="354" t="s">
        <v>1663</v>
      </c>
      <c r="D3" s="353">
        <f>IF(D1="",'数据-汇总表'!E3,SUMIF('数据-汇总表'!$C19:$C33,D1,'数据-汇总表'!$E19:$E33))</f>
        <v>616.89</v>
      </c>
      <c r="E3" s="906"/>
      <c r="F3" s="1886"/>
      <c r="G3" s="906"/>
      <c r="H3" s="906"/>
      <c r="I3" s="906"/>
      <c r="J3" s="906"/>
      <c r="K3" s="1882"/>
      <c r="L3" s="2709"/>
      <c r="M3" s="2710"/>
      <c r="N3" s="2710"/>
      <c r="O3" s="2710"/>
      <c r="P3" s="1883"/>
      <c r="Q3" s="1884"/>
      <c r="R3" s="1884"/>
      <c r="S3" s="1884"/>
      <c r="T3" s="1884"/>
      <c r="U3" s="1884"/>
      <c r="V3" s="1884"/>
      <c r="W3" s="1884"/>
      <c r="X3" s="1884"/>
      <c r="Y3" s="1884"/>
      <c r="Z3" s="1884"/>
      <c r="AA3" s="1884"/>
      <c r="AB3" s="1884"/>
      <c r="AC3" s="1060"/>
    </row>
    <row r="4" spans="1:29" ht="15">
      <c r="A4" s="355" t="s">
        <v>1664</v>
      </c>
      <c r="B4" s="356"/>
      <c r="C4" s="3735" t="s">
        <v>1665</v>
      </c>
      <c r="D4" s="3736"/>
      <c r="E4" s="3737" t="s">
        <v>1666</v>
      </c>
      <c r="F4" s="3738"/>
      <c r="G4" s="3735" t="s">
        <v>1667</v>
      </c>
      <c r="H4" s="3736"/>
      <c r="I4" s="3735" t="s">
        <v>1668</v>
      </c>
      <c r="J4" s="3736"/>
      <c r="K4" s="1887" t="s">
        <v>1669</v>
      </c>
      <c r="L4" s="2711"/>
      <c r="M4" s="2712"/>
      <c r="N4" s="2712"/>
      <c r="O4" s="2712"/>
      <c r="P4" s="3790" t="s">
        <v>1670</v>
      </c>
      <c r="Q4" s="3791"/>
      <c r="R4" s="3788" t="s">
        <v>1666</v>
      </c>
      <c r="S4" s="3789"/>
      <c r="T4" s="3788" t="s">
        <v>1667</v>
      </c>
      <c r="U4" s="3789"/>
      <c r="V4" s="3748" t="s">
        <v>1668</v>
      </c>
      <c r="W4" s="3748"/>
      <c r="X4" s="1353"/>
      <c r="Y4" s="3788" t="s">
        <v>1670</v>
      </c>
      <c r="Z4" s="3789"/>
      <c r="AA4" s="3787" t="s">
        <v>1666</v>
      </c>
      <c r="AB4" s="3787" t="s">
        <v>1667</v>
      </c>
      <c r="AC4" s="3787" t="s">
        <v>1668</v>
      </c>
    </row>
    <row r="5" spans="1:29" ht="15">
      <c r="A5" s="358"/>
      <c r="B5" s="359"/>
      <c r="C5" s="3724" t="s">
        <v>1671</v>
      </c>
      <c r="D5" s="3725"/>
      <c r="E5" s="3722" t="s">
        <v>1672</v>
      </c>
      <c r="F5" s="3723"/>
      <c r="G5" s="3724" t="s">
        <v>1673</v>
      </c>
      <c r="H5" s="3725"/>
      <c r="I5" s="3724" t="s">
        <v>1674</v>
      </c>
      <c r="J5" s="3725"/>
      <c r="K5" s="1888"/>
      <c r="L5" s="2711"/>
      <c r="M5" s="2712"/>
      <c r="N5" s="2712"/>
      <c r="O5" s="2712"/>
      <c r="P5" s="3792"/>
      <c r="Q5" s="3742"/>
      <c r="R5" s="3720"/>
      <c r="S5" s="3721"/>
      <c r="T5" s="3720"/>
      <c r="U5" s="3721"/>
      <c r="V5" s="3748"/>
      <c r="W5" s="3748"/>
      <c r="X5" s="1353"/>
      <c r="Y5" s="3720"/>
      <c r="Z5" s="3721"/>
      <c r="AA5" s="3714"/>
      <c r="AB5" s="3714"/>
      <c r="AC5" s="3714"/>
    </row>
    <row r="6" spans="1:29" ht="15.75" thickBot="1">
      <c r="A6" s="360"/>
      <c r="B6" s="361"/>
      <c r="C6" s="3726" t="s">
        <v>1675</v>
      </c>
      <c r="D6" s="3727"/>
      <c r="E6" s="3729" t="s">
        <v>1675</v>
      </c>
      <c r="F6" s="3730"/>
      <c r="G6" s="3726" t="s">
        <v>1675</v>
      </c>
      <c r="H6" s="3727"/>
      <c r="I6" s="3726" t="s">
        <v>1675</v>
      </c>
      <c r="J6" s="3727"/>
      <c r="K6" s="1888" t="s">
        <v>1676</v>
      </c>
      <c r="L6" s="2711"/>
      <c r="M6" s="2712"/>
      <c r="N6" s="2712"/>
      <c r="O6" s="2712"/>
      <c r="P6" s="3793"/>
      <c r="Q6" s="3744"/>
      <c r="R6" s="3720"/>
      <c r="S6" s="3721"/>
      <c r="T6" s="3745"/>
      <c r="U6" s="3746"/>
      <c r="V6" s="3748"/>
      <c r="W6" s="3748"/>
      <c r="X6" s="1353"/>
      <c r="Y6" s="3745"/>
      <c r="Z6" s="3746"/>
      <c r="AA6" s="3715"/>
      <c r="AB6" s="3715"/>
      <c r="AC6" s="3715"/>
    </row>
    <row r="7" spans="1:29" s="108" customFormat="1" ht="15.75" thickBot="1">
      <c r="A7" s="362" t="s">
        <v>1677</v>
      </c>
      <c r="B7" s="363"/>
      <c r="C7" s="364">
        <f>'数据-取费表'!B2</f>
        <v>45498</v>
      </c>
      <c r="D7" s="365">
        <v>100</v>
      </c>
      <c r="E7" s="366"/>
      <c r="F7" s="367">
        <f>SUMIF(58:58,YEAR(E7)&amp;"-"&amp;MONTH(E7),59:59)</f>
        <v>0</v>
      </c>
      <c r="G7" s="366"/>
      <c r="H7" s="365">
        <f>SUMIF(58:58,YEAR(G7)&amp;"-"&amp;MONTH(G7),59:59)</f>
        <v>0</v>
      </c>
      <c r="I7" s="366"/>
      <c r="J7" s="365">
        <f>SUMIF(58:58,YEAR(I7)&amp;"-"&amp;MONTH(I7),59:59)</f>
        <v>0</v>
      </c>
      <c r="K7" s="1889"/>
      <c r="L7" s="2713"/>
      <c r="M7" s="2714"/>
      <c r="N7" s="2714"/>
      <c r="O7" s="2714"/>
      <c r="P7" s="3716" t="s">
        <v>1678</v>
      </c>
      <c r="Q7" s="3751"/>
      <c r="R7" s="700" t="s">
        <v>20</v>
      </c>
      <c r="S7" s="701">
        <f t="shared" ref="S7:S15" si="0">F7</f>
        <v>0</v>
      </c>
      <c r="T7" s="700" t="s">
        <v>20</v>
      </c>
      <c r="U7" s="701">
        <f t="shared" ref="U7:U15" si="1">H7</f>
        <v>0</v>
      </c>
      <c r="V7" s="700" t="s">
        <v>20</v>
      </c>
      <c r="W7" s="701">
        <f t="shared" ref="W7:W15" si="2">J7</f>
        <v>0</v>
      </c>
      <c r="X7" s="702"/>
      <c r="Y7" s="3716" t="s">
        <v>1678</v>
      </c>
      <c r="Z7" s="3717"/>
      <c r="AA7" s="703" t="e">
        <f>D7/F7</f>
        <v>#DIV/0!</v>
      </c>
      <c r="AB7" s="703" t="e">
        <f>D7/H7</f>
        <v>#DIV/0!</v>
      </c>
      <c r="AC7" s="703" t="e">
        <f>D7/J7</f>
        <v>#DIV/0!</v>
      </c>
    </row>
    <row r="8" spans="1:29" s="108" customFormat="1" ht="15.75" thickBot="1">
      <c r="A8" s="362" t="s">
        <v>1679</v>
      </c>
      <c r="B8" s="363"/>
      <c r="C8" s="368"/>
      <c r="D8" s="365">
        <v>100</v>
      </c>
      <c r="E8" s="1890"/>
      <c r="F8" s="367">
        <f>SUMIF(61:61,E8,62:62)-SUMIF(61:61,C8,62:62)+100</f>
        <v>100</v>
      </c>
      <c r="G8" s="368"/>
      <c r="H8" s="365">
        <f>SUMIF(61:61,G8,62:62)-SUMIF(61:61,C8,62:62)+100</f>
        <v>100</v>
      </c>
      <c r="I8" s="1890"/>
      <c r="J8" s="365">
        <f>SUMIF(61:61,I8,62:62)-SUMIF(61:61,C8,62:62)+100</f>
        <v>100</v>
      </c>
      <c r="K8" s="1889"/>
      <c r="L8" s="2713"/>
      <c r="M8" s="2714"/>
      <c r="N8" s="2714"/>
      <c r="O8" s="2714"/>
      <c r="P8" s="3716" t="s">
        <v>1681</v>
      </c>
      <c r="Q8" s="3717"/>
      <c r="R8" s="700" t="s">
        <v>20</v>
      </c>
      <c r="S8" s="701">
        <f t="shared" si="0"/>
        <v>100</v>
      </c>
      <c r="T8" s="700" t="s">
        <v>20</v>
      </c>
      <c r="U8" s="701">
        <f t="shared" si="1"/>
        <v>100</v>
      </c>
      <c r="V8" s="700" t="s">
        <v>20</v>
      </c>
      <c r="W8" s="701">
        <f t="shared" si="2"/>
        <v>100</v>
      </c>
      <c r="X8" s="702"/>
      <c r="Y8" s="3716" t="s">
        <v>1681</v>
      </c>
      <c r="Z8" s="3717"/>
      <c r="AA8" s="703">
        <f t="shared" ref="AA8:AA19" si="3">D8/F8</f>
        <v>1</v>
      </c>
      <c r="AB8" s="703">
        <f t="shared" ref="AB8:AB19" si="4">D8/H8</f>
        <v>1</v>
      </c>
      <c r="AC8" s="703">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89"/>
      <c r="L9" s="2713"/>
      <c r="M9" s="2714"/>
      <c r="N9" s="2714"/>
      <c r="O9" s="2714"/>
      <c r="P9" s="3731" t="s">
        <v>1684</v>
      </c>
      <c r="Q9" s="1341" t="str">
        <f t="shared" ref="Q9:Q15" si="6">B9</f>
        <v>用途</v>
      </c>
      <c r="R9" s="700" t="s">
        <v>14</v>
      </c>
      <c r="S9" s="701">
        <f t="shared" si="0"/>
        <v>100</v>
      </c>
      <c r="T9" s="700" t="s">
        <v>14</v>
      </c>
      <c r="U9" s="701">
        <f t="shared" si="1"/>
        <v>100</v>
      </c>
      <c r="V9" s="700" t="s">
        <v>14</v>
      </c>
      <c r="W9" s="701">
        <f t="shared" si="2"/>
        <v>100</v>
      </c>
      <c r="X9" s="702"/>
      <c r="Y9" s="3681" t="s">
        <v>1685</v>
      </c>
      <c r="Z9" s="52" t="str">
        <f t="shared" ref="Z9:Z15" si="7">Q9</f>
        <v>用途</v>
      </c>
      <c r="AA9" s="703">
        <f t="shared" si="3"/>
        <v>1</v>
      </c>
      <c r="AB9" s="703">
        <f t="shared" si="4"/>
        <v>1</v>
      </c>
      <c r="AC9" s="703">
        <f t="shared" si="5"/>
        <v>1</v>
      </c>
    </row>
    <row r="10" spans="1:29" s="378" customFormat="1" ht="27">
      <c r="A10" s="374"/>
      <c r="B10" s="375" t="s">
        <v>1686</v>
      </c>
      <c r="C10" s="3430"/>
      <c r="D10" s="127">
        <v>100</v>
      </c>
      <c r="E10" s="3431"/>
      <c r="F10" s="376">
        <f>SUMIF(65:65,E10,66:66)-SUMIF(65:65,C10,66:66)+100</f>
        <v>100</v>
      </c>
      <c r="G10" s="3430"/>
      <c r="H10" s="127">
        <f>SUMIF(65:65,G10,66:66)-SUMIF(65:65,C10,66:66)+100</f>
        <v>100</v>
      </c>
      <c r="I10" s="3430"/>
      <c r="J10" s="127">
        <f>SUMIF(65:65,I10,66:66)-SUMIF(65:65,C10,66:66)+100</f>
        <v>100</v>
      </c>
      <c r="K10" s="1889"/>
      <c r="L10" s="2715"/>
      <c r="M10" s="2716"/>
      <c r="N10" s="2716"/>
      <c r="O10" s="2716"/>
      <c r="P10" s="3731"/>
      <c r="Q10" s="1341" t="str">
        <f t="shared" si="6"/>
        <v>土地使用年限（年）</v>
      </c>
      <c r="R10" s="700" t="s">
        <v>14</v>
      </c>
      <c r="S10" s="701">
        <f t="shared" si="0"/>
        <v>100</v>
      </c>
      <c r="T10" s="700" t="s">
        <v>14</v>
      </c>
      <c r="U10" s="701">
        <f t="shared" si="1"/>
        <v>100</v>
      </c>
      <c r="V10" s="700" t="s">
        <v>14</v>
      </c>
      <c r="W10" s="701">
        <f t="shared" si="2"/>
        <v>100</v>
      </c>
      <c r="X10" s="702"/>
      <c r="Y10" s="3681"/>
      <c r="Z10" s="52" t="str">
        <f t="shared" si="7"/>
        <v>土地使用年限（年）</v>
      </c>
      <c r="AA10" s="703">
        <f t="shared" si="3"/>
        <v>1</v>
      </c>
      <c r="AB10" s="703">
        <f t="shared" si="4"/>
        <v>1</v>
      </c>
      <c r="AC10" s="703">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731"/>
      <c r="Q11" s="1341" t="str">
        <f t="shared" si="6"/>
        <v>容积率</v>
      </c>
      <c r="R11" s="700" t="s">
        <v>18</v>
      </c>
      <c r="S11" s="701" t="e">
        <f t="shared" si="0"/>
        <v>#N/A</v>
      </c>
      <c r="T11" s="700" t="s">
        <v>18</v>
      </c>
      <c r="U11" s="701" t="e">
        <f t="shared" si="1"/>
        <v>#N/A</v>
      </c>
      <c r="V11" s="700" t="s">
        <v>18</v>
      </c>
      <c r="W11" s="701" t="e">
        <f t="shared" si="2"/>
        <v>#N/A</v>
      </c>
      <c r="X11" s="702"/>
      <c r="Y11" s="3681"/>
      <c r="Z11" s="52" t="str">
        <f t="shared" si="7"/>
        <v>容积率</v>
      </c>
      <c r="AA11" s="703" t="e">
        <f t="shared" si="3"/>
        <v>#N/A</v>
      </c>
      <c r="AB11" s="703" t="e">
        <f t="shared" si="4"/>
        <v>#N/A</v>
      </c>
      <c r="AC11" s="703"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3"/>
      <c r="M12" s="2714"/>
      <c r="N12" s="2714"/>
      <c r="O12" s="2714"/>
      <c r="P12" s="3731"/>
      <c r="Q12" s="1341">
        <f t="shared" si="6"/>
        <v>111</v>
      </c>
      <c r="R12" s="700" t="s">
        <v>18</v>
      </c>
      <c r="S12" s="701">
        <f t="shared" si="0"/>
        <v>100</v>
      </c>
      <c r="T12" s="700" t="s">
        <v>18</v>
      </c>
      <c r="U12" s="701">
        <f t="shared" si="1"/>
        <v>100</v>
      </c>
      <c r="V12" s="700" t="s">
        <v>18</v>
      </c>
      <c r="W12" s="701">
        <f t="shared" si="2"/>
        <v>100</v>
      </c>
      <c r="X12" s="702"/>
      <c r="Y12" s="3681"/>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8"/>
      <c r="M13" s="2712"/>
      <c r="N13" s="2712"/>
      <c r="O13" s="2712"/>
      <c r="P13" s="3731"/>
      <c r="Q13" s="1341">
        <f t="shared" si="6"/>
        <v>111</v>
      </c>
      <c r="R13" s="700" t="s">
        <v>18</v>
      </c>
      <c r="S13" s="701">
        <f t="shared" si="0"/>
        <v>100</v>
      </c>
      <c r="T13" s="700" t="s">
        <v>18</v>
      </c>
      <c r="U13" s="701">
        <f t="shared" si="1"/>
        <v>100</v>
      </c>
      <c r="V13" s="700" t="s">
        <v>18</v>
      </c>
      <c r="W13" s="701">
        <f t="shared" si="2"/>
        <v>100</v>
      </c>
      <c r="X13" s="702"/>
      <c r="Y13" s="3681"/>
      <c r="Z13" s="52">
        <f t="shared" si="7"/>
        <v>111</v>
      </c>
      <c r="AA13" s="703">
        <f t="shared" si="3"/>
        <v>1</v>
      </c>
      <c r="AB13" s="703">
        <f t="shared" si="4"/>
        <v>1</v>
      </c>
      <c r="AC13" s="703">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8"/>
      <c r="M14" s="2712"/>
      <c r="N14" s="2712"/>
      <c r="O14" s="2712"/>
      <c r="P14" s="3731"/>
      <c r="Q14" s="1341">
        <f t="shared" si="6"/>
        <v>111</v>
      </c>
      <c r="R14" s="700" t="s">
        <v>18</v>
      </c>
      <c r="S14" s="701">
        <f t="shared" si="0"/>
        <v>100</v>
      </c>
      <c r="T14" s="700" t="s">
        <v>18</v>
      </c>
      <c r="U14" s="701">
        <f t="shared" si="1"/>
        <v>100</v>
      </c>
      <c r="V14" s="700" t="s">
        <v>18</v>
      </c>
      <c r="W14" s="701">
        <f t="shared" si="2"/>
        <v>100</v>
      </c>
      <c r="X14" s="702"/>
      <c r="Y14" s="3681"/>
      <c r="Z14" s="52">
        <f t="shared" si="7"/>
        <v>111</v>
      </c>
      <c r="AA14" s="703">
        <f t="shared" si="3"/>
        <v>1</v>
      </c>
      <c r="AB14" s="703">
        <f t="shared" si="4"/>
        <v>1</v>
      </c>
      <c r="AC14" s="703">
        <f t="shared" si="5"/>
        <v>1</v>
      </c>
    </row>
    <row r="15" spans="1:29" ht="15">
      <c r="A15" s="391" t="s">
        <v>1688</v>
      </c>
      <c r="B15" s="61" t="s">
        <v>1255</v>
      </c>
      <c r="C15" s="1894">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752" t="s">
        <v>1689</v>
      </c>
      <c r="Q15" s="1350" t="str">
        <f t="shared" si="6"/>
        <v>居住社区成熟度</v>
      </c>
      <c r="R15" s="704" t="s">
        <v>18</v>
      </c>
      <c r="S15" s="705">
        <f t="shared" si="0"/>
        <v>100</v>
      </c>
      <c r="T15" s="704" t="s">
        <v>18</v>
      </c>
      <c r="U15" s="705">
        <f t="shared" si="1"/>
        <v>100</v>
      </c>
      <c r="V15" s="704" t="s">
        <v>18</v>
      </c>
      <c r="W15" s="705">
        <f t="shared" si="2"/>
        <v>100</v>
      </c>
      <c r="X15" s="1353"/>
      <c r="Y15" s="3754" t="s">
        <v>1689</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18"/>
      <c r="M16" s="2712"/>
      <c r="N16" s="2712"/>
      <c r="O16" s="2712"/>
      <c r="P16" s="3753"/>
      <c r="Q16" s="1350"/>
      <c r="R16" s="704"/>
      <c r="S16" s="705"/>
      <c r="T16" s="704"/>
      <c r="U16" s="705"/>
      <c r="V16" s="704"/>
      <c r="W16" s="705"/>
      <c r="X16" s="1353"/>
      <c r="Y16" s="3755"/>
      <c r="Z16" s="1354"/>
      <c r="AA16" s="1351">
        <v>1</v>
      </c>
      <c r="AB16" s="1351">
        <v>1</v>
      </c>
      <c r="AC16" s="1351">
        <v>1</v>
      </c>
    </row>
    <row r="17" spans="1:29" ht="128.25">
      <c r="A17" s="379"/>
      <c r="B17" s="402" t="s">
        <v>1257</v>
      </c>
      <c r="C17" s="1898" t="str">
        <f>估价对象房地状况!C6</f>
        <v>估价对象周边道路状况较好、有7、16、105等公交线路及地铁2、4号线经过，公共交通通达情况较好、停车便捷程度一般，综合评价交通便捷度较好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753"/>
      <c r="Q17" s="1350" t="str">
        <f>B17</f>
        <v>交通便捷度</v>
      </c>
      <c r="R17" s="704" t="s">
        <v>18</v>
      </c>
      <c r="S17" s="705">
        <f>F17</f>
        <v>100</v>
      </c>
      <c r="T17" s="704" t="s">
        <v>18</v>
      </c>
      <c r="U17" s="705">
        <f>H17</f>
        <v>100</v>
      </c>
      <c r="V17" s="704" t="s">
        <v>18</v>
      </c>
      <c r="W17" s="705">
        <f>J17</f>
        <v>100</v>
      </c>
      <c r="X17" s="1353"/>
      <c r="Y17" s="3755"/>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18"/>
      <c r="M18" s="2712"/>
      <c r="N18" s="2712"/>
      <c r="O18" s="2712"/>
      <c r="P18" s="3753"/>
      <c r="Q18" s="1350"/>
      <c r="R18" s="704"/>
      <c r="S18" s="705"/>
      <c r="T18" s="704"/>
      <c r="U18" s="705"/>
      <c r="V18" s="704"/>
      <c r="W18" s="705"/>
      <c r="X18" s="1353"/>
      <c r="Y18" s="3755"/>
      <c r="Z18" s="1354"/>
      <c r="AA18" s="1351">
        <v>1</v>
      </c>
      <c r="AB18" s="1351">
        <v>1</v>
      </c>
      <c r="AC18" s="1351">
        <v>1</v>
      </c>
    </row>
    <row r="19" spans="1:29" ht="42.75">
      <c r="A19" s="379"/>
      <c r="B19" s="402" t="s">
        <v>1256</v>
      </c>
      <c r="C19" s="1898" t="str">
        <f>估价对象房地状况!C7</f>
        <v>估价对象所在区域公共配套设施齐备情况较好</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753"/>
      <c r="Q19" s="1350" t="str">
        <f>B19</f>
        <v>公共配套设施</v>
      </c>
      <c r="R19" s="704" t="s">
        <v>18</v>
      </c>
      <c r="S19" s="705">
        <f>F19</f>
        <v>100</v>
      </c>
      <c r="T19" s="704" t="s">
        <v>18</v>
      </c>
      <c r="U19" s="705">
        <f>H19</f>
        <v>100</v>
      </c>
      <c r="V19" s="704" t="s">
        <v>18</v>
      </c>
      <c r="W19" s="705">
        <f>J19</f>
        <v>100</v>
      </c>
      <c r="X19" s="1353"/>
      <c r="Y19" s="3755"/>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18"/>
      <c r="M20" s="2712"/>
      <c r="N20" s="2712"/>
      <c r="O20" s="2712"/>
      <c r="P20" s="3753"/>
      <c r="Q20" s="1350"/>
      <c r="R20" s="704"/>
      <c r="S20" s="705"/>
      <c r="T20" s="704"/>
      <c r="U20" s="705"/>
      <c r="V20" s="704"/>
      <c r="W20" s="705"/>
      <c r="X20" s="1353"/>
      <c r="Y20" s="3755"/>
      <c r="Z20" s="1354"/>
      <c r="AA20" s="1351">
        <v>1</v>
      </c>
      <c r="AB20" s="1351">
        <v>1</v>
      </c>
      <c r="AC20" s="1351">
        <v>1</v>
      </c>
    </row>
    <row r="21" spans="1:29" ht="28.5">
      <c r="A21" s="379"/>
      <c r="B21" s="1129" t="s">
        <v>1258</v>
      </c>
      <c r="C21" s="1898" t="str">
        <f>估价对象房地状况!C8</f>
        <v>估价对象所在区域基础设施水平七通</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753"/>
      <c r="Q21" s="1350" t="str">
        <f>B21</f>
        <v>基础设施水平</v>
      </c>
      <c r="R21" s="704" t="s">
        <v>14</v>
      </c>
      <c r="S21" s="705">
        <f>F21</f>
        <v>100</v>
      </c>
      <c r="T21" s="704" t="s">
        <v>14</v>
      </c>
      <c r="U21" s="705">
        <f>H21</f>
        <v>100</v>
      </c>
      <c r="V21" s="704" t="s">
        <v>14</v>
      </c>
      <c r="W21" s="705">
        <f>J21</f>
        <v>100</v>
      </c>
      <c r="X21" s="1353"/>
      <c r="Y21" s="3755"/>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18"/>
      <c r="M22" s="2712"/>
      <c r="N22" s="2712"/>
      <c r="O22" s="2712"/>
      <c r="P22" s="3753"/>
      <c r="Q22" s="1350"/>
      <c r="R22" s="704"/>
      <c r="S22" s="705"/>
      <c r="T22" s="704"/>
      <c r="U22" s="705"/>
      <c r="V22" s="704"/>
      <c r="W22" s="705"/>
      <c r="X22" s="1353"/>
      <c r="Y22" s="3755"/>
      <c r="Z22" s="1354"/>
      <c r="AA22" s="1351">
        <v>1</v>
      </c>
      <c r="AB22" s="1351">
        <v>1</v>
      </c>
      <c r="AC22" s="1351">
        <v>1</v>
      </c>
    </row>
    <row r="23" spans="1:29" ht="85.5">
      <c r="A23" s="379"/>
      <c r="B23" s="402" t="s">
        <v>1259</v>
      </c>
      <c r="C23" s="1898" t="str">
        <f>估价对象房地状况!C9</f>
        <v>区域自然环境：北京动物园、官园公园；人文环境：北京天文馆、北京建筑大学；综合评价环境状况较好</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753"/>
      <c r="Q23" s="1350" t="str">
        <f>B23</f>
        <v>自然及人文环境</v>
      </c>
      <c r="R23" s="704" t="s">
        <v>18</v>
      </c>
      <c r="S23" s="705">
        <f>F23</f>
        <v>100</v>
      </c>
      <c r="T23" s="704" t="s">
        <v>18</v>
      </c>
      <c r="U23" s="705">
        <f>H23</f>
        <v>100</v>
      </c>
      <c r="V23" s="704" t="s">
        <v>18</v>
      </c>
      <c r="W23" s="705">
        <f>J23</f>
        <v>100</v>
      </c>
      <c r="X23" s="1353"/>
      <c r="Y23" s="3755"/>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18"/>
      <c r="M24" s="2712"/>
      <c r="N24" s="2712"/>
      <c r="O24" s="2712"/>
      <c r="P24" s="3753"/>
      <c r="Q24" s="1350"/>
      <c r="R24" s="704"/>
      <c r="S24" s="705"/>
      <c r="T24" s="704"/>
      <c r="U24" s="705"/>
      <c r="V24" s="704"/>
      <c r="W24" s="705"/>
      <c r="X24" s="1353"/>
      <c r="Y24" s="3755"/>
      <c r="Z24" s="1354"/>
      <c r="AA24" s="1351">
        <v>1</v>
      </c>
      <c r="AB24" s="1351">
        <v>1</v>
      </c>
      <c r="AC24" s="1351">
        <v>1</v>
      </c>
    </row>
    <row r="25" spans="1:29" ht="15">
      <c r="A25" s="379"/>
      <c r="B25" s="375" t="s">
        <v>1690</v>
      </c>
      <c r="C25" s="411"/>
      <c r="D25" s="386">
        <v>100</v>
      </c>
      <c r="E25" s="1904"/>
      <c r="F25" s="386">
        <f>SUMIF(86:86,E25,87:87)-SUMIF(86:86,C25,87:87)+100</f>
        <v>100</v>
      </c>
      <c r="G25" s="1905"/>
      <c r="H25" s="386">
        <f>SUMIF(86:86,G25,87:87)-SUMIF(86:86,C25,87:87)+100</f>
        <v>100</v>
      </c>
      <c r="I25" s="1905"/>
      <c r="J25" s="386">
        <f>SUMIF(86:86,I25,87:87)-SUMIF(86:86,C25,87:87)+100</f>
        <v>100</v>
      </c>
      <c r="K25" s="377"/>
      <c r="L25" s="2718"/>
      <c r="M25" s="2712"/>
      <c r="N25" s="2712"/>
      <c r="O25" s="2712"/>
      <c r="P25" s="3753"/>
      <c r="Q25" s="1350" t="str">
        <f t="shared" ref="Q25:Q46" si="11">B25</f>
        <v>楼层-1</v>
      </c>
      <c r="R25" s="704" t="s">
        <v>18</v>
      </c>
      <c r="S25" s="705">
        <f t="shared" ref="S25:S46" si="12">F25</f>
        <v>100</v>
      </c>
      <c r="T25" s="704" t="s">
        <v>18</v>
      </c>
      <c r="U25" s="705">
        <f t="shared" ref="U25:U46" si="13">H25</f>
        <v>100</v>
      </c>
      <c r="V25" s="704" t="s">
        <v>18</v>
      </c>
      <c r="W25" s="705">
        <f t="shared" ref="W25:W46" si="14">J25</f>
        <v>100</v>
      </c>
      <c r="X25" s="1353"/>
      <c r="Y25" s="3755"/>
      <c r="Z25" s="1354" t="str">
        <f>Q25</f>
        <v>楼层-1</v>
      </c>
      <c r="AA25" s="1351">
        <f t="shared" ref="AA25:AA46" si="15">D25/F25</f>
        <v>1</v>
      </c>
      <c r="AB25" s="1351">
        <f t="shared" ref="AB25:AB46" si="16">D25/H25</f>
        <v>1</v>
      </c>
      <c r="AC25" s="1351">
        <f t="shared" ref="AC25:AC46" si="17">D25/J25</f>
        <v>1</v>
      </c>
    </row>
    <row r="26" spans="1:29" ht="15">
      <c r="A26" s="379"/>
      <c r="B26" s="375" t="s">
        <v>1691</v>
      </c>
      <c r="C26" s="411"/>
      <c r="D26" s="386">
        <v>100</v>
      </c>
      <c r="E26" s="1904"/>
      <c r="F26" s="386">
        <f>SUMIF(88:88,E26,89:89)-SUMIF(88:88,C26,89:89)+100</f>
        <v>100</v>
      </c>
      <c r="G26" s="1905"/>
      <c r="H26" s="386">
        <f>SUMIF(88:88,G26,89:89)-SUMIF(88:88,C26,89:89)+100</f>
        <v>100</v>
      </c>
      <c r="I26" s="1905"/>
      <c r="J26" s="386">
        <f>SUMIF(88:88,I26,89:89)-SUMIF(88:88,C26,89:89)+100</f>
        <v>100</v>
      </c>
      <c r="K26" s="377"/>
      <c r="L26" s="2718"/>
      <c r="M26" s="2712"/>
      <c r="N26" s="2712"/>
      <c r="O26" s="2712"/>
      <c r="P26" s="3753"/>
      <c r="Q26" s="1350" t="str">
        <f t="shared" si="11"/>
        <v>朝向</v>
      </c>
      <c r="R26" s="704" t="s">
        <v>18</v>
      </c>
      <c r="S26" s="705">
        <f t="shared" si="12"/>
        <v>100</v>
      </c>
      <c r="T26" s="704" t="s">
        <v>18</v>
      </c>
      <c r="U26" s="705">
        <f t="shared" si="13"/>
        <v>100</v>
      </c>
      <c r="V26" s="704" t="s">
        <v>18</v>
      </c>
      <c r="W26" s="705">
        <f t="shared" si="14"/>
        <v>100</v>
      </c>
      <c r="X26" s="1353"/>
      <c r="Y26" s="3755"/>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3"/>
      <c r="M27" s="2714"/>
      <c r="N27" s="2714"/>
      <c r="O27" s="2714"/>
      <c r="P27" s="3753"/>
      <c r="Q27" s="1341">
        <f t="shared" si="11"/>
        <v>111</v>
      </c>
      <c r="R27" s="700" t="s">
        <v>18</v>
      </c>
      <c r="S27" s="701">
        <f t="shared" si="12"/>
        <v>100</v>
      </c>
      <c r="T27" s="700" t="s">
        <v>18</v>
      </c>
      <c r="U27" s="701">
        <f t="shared" si="13"/>
        <v>100</v>
      </c>
      <c r="V27" s="700" t="s">
        <v>18</v>
      </c>
      <c r="W27" s="701">
        <f t="shared" si="14"/>
        <v>100</v>
      </c>
      <c r="X27" s="702"/>
      <c r="Y27" s="3755"/>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18"/>
      <c r="M28" s="2712"/>
      <c r="N28" s="2712"/>
      <c r="O28" s="2712"/>
      <c r="P28" s="3753"/>
      <c r="Q28" s="1350">
        <f t="shared" si="11"/>
        <v>111</v>
      </c>
      <c r="R28" s="704" t="s">
        <v>18</v>
      </c>
      <c r="S28" s="705">
        <f t="shared" si="12"/>
        <v>100</v>
      </c>
      <c r="T28" s="704" t="s">
        <v>18</v>
      </c>
      <c r="U28" s="705">
        <f t="shared" si="13"/>
        <v>100</v>
      </c>
      <c r="V28" s="704" t="s">
        <v>18</v>
      </c>
      <c r="W28" s="705">
        <f t="shared" si="14"/>
        <v>100</v>
      </c>
      <c r="X28" s="1353"/>
      <c r="Y28" s="3755"/>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18"/>
      <c r="M29" s="2712"/>
      <c r="N29" s="2712"/>
      <c r="O29" s="2712"/>
      <c r="P29" s="3753"/>
      <c r="Q29" s="1350">
        <f t="shared" si="11"/>
        <v>111</v>
      </c>
      <c r="R29" s="704" t="s">
        <v>18</v>
      </c>
      <c r="S29" s="705">
        <f t="shared" si="12"/>
        <v>100</v>
      </c>
      <c r="T29" s="704" t="s">
        <v>18</v>
      </c>
      <c r="U29" s="705">
        <f t="shared" si="13"/>
        <v>100</v>
      </c>
      <c r="V29" s="704" t="s">
        <v>18</v>
      </c>
      <c r="W29" s="705">
        <f t="shared" si="14"/>
        <v>100</v>
      </c>
      <c r="X29" s="1353"/>
      <c r="Y29" s="3755"/>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18"/>
      <c r="M30" s="2712"/>
      <c r="N30" s="2712"/>
      <c r="O30" s="2712"/>
      <c r="P30" s="3753"/>
      <c r="Q30" s="1350">
        <f t="shared" si="11"/>
        <v>111</v>
      </c>
      <c r="R30" s="704" t="s">
        <v>18</v>
      </c>
      <c r="S30" s="705">
        <f t="shared" si="12"/>
        <v>100</v>
      </c>
      <c r="T30" s="704" t="s">
        <v>18</v>
      </c>
      <c r="U30" s="705">
        <f t="shared" si="13"/>
        <v>100</v>
      </c>
      <c r="V30" s="704" t="s">
        <v>18</v>
      </c>
      <c r="W30" s="705">
        <f t="shared" si="14"/>
        <v>100</v>
      </c>
      <c r="X30" s="1353"/>
      <c r="Y30" s="3755"/>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18"/>
      <c r="M31" s="2712"/>
      <c r="N31" s="2712"/>
      <c r="O31" s="2712"/>
      <c r="P31" s="3753"/>
      <c r="Q31" s="1350">
        <f t="shared" si="11"/>
        <v>111</v>
      </c>
      <c r="R31" s="704" t="s">
        <v>18</v>
      </c>
      <c r="S31" s="705">
        <f t="shared" si="12"/>
        <v>100</v>
      </c>
      <c r="T31" s="704" t="s">
        <v>18</v>
      </c>
      <c r="U31" s="705">
        <f t="shared" si="13"/>
        <v>100</v>
      </c>
      <c r="V31" s="704" t="s">
        <v>18</v>
      </c>
      <c r="W31" s="705">
        <f t="shared" si="14"/>
        <v>100</v>
      </c>
      <c r="X31" s="1353"/>
      <c r="Y31" s="3755"/>
      <c r="Z31" s="1354">
        <f t="shared" si="18"/>
        <v>111</v>
      </c>
      <c r="AA31" s="1351">
        <f t="shared" si="15"/>
        <v>1</v>
      </c>
      <c r="AB31" s="1351">
        <f t="shared" si="16"/>
        <v>1</v>
      </c>
      <c r="AC31" s="1351">
        <f t="shared" si="17"/>
        <v>1</v>
      </c>
    </row>
    <row r="32" spans="1:29" ht="15">
      <c r="A32" s="391" t="s">
        <v>1692</v>
      </c>
      <c r="B32" s="63" t="s">
        <v>1693</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18"/>
      <c r="M32" s="2712"/>
      <c r="N32" s="2712"/>
      <c r="O32" s="2712"/>
      <c r="P32" s="3756" t="s">
        <v>1694</v>
      </c>
      <c r="Q32" s="1350" t="str">
        <f t="shared" si="11"/>
        <v>建筑类型</v>
      </c>
      <c r="R32" s="704" t="s">
        <v>18</v>
      </c>
      <c r="S32" s="705">
        <f t="shared" si="12"/>
        <v>100</v>
      </c>
      <c r="T32" s="704" t="s">
        <v>18</v>
      </c>
      <c r="U32" s="705">
        <f t="shared" si="13"/>
        <v>100</v>
      </c>
      <c r="V32" s="704" t="s">
        <v>18</v>
      </c>
      <c r="W32" s="705">
        <f t="shared" si="14"/>
        <v>100</v>
      </c>
      <c r="X32" s="1353"/>
      <c r="Y32" s="3759" t="s">
        <v>1694</v>
      </c>
      <c r="Z32" s="1354" t="str">
        <f t="shared" si="18"/>
        <v>建筑类型</v>
      </c>
      <c r="AA32" s="1351">
        <f t="shared" si="15"/>
        <v>1</v>
      </c>
      <c r="AB32" s="1351">
        <f t="shared" si="16"/>
        <v>1</v>
      </c>
      <c r="AC32" s="1351">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7"/>
      <c r="M33" s="2719"/>
      <c r="N33" s="2719"/>
      <c r="O33" s="2719"/>
      <c r="P33" s="3757"/>
      <c r="Q33" s="706" t="str">
        <f t="shared" si="11"/>
        <v>项目建筑规模</v>
      </c>
      <c r="R33" s="707" t="s">
        <v>18</v>
      </c>
      <c r="S33" s="708" t="e">
        <f t="shared" si="12"/>
        <v>#N/A</v>
      </c>
      <c r="T33" s="707" t="s">
        <v>18</v>
      </c>
      <c r="U33" s="708" t="e">
        <f t="shared" si="13"/>
        <v>#N/A</v>
      </c>
      <c r="V33" s="707" t="s">
        <v>18</v>
      </c>
      <c r="W33" s="708" t="e">
        <f t="shared" si="14"/>
        <v>#N/A</v>
      </c>
      <c r="X33" s="709"/>
      <c r="Y33" s="3759"/>
      <c r="Z33" s="710" t="str">
        <f t="shared" si="18"/>
        <v>项目建筑规模</v>
      </c>
      <c r="AA33" s="1351" t="e">
        <f t="shared" si="15"/>
        <v>#N/A</v>
      </c>
      <c r="AB33" s="1351" t="e">
        <f t="shared" si="16"/>
        <v>#N/A</v>
      </c>
      <c r="AC33" s="1351" t="e">
        <f t="shared" si="17"/>
        <v>#N/A</v>
      </c>
    </row>
    <row r="34" spans="1:29" ht="15">
      <c r="A34" s="423"/>
      <c r="B34" s="375" t="s">
        <v>1696</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18"/>
      <c r="M34" s="2712"/>
      <c r="N34" s="2712"/>
      <c r="O34" s="2712"/>
      <c r="P34" s="3757"/>
      <c r="Q34" s="1350" t="str">
        <f t="shared" si="11"/>
        <v>建筑结构</v>
      </c>
      <c r="R34" s="704" t="s">
        <v>18</v>
      </c>
      <c r="S34" s="705">
        <f t="shared" si="12"/>
        <v>100</v>
      </c>
      <c r="T34" s="704" t="s">
        <v>18</v>
      </c>
      <c r="U34" s="705">
        <f t="shared" si="13"/>
        <v>100</v>
      </c>
      <c r="V34" s="704" t="s">
        <v>18</v>
      </c>
      <c r="W34" s="705">
        <f t="shared" si="14"/>
        <v>100</v>
      </c>
      <c r="X34" s="1353"/>
      <c r="Y34" s="3759"/>
      <c r="Z34" s="1354" t="str">
        <f t="shared" si="18"/>
        <v>建筑结构</v>
      </c>
      <c r="AA34" s="1351">
        <f t="shared" si="15"/>
        <v>1</v>
      </c>
      <c r="AB34" s="1351">
        <f t="shared" si="16"/>
        <v>1</v>
      </c>
      <c r="AC34" s="1351">
        <f t="shared" si="17"/>
        <v>1</v>
      </c>
    </row>
    <row r="35" spans="1:29" ht="15">
      <c r="A35" s="423"/>
      <c r="B35" s="375" t="s">
        <v>1697</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18"/>
      <c r="M35" s="2712"/>
      <c r="N35" s="2712"/>
      <c r="O35" s="2712"/>
      <c r="P35" s="3757"/>
      <c r="Q35" s="1350" t="str">
        <f t="shared" si="11"/>
        <v>建筑品质</v>
      </c>
      <c r="R35" s="704" t="s">
        <v>18</v>
      </c>
      <c r="S35" s="705">
        <f t="shared" si="12"/>
        <v>100</v>
      </c>
      <c r="T35" s="704" t="s">
        <v>18</v>
      </c>
      <c r="U35" s="705">
        <f t="shared" si="13"/>
        <v>100</v>
      </c>
      <c r="V35" s="704" t="s">
        <v>18</v>
      </c>
      <c r="W35" s="705">
        <f t="shared" si="14"/>
        <v>100</v>
      </c>
      <c r="X35" s="1353"/>
      <c r="Y35" s="3759"/>
      <c r="Z35" s="1354" t="str">
        <f t="shared" si="18"/>
        <v>建筑品质</v>
      </c>
      <c r="AA35" s="1351">
        <f t="shared" si="15"/>
        <v>1</v>
      </c>
      <c r="AB35" s="1351">
        <f t="shared" si="16"/>
        <v>1</v>
      </c>
      <c r="AC35" s="1351">
        <f t="shared" si="17"/>
        <v>1</v>
      </c>
    </row>
    <row r="36" spans="1:29" ht="15">
      <c r="A36" s="423"/>
      <c r="B36" s="375" t="s">
        <v>1698</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18"/>
      <c r="M36" s="2712"/>
      <c r="N36" s="2712"/>
      <c r="O36" s="2712"/>
      <c r="P36" s="3757"/>
      <c r="Q36" s="1350" t="str">
        <f t="shared" si="11"/>
        <v>公共部分装修</v>
      </c>
      <c r="R36" s="704" t="s">
        <v>18</v>
      </c>
      <c r="S36" s="705">
        <f t="shared" si="12"/>
        <v>100</v>
      </c>
      <c r="T36" s="704" t="s">
        <v>18</v>
      </c>
      <c r="U36" s="705">
        <f t="shared" si="13"/>
        <v>100</v>
      </c>
      <c r="V36" s="704" t="s">
        <v>18</v>
      </c>
      <c r="W36" s="705">
        <f t="shared" si="14"/>
        <v>100</v>
      </c>
      <c r="X36" s="1353"/>
      <c r="Y36" s="3759"/>
      <c r="Z36" s="1354" t="str">
        <f t="shared" si="18"/>
        <v>公共部分装修</v>
      </c>
      <c r="AA36" s="1351">
        <f t="shared" si="15"/>
        <v>1</v>
      </c>
      <c r="AB36" s="1351">
        <f t="shared" si="16"/>
        <v>1</v>
      </c>
      <c r="AC36" s="1351">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757"/>
      <c r="Q37" s="1341" t="str">
        <f t="shared" si="11"/>
        <v>成新度</v>
      </c>
      <c r="R37" s="700" t="s">
        <v>18</v>
      </c>
      <c r="S37" s="701" t="e">
        <f t="shared" si="12"/>
        <v>#N/A</v>
      </c>
      <c r="T37" s="700" t="s">
        <v>18</v>
      </c>
      <c r="U37" s="701" t="e">
        <f t="shared" si="13"/>
        <v>#N/A</v>
      </c>
      <c r="V37" s="700" t="s">
        <v>18</v>
      </c>
      <c r="W37" s="701" t="e">
        <f t="shared" si="14"/>
        <v>#N/A</v>
      </c>
      <c r="X37" s="702"/>
      <c r="Y37" s="3759"/>
      <c r="Z37" s="52" t="str">
        <f t="shared" si="18"/>
        <v>成新度</v>
      </c>
      <c r="AA37" s="703" t="e">
        <f t="shared" si="15"/>
        <v>#N/A</v>
      </c>
      <c r="AB37" s="703" t="e">
        <f t="shared" si="16"/>
        <v>#N/A</v>
      </c>
      <c r="AC37" s="703" t="e">
        <f t="shared" si="17"/>
        <v>#N/A</v>
      </c>
    </row>
    <row r="38" spans="1:29" ht="15">
      <c r="A38" s="423"/>
      <c r="B38" s="375" t="s">
        <v>1700</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18"/>
      <c r="M38" s="2712"/>
      <c r="N38" s="2712"/>
      <c r="O38" s="2712"/>
      <c r="P38" s="3757" t="s">
        <v>1694</v>
      </c>
      <c r="Q38" s="1350" t="str">
        <f t="shared" si="11"/>
        <v>物业管理</v>
      </c>
      <c r="R38" s="704" t="s">
        <v>18</v>
      </c>
      <c r="S38" s="705">
        <f t="shared" si="12"/>
        <v>100</v>
      </c>
      <c r="T38" s="704" t="s">
        <v>18</v>
      </c>
      <c r="U38" s="705">
        <f t="shared" si="13"/>
        <v>100</v>
      </c>
      <c r="V38" s="704" t="s">
        <v>18</v>
      </c>
      <c r="W38" s="705">
        <f t="shared" si="14"/>
        <v>100</v>
      </c>
      <c r="X38" s="1353"/>
      <c r="Y38" s="3759" t="s">
        <v>1694</v>
      </c>
      <c r="Z38" s="1354" t="str">
        <f t="shared" si="18"/>
        <v>物业管理</v>
      </c>
      <c r="AA38" s="1351">
        <f t="shared" si="15"/>
        <v>1</v>
      </c>
      <c r="AB38" s="1351">
        <f t="shared" si="16"/>
        <v>1</v>
      </c>
      <c r="AC38" s="1351">
        <f t="shared" si="17"/>
        <v>1</v>
      </c>
    </row>
    <row r="39" spans="1:29" ht="15">
      <c r="A39" s="423"/>
      <c r="B39" s="375" t="s">
        <v>1701</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18"/>
      <c r="M39" s="2712"/>
      <c r="N39" s="2712"/>
      <c r="O39" s="2712"/>
      <c r="P39" s="3757"/>
      <c r="Q39" s="1350" t="str">
        <f t="shared" si="11"/>
        <v>市政基础设施</v>
      </c>
      <c r="R39" s="704" t="s">
        <v>18</v>
      </c>
      <c r="S39" s="705">
        <f t="shared" si="12"/>
        <v>100</v>
      </c>
      <c r="T39" s="704" t="s">
        <v>18</v>
      </c>
      <c r="U39" s="705">
        <f t="shared" si="13"/>
        <v>100</v>
      </c>
      <c r="V39" s="704" t="s">
        <v>18</v>
      </c>
      <c r="W39" s="705">
        <f t="shared" si="14"/>
        <v>100</v>
      </c>
      <c r="X39" s="1353"/>
      <c r="Y39" s="3759"/>
      <c r="Z39" s="1354" t="str">
        <f t="shared" si="18"/>
        <v>市政基础设施</v>
      </c>
      <c r="AA39" s="1351">
        <f t="shared" si="15"/>
        <v>1</v>
      </c>
      <c r="AB39" s="1351">
        <f t="shared" si="16"/>
        <v>1</v>
      </c>
      <c r="AC39" s="1351">
        <f t="shared" si="17"/>
        <v>1</v>
      </c>
    </row>
    <row r="40" spans="1:29" ht="15">
      <c r="A40" s="423"/>
      <c r="B40" s="375" t="s">
        <v>1702</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18"/>
      <c r="M40" s="2712"/>
      <c r="N40" s="2712"/>
      <c r="O40" s="2712"/>
      <c r="P40" s="3757"/>
      <c r="Q40" s="1350" t="str">
        <f t="shared" si="11"/>
        <v>房型</v>
      </c>
      <c r="R40" s="704" t="s">
        <v>18</v>
      </c>
      <c r="S40" s="705">
        <f t="shared" si="12"/>
        <v>100</v>
      </c>
      <c r="T40" s="704" t="s">
        <v>18</v>
      </c>
      <c r="U40" s="705">
        <f t="shared" si="13"/>
        <v>100</v>
      </c>
      <c r="V40" s="704" t="s">
        <v>18</v>
      </c>
      <c r="W40" s="705">
        <f t="shared" si="14"/>
        <v>100</v>
      </c>
      <c r="X40" s="1353"/>
      <c r="Y40" s="3759"/>
      <c r="Z40" s="1354" t="str">
        <f t="shared" si="18"/>
        <v>房型</v>
      </c>
      <c r="AA40" s="1351">
        <f t="shared" si="15"/>
        <v>1</v>
      </c>
      <c r="AB40" s="1351">
        <f t="shared" si="16"/>
        <v>1</v>
      </c>
      <c r="AC40" s="1351">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7"/>
      <c r="M41" s="2719"/>
      <c r="N41" s="2719"/>
      <c r="O41" s="2719"/>
      <c r="P41" s="3757"/>
      <c r="Q41" s="706" t="str">
        <f t="shared" si="11"/>
        <v>单套/主力户型建筑面积</v>
      </c>
      <c r="R41" s="707" t="s">
        <v>18</v>
      </c>
      <c r="S41" s="708">
        <f t="shared" si="12"/>
        <v>100</v>
      </c>
      <c r="T41" s="707" t="s">
        <v>18</v>
      </c>
      <c r="U41" s="708">
        <f t="shared" si="13"/>
        <v>100</v>
      </c>
      <c r="V41" s="707" t="s">
        <v>18</v>
      </c>
      <c r="W41" s="708">
        <f t="shared" si="14"/>
        <v>100</v>
      </c>
      <c r="X41" s="709"/>
      <c r="Y41" s="3759"/>
      <c r="Z41" s="710" t="str">
        <f t="shared" si="18"/>
        <v>单套/主力户型建筑面积</v>
      </c>
      <c r="AA41" s="1351">
        <f t="shared" si="15"/>
        <v>1</v>
      </c>
      <c r="AB41" s="1351">
        <f t="shared" si="16"/>
        <v>1</v>
      </c>
      <c r="AC41" s="1351">
        <f t="shared" si="17"/>
        <v>1</v>
      </c>
    </row>
    <row r="42" spans="1:29" ht="15">
      <c r="A42" s="423"/>
      <c r="B42" s="375" t="s">
        <v>1704</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18"/>
      <c r="M42" s="2712"/>
      <c r="N42" s="2712"/>
      <c r="O42" s="2712"/>
      <c r="P42" s="3757"/>
      <c r="Q42" s="1350" t="str">
        <f t="shared" si="11"/>
        <v>内部装修</v>
      </c>
      <c r="R42" s="704" t="s">
        <v>18</v>
      </c>
      <c r="S42" s="705">
        <f t="shared" si="12"/>
        <v>100</v>
      </c>
      <c r="T42" s="704" t="s">
        <v>18</v>
      </c>
      <c r="U42" s="705">
        <f t="shared" si="13"/>
        <v>100</v>
      </c>
      <c r="V42" s="704" t="s">
        <v>18</v>
      </c>
      <c r="W42" s="705">
        <f t="shared" si="14"/>
        <v>100</v>
      </c>
      <c r="X42" s="1353"/>
      <c r="Y42" s="3759"/>
      <c r="Z42" s="1354" t="str">
        <f t="shared" si="18"/>
        <v>内部装修</v>
      </c>
      <c r="AA42" s="1351">
        <f t="shared" si="15"/>
        <v>1</v>
      </c>
      <c r="AB42" s="1351">
        <f t="shared" si="16"/>
        <v>1</v>
      </c>
      <c r="AC42" s="1351">
        <f t="shared" si="17"/>
        <v>1</v>
      </c>
    </row>
    <row r="43" spans="1:29" ht="15">
      <c r="A43" s="423"/>
      <c r="B43" s="375" t="s">
        <v>1705</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18"/>
      <c r="M43" s="2712"/>
      <c r="N43" s="2712"/>
      <c r="O43" s="2712"/>
      <c r="P43" s="3757"/>
      <c r="Q43" s="1350" t="str">
        <f t="shared" si="11"/>
        <v>内部装修维护情况</v>
      </c>
      <c r="R43" s="704" t="s">
        <v>18</v>
      </c>
      <c r="S43" s="705">
        <f t="shared" si="12"/>
        <v>100</v>
      </c>
      <c r="T43" s="704" t="s">
        <v>18</v>
      </c>
      <c r="U43" s="705">
        <f t="shared" si="13"/>
        <v>100</v>
      </c>
      <c r="V43" s="704" t="s">
        <v>18</v>
      </c>
      <c r="W43" s="705">
        <f t="shared" si="14"/>
        <v>100</v>
      </c>
      <c r="X43" s="1353"/>
      <c r="Y43" s="3759"/>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3"/>
      <c r="M44" s="2714"/>
      <c r="N44" s="2714"/>
      <c r="O44" s="2714"/>
      <c r="P44" s="3757"/>
      <c r="Q44" s="1341">
        <f t="shared" si="11"/>
        <v>111</v>
      </c>
      <c r="R44" s="700" t="s">
        <v>18</v>
      </c>
      <c r="S44" s="701">
        <f t="shared" si="12"/>
        <v>100</v>
      </c>
      <c r="T44" s="700" t="s">
        <v>18</v>
      </c>
      <c r="U44" s="701">
        <f t="shared" si="13"/>
        <v>100</v>
      </c>
      <c r="V44" s="700" t="s">
        <v>18</v>
      </c>
      <c r="W44" s="701">
        <f t="shared" si="14"/>
        <v>100</v>
      </c>
      <c r="X44" s="702"/>
      <c r="Y44" s="3759"/>
      <c r="Z44" s="52">
        <f t="shared" si="18"/>
        <v>111</v>
      </c>
      <c r="AA44" s="703">
        <f t="shared" si="15"/>
        <v>1</v>
      </c>
      <c r="AB44" s="703">
        <f t="shared" si="16"/>
        <v>1</v>
      </c>
      <c r="AC44" s="703">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8"/>
      <c r="M45" s="2712"/>
      <c r="N45" s="2712"/>
      <c r="O45" s="2712"/>
      <c r="P45" s="3757"/>
      <c r="Q45" s="1350">
        <f t="shared" si="11"/>
        <v>111</v>
      </c>
      <c r="R45" s="704" t="s">
        <v>18</v>
      </c>
      <c r="S45" s="705">
        <f t="shared" si="12"/>
        <v>100</v>
      </c>
      <c r="T45" s="704" t="s">
        <v>18</v>
      </c>
      <c r="U45" s="705">
        <f t="shared" si="13"/>
        <v>100</v>
      </c>
      <c r="V45" s="704" t="s">
        <v>18</v>
      </c>
      <c r="W45" s="705">
        <f t="shared" si="14"/>
        <v>100</v>
      </c>
      <c r="X45" s="1353"/>
      <c r="Y45" s="3759"/>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8"/>
      <c r="M46" s="2712"/>
      <c r="N46" s="2712"/>
      <c r="O46" s="2712"/>
      <c r="P46" s="3758"/>
      <c r="Q46" s="1350">
        <f t="shared" si="11"/>
        <v>111</v>
      </c>
      <c r="R46" s="704" t="s">
        <v>17</v>
      </c>
      <c r="S46" s="705">
        <f t="shared" si="12"/>
        <v>100</v>
      </c>
      <c r="T46" s="704" t="s">
        <v>17</v>
      </c>
      <c r="U46" s="705">
        <f t="shared" si="13"/>
        <v>100</v>
      </c>
      <c r="V46" s="704" t="s">
        <v>17</v>
      </c>
      <c r="W46" s="705">
        <f t="shared" si="14"/>
        <v>100</v>
      </c>
      <c r="X46" s="1353"/>
      <c r="Y46" s="3760"/>
      <c r="Z46" s="1354">
        <f t="shared" si="18"/>
        <v>111</v>
      </c>
      <c r="AA46" s="1351">
        <f t="shared" si="15"/>
        <v>1</v>
      </c>
      <c r="AB46" s="1351">
        <f t="shared" si="16"/>
        <v>1</v>
      </c>
      <c r="AC46" s="1351">
        <f t="shared" si="17"/>
        <v>1</v>
      </c>
    </row>
    <row r="47" spans="1:29" ht="15">
      <c r="A47" s="430" t="s">
        <v>1706</v>
      </c>
      <c r="B47" s="431"/>
      <c r="C47" s="1152" t="s">
        <v>16</v>
      </c>
      <c r="D47" s="1153"/>
      <c r="E47" s="1154"/>
      <c r="F47" s="1155"/>
      <c r="G47" s="1156"/>
      <c r="H47" s="1157"/>
      <c r="I47" s="1154"/>
      <c r="J47" s="1157"/>
      <c r="K47" s="1912"/>
      <c r="L47" s="2720"/>
      <c r="M47" s="2721"/>
      <c r="N47" s="2712"/>
      <c r="O47" s="2721"/>
      <c r="P47" s="3761" t="str">
        <f>A47</f>
        <v>成交单价（元/平方米）</v>
      </c>
      <c r="Q47" s="3761"/>
      <c r="R47" s="3762">
        <f>E47</f>
        <v>0</v>
      </c>
      <c r="S47" s="3762"/>
      <c r="T47" s="3762">
        <f>G47</f>
        <v>0</v>
      </c>
      <c r="U47" s="3762"/>
      <c r="V47" s="3762">
        <f>I47</f>
        <v>0</v>
      </c>
      <c r="W47" s="3762"/>
      <c r="X47" s="689"/>
      <c r="Y47" s="711"/>
      <c r="Z47" s="689"/>
      <c r="AA47" s="689"/>
      <c r="AB47" s="689"/>
      <c r="AC47" s="689"/>
    </row>
    <row r="48" spans="1:29" ht="15.75" thickBot="1">
      <c r="A48" s="437" t="s">
        <v>1707</v>
      </c>
      <c r="B48" s="438"/>
      <c r="C48" s="1158" t="e">
        <f>R49</f>
        <v>#DIV/0!</v>
      </c>
      <c r="D48" s="2315" t="s">
        <v>2135</v>
      </c>
      <c r="E48" s="1159" t="e">
        <f>R48</f>
        <v>#DIV/0!</v>
      </c>
      <c r="F48" s="2316"/>
      <c r="G48" s="1158" t="e">
        <f>T48</f>
        <v>#DIV/0!</v>
      </c>
      <c r="H48" s="2316"/>
      <c r="I48" s="1159" t="e">
        <f>V48</f>
        <v>#DIV/0!</v>
      </c>
      <c r="J48" s="2316"/>
      <c r="K48" s="2317">
        <f>F48+H48+J48</f>
        <v>0</v>
      </c>
      <c r="L48" s="2720"/>
      <c r="M48" s="2721"/>
      <c r="N48" s="2721"/>
      <c r="O48" s="2721"/>
      <c r="P48" s="3761" t="str">
        <f>A48</f>
        <v>比较价值（元/平方米）</v>
      </c>
      <c r="Q48" s="3761"/>
      <c r="R48" s="3762" t="e">
        <f>IF(F1="售价",ROUND(PRODUCT(R47,AA7:AA46),0),ROUND(PRODUCT(R47,AA7:AA46),1))</f>
        <v>#DIV/0!</v>
      </c>
      <c r="S48" s="3762"/>
      <c r="T48" s="3762" t="e">
        <f>IF(F1="售价",ROUND(PRODUCT(T47,AB7:AB46),0),ROUND(PRODUCT(T47,AB7:AB46),1))</f>
        <v>#DIV/0!</v>
      </c>
      <c r="U48" s="3762"/>
      <c r="V48" s="3762" t="e">
        <f>IF(F1="售价",ROUND(PRODUCT(V47,AC7:AC46),0),ROUND(PRODUCT(V47,AC7:AC46),1))</f>
        <v>#DIV/0!</v>
      </c>
      <c r="W48" s="3762"/>
      <c r="X48" s="689"/>
      <c r="Y48" s="689"/>
      <c r="Z48" s="689"/>
      <c r="AA48" s="689"/>
      <c r="AB48" s="689"/>
      <c r="AC48" s="689"/>
    </row>
    <row r="49" spans="1:29" ht="15.75" thickBot="1">
      <c r="A49" s="441" t="s">
        <v>1708</v>
      </c>
      <c r="B49" s="442"/>
      <c r="C49" s="1160" t="e">
        <f>R49</f>
        <v>#DIV/0!</v>
      </c>
      <c r="D49" s="1161"/>
      <c r="E49" s="1161"/>
      <c r="F49" s="1161"/>
      <c r="G49" s="1161"/>
      <c r="H49" s="1161"/>
      <c r="I49" s="1161"/>
      <c r="J49" s="1161"/>
      <c r="K49" s="1913"/>
      <c r="L49" s="2720"/>
      <c r="M49" s="2721"/>
      <c r="N49" s="2721"/>
      <c r="O49" s="2721"/>
      <c r="P49" s="3794" t="str">
        <f>A49</f>
        <v>估价对象XX用房的比较价值（楼面单价，元/平方米）</v>
      </c>
      <c r="Q49" s="3795"/>
      <c r="R49" s="3796" t="e">
        <f>IF(F1="售价",ROUND(IF(D48="简单平均",AVERAGE(R48:V48),R48*F48+T48*H48+V48*J48),0),ROUND(IF(D48="简单平均",AVERAGE(R48:V48),R48*F48+T48*H48+V48*J48),1))</f>
        <v>#DIV/0!</v>
      </c>
      <c r="S49" s="3796"/>
      <c r="T49" s="3796"/>
      <c r="U49" s="3796"/>
      <c r="V49" s="3796"/>
      <c r="W49" s="3796"/>
      <c r="X49" s="689"/>
      <c r="Y49" s="689"/>
      <c r="Z49" s="689"/>
      <c r="AA49" s="689"/>
      <c r="AB49" s="689"/>
      <c r="AC49" s="689"/>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5"/>
    </row>
    <row r="55" spans="1:29" s="451" customFormat="1">
      <c r="A55" s="2724"/>
      <c r="B55" s="2727"/>
      <c r="C55" s="2728"/>
      <c r="D55" s="2724"/>
      <c r="E55" s="2724"/>
      <c r="F55" s="2724"/>
      <c r="G55" s="2724"/>
      <c r="H55" s="2724"/>
      <c r="I55" s="2724"/>
      <c r="J55" s="2724"/>
      <c r="K55" s="2729"/>
      <c r="L55" s="2723"/>
      <c r="M55" s="2724"/>
      <c r="N55" s="2724"/>
      <c r="O55" s="2724"/>
      <c r="P55" s="1915"/>
    </row>
    <row r="56" spans="1:29">
      <c r="A56" s="2721"/>
      <c r="B56" s="2727"/>
      <c r="C56" s="2728"/>
      <c r="D56" s="2721"/>
      <c r="E56" s="2721"/>
      <c r="F56" s="2721"/>
      <c r="G56" s="2721"/>
      <c r="H56" s="2721"/>
      <c r="I56" s="2721"/>
      <c r="J56" s="2721"/>
      <c r="K56" s="2726"/>
      <c r="L56" s="2722"/>
      <c r="M56" s="2721"/>
      <c r="N56" s="2721"/>
      <c r="O56" s="2721"/>
    </row>
    <row r="57" spans="1:29" ht="21.75" thickBot="1">
      <c r="A57" s="693" t="s">
        <v>1712</v>
      </c>
      <c r="B57" s="689"/>
      <c r="C57" s="694"/>
      <c r="D57" s="694"/>
      <c r="E57" s="694"/>
      <c r="F57" s="695"/>
      <c r="G57" s="695"/>
      <c r="H57" s="694"/>
      <c r="I57" s="694"/>
      <c r="J57" s="694"/>
      <c r="K57" s="940"/>
      <c r="L57" s="941"/>
      <c r="M57" s="939"/>
      <c r="N57" s="939"/>
      <c r="O57" s="939"/>
      <c r="P57" s="1916"/>
      <c r="Q57" s="453"/>
    </row>
    <row r="58" spans="1:29" s="457" customFormat="1" ht="15">
      <c r="A58" s="454" t="s">
        <v>1713</v>
      </c>
      <c r="B58" s="455"/>
      <c r="C58" s="1184" t="str">
        <f>YEAR(C7)&amp;"-"&amp;MONTH(C7)</f>
        <v>2024-7</v>
      </c>
      <c r="D58" s="1183">
        <f>EDATE(C58,-1)</f>
        <v>45444</v>
      </c>
      <c r="E58" s="1183">
        <f>EDATE(D58,-1)</f>
        <v>45413</v>
      </c>
      <c r="F58" s="1183">
        <f t="shared" ref="F58:O58" si="19">EDATE(E58,-1)</f>
        <v>45383</v>
      </c>
      <c r="G58" s="1183">
        <f t="shared" si="19"/>
        <v>45352</v>
      </c>
      <c r="H58" s="1183">
        <f t="shared" si="19"/>
        <v>45323</v>
      </c>
      <c r="I58" s="1183">
        <f t="shared" si="19"/>
        <v>45292</v>
      </c>
      <c r="J58" s="1183">
        <f t="shared" si="19"/>
        <v>45261</v>
      </c>
      <c r="K58" s="1183">
        <f t="shared" si="19"/>
        <v>45231</v>
      </c>
      <c r="L58" s="1183">
        <f t="shared" si="19"/>
        <v>45200</v>
      </c>
      <c r="M58" s="1183">
        <f t="shared" si="19"/>
        <v>45170</v>
      </c>
      <c r="N58" s="1183">
        <f t="shared" si="19"/>
        <v>45139</v>
      </c>
      <c r="O58" s="1183">
        <f t="shared" si="19"/>
        <v>45108</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1714</v>
      </c>
      <c r="B60" s="465"/>
      <c r="C60" s="466"/>
      <c r="D60" s="467"/>
      <c r="E60" s="467"/>
      <c r="F60" s="467"/>
      <c r="G60" s="467"/>
      <c r="H60" s="467"/>
      <c r="I60" s="467"/>
      <c r="J60" s="467"/>
      <c r="K60" s="467"/>
      <c r="L60" s="467"/>
      <c r="M60" s="468"/>
      <c r="N60" s="467"/>
      <c r="O60" s="468"/>
      <c r="P60" s="1918"/>
      <c r="Q60" s="453"/>
    </row>
    <row r="61" spans="1:29" s="108" customFormat="1" ht="15">
      <c r="A61" s="470" t="s">
        <v>1715</v>
      </c>
      <c r="B61" s="459"/>
      <c r="C61" s="471" t="s">
        <v>1716</v>
      </c>
      <c r="D61" s="472"/>
      <c r="E61" s="472"/>
      <c r="F61" s="472"/>
      <c r="G61" s="472"/>
      <c r="H61" s="472"/>
      <c r="I61" s="472"/>
      <c r="J61" s="472"/>
      <c r="K61" s="472"/>
      <c r="L61" s="473"/>
      <c r="M61" s="474"/>
      <c r="N61" s="931"/>
      <c r="O61" s="931"/>
      <c r="P61" s="1919"/>
      <c r="Q61" s="453"/>
    </row>
    <row r="62" spans="1:29" s="108" customFormat="1" ht="15.75" thickBot="1">
      <c r="A62" s="470"/>
      <c r="B62" s="459"/>
      <c r="C62" s="460">
        <v>100</v>
      </c>
      <c r="D62" s="461"/>
      <c r="E62" s="461"/>
      <c r="F62" s="461"/>
      <c r="G62" s="461"/>
      <c r="H62" s="461"/>
      <c r="I62" s="461"/>
      <c r="J62" s="461"/>
      <c r="K62" s="461"/>
      <c r="L62" s="461"/>
      <c r="M62" s="463"/>
      <c r="N62" s="931"/>
      <c r="O62" s="931"/>
      <c r="P62" s="1918"/>
      <c r="Q62" s="453"/>
    </row>
    <row r="63" spans="1:29">
      <c r="A63" s="476" t="s">
        <v>1717</v>
      </c>
      <c r="B63" s="477" t="s">
        <v>1683</v>
      </c>
      <c r="C63" s="478">
        <f>C9</f>
        <v>0</v>
      </c>
      <c r="D63" s="479"/>
      <c r="E63" s="479"/>
      <c r="F63" s="479"/>
      <c r="G63" s="479"/>
      <c r="H63" s="479"/>
      <c r="I63" s="479"/>
      <c r="J63" s="479"/>
      <c r="K63" s="480"/>
      <c r="L63" s="481"/>
      <c r="M63" s="482"/>
      <c r="N63" s="932"/>
      <c r="O63" s="932"/>
      <c r="P63" s="1920"/>
      <c r="Q63" s="453"/>
    </row>
    <row r="64" spans="1:29" ht="15.75" thickBot="1">
      <c r="A64" s="483"/>
      <c r="B64" s="484"/>
      <c r="C64" s="485">
        <v>100</v>
      </c>
      <c r="D64" s="485"/>
      <c r="E64" s="485"/>
      <c r="F64" s="485"/>
      <c r="G64" s="485"/>
      <c r="H64" s="485"/>
      <c r="I64" s="485"/>
      <c r="J64" s="485"/>
      <c r="K64" s="485"/>
      <c r="L64" s="485"/>
      <c r="M64" s="486"/>
      <c r="N64" s="933"/>
      <c r="O64" s="933"/>
      <c r="P64" s="1920"/>
      <c r="Q64" s="453"/>
    </row>
    <row r="65" spans="1:17" ht="27.75" thickTop="1">
      <c r="A65" s="483"/>
      <c r="B65" s="487" t="s">
        <v>1686</v>
      </c>
      <c r="C65" s="532"/>
      <c r="D65" s="532"/>
      <c r="E65" s="532"/>
      <c r="F65" s="532"/>
      <c r="G65" s="532"/>
      <c r="H65" s="532"/>
      <c r="I65" s="532"/>
      <c r="J65" s="532"/>
      <c r="K65" s="532"/>
      <c r="L65" s="532"/>
      <c r="M65" s="532"/>
      <c r="N65" s="933"/>
      <c r="O65" s="933"/>
      <c r="P65" s="1920"/>
      <c r="Q65" s="453"/>
    </row>
    <row r="66" spans="1:17" ht="15.75" thickBot="1">
      <c r="A66" s="483"/>
      <c r="B66" s="492"/>
      <c r="C66" s="485"/>
      <c r="D66" s="485"/>
      <c r="E66" s="485"/>
      <c r="F66" s="485"/>
      <c r="G66" s="485"/>
      <c r="H66" s="485"/>
      <c r="I66" s="485"/>
      <c r="J66" s="485"/>
      <c r="K66" s="485"/>
      <c r="L66" s="485"/>
      <c r="M66" s="486"/>
      <c r="N66" s="933"/>
      <c r="O66" s="933"/>
      <c r="P66" s="1920"/>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0"/>
      <c r="Q67" s="453"/>
    </row>
    <row r="68" spans="1:17" ht="15">
      <c r="A68" s="483"/>
      <c r="B68" s="497"/>
      <c r="C68" s="498"/>
      <c r="D68" s="498"/>
      <c r="E68" s="498"/>
      <c r="F68" s="498"/>
      <c r="G68" s="498"/>
      <c r="H68" s="498"/>
      <c r="I68" s="498"/>
      <c r="J68" s="498"/>
      <c r="K68" s="499"/>
      <c r="L68" s="500"/>
      <c r="M68" s="501"/>
      <c r="N68" s="932"/>
      <c r="O68" s="932"/>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0"/>
      <c r="Q69" s="453"/>
    </row>
    <row r="70" spans="1:17" s="422" customFormat="1" ht="15.75" thickTop="1">
      <c r="A70" s="502"/>
      <c r="B70" s="487">
        <f>B12</f>
        <v>111</v>
      </c>
      <c r="C70" s="503"/>
      <c r="D70" s="503"/>
      <c r="E70" s="503"/>
      <c r="F70" s="503"/>
      <c r="G70" s="503"/>
      <c r="H70" s="504"/>
      <c r="I70" s="504"/>
      <c r="J70" s="504"/>
      <c r="K70" s="504"/>
      <c r="L70" s="505"/>
      <c r="M70" s="506"/>
      <c r="N70" s="934"/>
      <c r="O70" s="934"/>
      <c r="P70" s="1921"/>
      <c r="Q70" s="508"/>
    </row>
    <row r="71" spans="1:17" s="422" customFormat="1" ht="15.75" thickBot="1">
      <c r="A71" s="502"/>
      <c r="B71" s="492"/>
      <c r="C71" s="509"/>
      <c r="D71" s="485"/>
      <c r="E71" s="485"/>
      <c r="F71" s="485"/>
      <c r="G71" s="485"/>
      <c r="H71" s="485"/>
      <c r="I71" s="485"/>
      <c r="J71" s="485"/>
      <c r="K71" s="485"/>
      <c r="L71" s="485"/>
      <c r="M71" s="486"/>
      <c r="N71" s="933"/>
      <c r="O71" s="933"/>
      <c r="P71" s="1921"/>
      <c r="Q71" s="508"/>
    </row>
    <row r="72" spans="1:17" s="422" customFormat="1" ht="15.75" thickTop="1">
      <c r="A72" s="502"/>
      <c r="B72" s="487">
        <f>B13</f>
        <v>111</v>
      </c>
      <c r="C72" s="503"/>
      <c r="D72" s="503"/>
      <c r="E72" s="503"/>
      <c r="F72" s="503"/>
      <c r="G72" s="503"/>
      <c r="H72" s="504"/>
      <c r="I72" s="504"/>
      <c r="J72" s="504"/>
      <c r="K72" s="504"/>
      <c r="L72" s="505"/>
      <c r="M72" s="506"/>
      <c r="N72" s="934"/>
      <c r="O72" s="934"/>
      <c r="P72" s="1922"/>
      <c r="Q72" s="510"/>
    </row>
    <row r="73" spans="1:17" s="422" customFormat="1" ht="15.75" thickBot="1">
      <c r="A73" s="502"/>
      <c r="B73" s="492"/>
      <c r="C73" s="509"/>
      <c r="D73" s="509"/>
      <c r="E73" s="509"/>
      <c r="F73" s="509"/>
      <c r="G73" s="509"/>
      <c r="H73" s="511"/>
      <c r="I73" s="511"/>
      <c r="J73" s="511"/>
      <c r="K73" s="511"/>
      <c r="L73" s="511"/>
      <c r="M73" s="512"/>
      <c r="N73" s="934"/>
      <c r="O73" s="934"/>
      <c r="P73" s="1921"/>
      <c r="Q73" s="508"/>
    </row>
    <row r="74" spans="1:17" s="422" customFormat="1" ht="15.75" thickTop="1">
      <c r="A74" s="502"/>
      <c r="B74" s="495">
        <f>B14</f>
        <v>111</v>
      </c>
      <c r="C74" s="503"/>
      <c r="D74" s="503"/>
      <c r="E74" s="503"/>
      <c r="F74" s="503"/>
      <c r="G74" s="472"/>
      <c r="H74" s="513"/>
      <c r="I74" s="513"/>
      <c r="J74" s="513"/>
      <c r="K74" s="513"/>
      <c r="L74" s="514"/>
      <c r="M74" s="515"/>
      <c r="N74" s="934"/>
      <c r="O74" s="934"/>
      <c r="P74" s="1923"/>
      <c r="Q74" s="508"/>
    </row>
    <row r="75" spans="1:17" s="422" customFormat="1" ht="15.75" thickBot="1">
      <c r="A75" s="517"/>
      <c r="B75" s="518"/>
      <c r="C75" s="519"/>
      <c r="D75" s="519"/>
      <c r="E75" s="519"/>
      <c r="F75" s="519"/>
      <c r="G75" s="519"/>
      <c r="H75" s="520"/>
      <c r="I75" s="520"/>
      <c r="J75" s="520"/>
      <c r="K75" s="520"/>
      <c r="L75" s="520"/>
      <c r="M75" s="521"/>
      <c r="N75" s="934"/>
      <c r="O75" s="934"/>
      <c r="P75" s="1921"/>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2"/>
      <c r="O76" s="932"/>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0"/>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2"/>
      <c r="O78" s="932"/>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0"/>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2"/>
      <c r="O80" s="932"/>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0"/>
      <c r="Q81" s="453"/>
    </row>
    <row r="82" spans="1:17" ht="15.75" thickTop="1">
      <c r="A82" s="483"/>
      <c r="B82" s="495" t="s">
        <v>1258</v>
      </c>
      <c r="C82" s="488" t="s">
        <v>1726</v>
      </c>
      <c r="D82" s="488" t="s">
        <v>1727</v>
      </c>
      <c r="E82" s="488" t="s">
        <v>1728</v>
      </c>
      <c r="F82" s="488" t="s">
        <v>1729</v>
      </c>
      <c r="G82" s="488" t="s">
        <v>1730</v>
      </c>
      <c r="H82" s="488"/>
      <c r="I82" s="488"/>
      <c r="J82" s="488"/>
      <c r="K82" s="488"/>
      <c r="L82" s="488"/>
      <c r="M82" s="1127"/>
      <c r="N82" s="933"/>
      <c r="O82" s="933"/>
      <c r="P82" s="1920"/>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0"/>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2"/>
      <c r="O84" s="932"/>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0"/>
      <c r="Q85" s="453"/>
    </row>
    <row r="86" spans="1:17" s="108" customFormat="1" ht="15.75" thickTop="1">
      <c r="A86" s="528"/>
      <c r="B86" s="487" t="s">
        <v>1732</v>
      </c>
      <c r="C86" s="503"/>
      <c r="D86" s="503"/>
      <c r="E86" s="503"/>
      <c r="F86" s="503"/>
      <c r="G86" s="503"/>
      <c r="H86" s="503"/>
      <c r="I86" s="503"/>
      <c r="J86" s="503"/>
      <c r="K86" s="503"/>
      <c r="L86" s="529"/>
      <c r="M86" s="530"/>
      <c r="N86" s="931"/>
      <c r="O86" s="931"/>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0"/>
      <c r="Q87" s="453"/>
    </row>
    <row r="88" spans="1:17" s="108" customFormat="1" ht="15.75" thickTop="1">
      <c r="A88" s="528"/>
      <c r="B88" s="487" t="s">
        <v>1733</v>
      </c>
      <c r="C88" s="503"/>
      <c r="D88" s="503"/>
      <c r="E88" s="503"/>
      <c r="F88" s="1925"/>
      <c r="G88" s="503"/>
      <c r="H88" s="503"/>
      <c r="I88" s="503"/>
      <c r="J88" s="503"/>
      <c r="K88" s="503"/>
      <c r="L88" s="503"/>
      <c r="M88" s="530"/>
      <c r="N88" s="931"/>
      <c r="O88" s="931"/>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0"/>
      <c r="Q89" s="453"/>
    </row>
    <row r="90" spans="1:17" s="422" customFormat="1" ht="15.75" thickTop="1">
      <c r="A90" s="502"/>
      <c r="B90" s="487">
        <f>B27</f>
        <v>111</v>
      </c>
      <c r="C90" s="503"/>
      <c r="D90" s="503"/>
      <c r="E90" s="503"/>
      <c r="F90" s="503"/>
      <c r="G90" s="503"/>
      <c r="H90" s="504"/>
      <c r="I90" s="504"/>
      <c r="J90" s="504"/>
      <c r="K90" s="504"/>
      <c r="L90" s="505"/>
      <c r="M90" s="506"/>
      <c r="N90" s="934"/>
      <c r="O90" s="934"/>
      <c r="P90" s="1921"/>
      <c r="Q90" s="508"/>
    </row>
    <row r="91" spans="1:17" s="422" customFormat="1" ht="15.75" thickBot="1">
      <c r="A91" s="502"/>
      <c r="B91" s="492"/>
      <c r="C91" s="509"/>
      <c r="D91" s="509"/>
      <c r="E91" s="509"/>
      <c r="F91" s="509"/>
      <c r="G91" s="509"/>
      <c r="H91" s="511"/>
      <c r="I91" s="511"/>
      <c r="J91" s="511"/>
      <c r="K91" s="511"/>
      <c r="L91" s="511"/>
      <c r="M91" s="512"/>
      <c r="N91" s="934"/>
      <c r="O91" s="934"/>
      <c r="P91" s="1921"/>
      <c r="Q91" s="508"/>
    </row>
    <row r="92" spans="1:17" ht="15.75" thickTop="1">
      <c r="A92" s="483"/>
      <c r="B92" s="487">
        <f>B28</f>
        <v>111</v>
      </c>
      <c r="C92" s="503"/>
      <c r="D92" s="503"/>
      <c r="E92" s="503"/>
      <c r="F92" s="503"/>
      <c r="G92" s="532"/>
      <c r="H92" s="532"/>
      <c r="I92" s="532"/>
      <c r="J92" s="532"/>
      <c r="K92" s="533"/>
      <c r="L92" s="534"/>
      <c r="M92" s="535"/>
      <c r="N92" s="932"/>
      <c r="O92" s="932"/>
      <c r="P92" s="1920"/>
      <c r="Q92" s="453"/>
    </row>
    <row r="93" spans="1:17" ht="15.75" thickBot="1">
      <c r="A93" s="483"/>
      <c r="B93" s="492"/>
      <c r="C93" s="509"/>
      <c r="D93" s="485"/>
      <c r="E93" s="485"/>
      <c r="F93" s="485"/>
      <c r="G93" s="485"/>
      <c r="H93" s="485"/>
      <c r="I93" s="485"/>
      <c r="J93" s="485"/>
      <c r="K93" s="485"/>
      <c r="L93" s="485"/>
      <c r="M93" s="486"/>
      <c r="N93" s="933"/>
      <c r="O93" s="933"/>
      <c r="P93" s="1920"/>
      <c r="Q93" s="453"/>
    </row>
    <row r="94" spans="1:17" ht="15.75" thickTop="1">
      <c r="A94" s="483"/>
      <c r="B94" s="487">
        <f>B29</f>
        <v>111</v>
      </c>
      <c r="C94" s="503"/>
      <c r="D94" s="503"/>
      <c r="E94" s="503"/>
      <c r="F94" s="503"/>
      <c r="G94" s="532"/>
      <c r="H94" s="532"/>
      <c r="I94" s="532"/>
      <c r="J94" s="532"/>
      <c r="K94" s="533"/>
      <c r="L94" s="534"/>
      <c r="M94" s="535"/>
      <c r="N94" s="932"/>
      <c r="O94" s="932"/>
      <c r="P94" s="1920"/>
      <c r="Q94" s="453"/>
    </row>
    <row r="95" spans="1:17" ht="15.75" thickBot="1">
      <c r="A95" s="483"/>
      <c r="B95" s="492"/>
      <c r="C95" s="509"/>
      <c r="D95" s="509"/>
      <c r="E95" s="509"/>
      <c r="F95" s="509"/>
      <c r="G95" s="485"/>
      <c r="H95" s="485"/>
      <c r="I95" s="485"/>
      <c r="J95" s="485"/>
      <c r="K95" s="485"/>
      <c r="L95" s="485"/>
      <c r="M95" s="486"/>
      <c r="N95" s="933"/>
      <c r="O95" s="933"/>
      <c r="P95" s="1920"/>
      <c r="Q95" s="453"/>
    </row>
    <row r="96" spans="1:17" ht="15.75" thickTop="1">
      <c r="A96" s="483"/>
      <c r="B96" s="487">
        <f>B30</f>
        <v>111</v>
      </c>
      <c r="C96" s="503"/>
      <c r="D96" s="503"/>
      <c r="E96" s="503"/>
      <c r="F96" s="503"/>
      <c r="G96" s="532"/>
      <c r="H96" s="532"/>
      <c r="I96" s="532"/>
      <c r="J96" s="532"/>
      <c r="K96" s="533"/>
      <c r="L96" s="534"/>
      <c r="M96" s="535"/>
      <c r="N96" s="932"/>
      <c r="O96" s="932"/>
      <c r="P96" s="1920"/>
      <c r="Q96" s="453"/>
    </row>
    <row r="97" spans="1:17" ht="15.75" thickBot="1">
      <c r="A97" s="483"/>
      <c r="B97" s="492"/>
      <c r="C97" s="519"/>
      <c r="D97" s="519"/>
      <c r="E97" s="519"/>
      <c r="F97" s="519"/>
      <c r="G97" s="485"/>
      <c r="H97" s="485"/>
      <c r="I97" s="485"/>
      <c r="J97" s="485"/>
      <c r="K97" s="485"/>
      <c r="L97" s="485"/>
      <c r="M97" s="486"/>
      <c r="N97" s="933"/>
      <c r="O97" s="933"/>
      <c r="P97" s="1920"/>
      <c r="Q97" s="453"/>
    </row>
    <row r="98" spans="1:17" ht="15.75" thickTop="1">
      <c r="A98" s="483"/>
      <c r="B98" s="495">
        <f>B31</f>
        <v>111</v>
      </c>
      <c r="C98" s="536"/>
      <c r="D98" s="536"/>
      <c r="E98" s="536"/>
      <c r="F98" s="536"/>
      <c r="G98" s="536"/>
      <c r="H98" s="536"/>
      <c r="I98" s="536"/>
      <c r="J98" s="536"/>
      <c r="K98" s="537"/>
      <c r="L98" s="538"/>
      <c r="M98" s="539"/>
      <c r="N98" s="932"/>
      <c r="O98" s="932"/>
      <c r="P98" s="1920"/>
      <c r="Q98" s="453"/>
    </row>
    <row r="99" spans="1:17" ht="15.75" thickBot="1">
      <c r="A99" s="1926"/>
      <c r="B99" s="518"/>
      <c r="C99" s="540"/>
      <c r="D99" s="540"/>
      <c r="E99" s="540"/>
      <c r="F99" s="540"/>
      <c r="G99" s="540"/>
      <c r="H99" s="540"/>
      <c r="I99" s="540"/>
      <c r="J99" s="540"/>
      <c r="K99" s="540"/>
      <c r="L99" s="540"/>
      <c r="M99" s="541"/>
      <c r="N99" s="933"/>
      <c r="O99" s="933"/>
      <c r="P99" s="1920"/>
      <c r="Q99" s="453"/>
    </row>
    <row r="100" spans="1:17">
      <c r="A100" s="476" t="s">
        <v>1692</v>
      </c>
      <c r="B100" s="477" t="s">
        <v>1734</v>
      </c>
      <c r="C100" s="479"/>
      <c r="D100" s="479"/>
      <c r="E100" s="479"/>
      <c r="F100" s="479"/>
      <c r="G100" s="479"/>
      <c r="H100" s="479"/>
      <c r="I100" s="479"/>
      <c r="J100" s="479"/>
      <c r="K100" s="480"/>
      <c r="L100" s="481"/>
      <c r="M100" s="482"/>
      <c r="N100" s="932"/>
      <c r="O100" s="932"/>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0"/>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0"/>
      <c r="Q102" s="453"/>
    </row>
    <row r="103" spans="1:17" s="422" customFormat="1">
      <c r="A103" s="542"/>
      <c r="B103" s="543"/>
      <c r="C103" s="544"/>
      <c r="D103" s="544"/>
      <c r="E103" s="544"/>
      <c r="F103" s="544"/>
      <c r="G103" s="544"/>
      <c r="H103" s="544"/>
      <c r="I103" s="544"/>
      <c r="J103" s="545"/>
      <c r="K103" s="545"/>
      <c r="L103" s="546"/>
      <c r="M103" s="547"/>
      <c r="N103" s="934"/>
      <c r="O103" s="934"/>
      <c r="P103" s="1921"/>
      <c r="Q103" s="508"/>
    </row>
    <row r="104" spans="1:17" s="422" customFormat="1" ht="15.75" thickBot="1">
      <c r="A104" s="502"/>
      <c r="B104" s="492"/>
      <c r="C104" s="509"/>
      <c r="D104" s="485"/>
      <c r="E104" s="485"/>
      <c r="F104" s="485"/>
      <c r="G104" s="485"/>
      <c r="H104" s="485"/>
      <c r="I104" s="485"/>
      <c r="J104" s="485"/>
      <c r="K104" s="485"/>
      <c r="L104" s="485"/>
      <c r="M104" s="485"/>
      <c r="N104" s="933"/>
      <c r="O104" s="933"/>
      <c r="P104" s="1921"/>
      <c r="Q104" s="508"/>
    </row>
    <row r="105" spans="1:17" ht="15" thickTop="1">
      <c r="A105" s="548"/>
      <c r="B105" s="487" t="s">
        <v>1736</v>
      </c>
      <c r="C105" s="503"/>
      <c r="D105" s="503"/>
      <c r="E105" s="532"/>
      <c r="F105" s="532"/>
      <c r="G105" s="532"/>
      <c r="H105" s="532"/>
      <c r="I105" s="532"/>
      <c r="J105" s="532"/>
      <c r="K105" s="533"/>
      <c r="L105" s="534"/>
      <c r="M105" s="535"/>
      <c r="N105" s="932"/>
      <c r="O105" s="932"/>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0"/>
      <c r="Q106" s="453"/>
    </row>
    <row r="107" spans="1:17" ht="15" thickTop="1">
      <c r="A107" s="548"/>
      <c r="B107" s="487" t="s">
        <v>1737</v>
      </c>
      <c r="C107" s="532"/>
      <c r="D107" s="532"/>
      <c r="E107" s="532"/>
      <c r="F107" s="532"/>
      <c r="G107" s="532"/>
      <c r="H107" s="532"/>
      <c r="I107" s="532"/>
      <c r="J107" s="532"/>
      <c r="K107" s="533"/>
      <c r="L107" s="534"/>
      <c r="M107" s="535"/>
      <c r="N107" s="932"/>
      <c r="O107" s="932"/>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0"/>
      <c r="Q108" s="453"/>
    </row>
    <row r="109" spans="1:17" ht="15" thickTop="1">
      <c r="A109" s="548"/>
      <c r="B109" s="487" t="s">
        <v>1738</v>
      </c>
      <c r="C109" s="503"/>
      <c r="D109" s="503"/>
      <c r="E109" s="503"/>
      <c r="F109" s="532"/>
      <c r="G109" s="532"/>
      <c r="H109" s="532"/>
      <c r="I109" s="532"/>
      <c r="J109" s="532"/>
      <c r="K109" s="533"/>
      <c r="L109" s="534"/>
      <c r="M109" s="535"/>
      <c r="N109" s="932"/>
      <c r="O109" s="932"/>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0"/>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1"/>
      <c r="Q113" s="508"/>
    </row>
    <row r="114" spans="1:17" ht="15" thickTop="1">
      <c r="A114" s="548"/>
      <c r="B114" s="487" t="s">
        <v>1739</v>
      </c>
      <c r="C114" s="503"/>
      <c r="D114" s="503"/>
      <c r="E114" s="532"/>
      <c r="F114" s="532"/>
      <c r="G114" s="532"/>
      <c r="H114" s="532"/>
      <c r="I114" s="532"/>
      <c r="J114" s="532"/>
      <c r="K114" s="533"/>
      <c r="L114" s="534"/>
      <c r="M114" s="535"/>
      <c r="N114" s="932"/>
      <c r="O114" s="932"/>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0"/>
      <c r="Q115" s="453"/>
    </row>
    <row r="116" spans="1:17" ht="15" thickTop="1">
      <c r="A116" s="548"/>
      <c r="B116" s="487" t="s">
        <v>1740</v>
      </c>
      <c r="C116" s="503"/>
      <c r="D116" s="503"/>
      <c r="E116" s="503"/>
      <c r="F116" s="503"/>
      <c r="G116" s="503"/>
      <c r="H116" s="532"/>
      <c r="I116" s="532"/>
      <c r="J116" s="532"/>
      <c r="K116" s="533"/>
      <c r="L116" s="534"/>
      <c r="M116" s="535"/>
      <c r="N116" s="932"/>
      <c r="O116" s="932"/>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0"/>
      <c r="Q117" s="453"/>
    </row>
    <row r="118" spans="1:17" ht="15" thickTop="1">
      <c r="A118" s="548"/>
      <c r="B118" s="487" t="s">
        <v>1741</v>
      </c>
      <c r="C118" s="532"/>
      <c r="D118" s="532"/>
      <c r="E118" s="532"/>
      <c r="F118" s="532"/>
      <c r="G118" s="532"/>
      <c r="H118" s="532"/>
      <c r="I118" s="532"/>
      <c r="J118" s="532"/>
      <c r="K118" s="533"/>
      <c r="L118" s="534"/>
      <c r="M118" s="535"/>
      <c r="N118" s="932"/>
      <c r="O118" s="932"/>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0"/>
      <c r="Q119" s="453"/>
    </row>
    <row r="120" spans="1:17" s="422" customFormat="1" ht="28.5" thickTop="1">
      <c r="A120" s="542"/>
      <c r="B120" s="487" t="s">
        <v>1703</v>
      </c>
      <c r="C120" s="503"/>
      <c r="D120" s="503"/>
      <c r="E120" s="503"/>
      <c r="F120" s="503"/>
      <c r="G120" s="503"/>
      <c r="H120" s="503"/>
      <c r="I120" s="503"/>
      <c r="J120" s="503"/>
      <c r="K120" s="503"/>
      <c r="L120" s="529"/>
      <c r="M120" s="530"/>
      <c r="N120" s="934"/>
      <c r="O120" s="934"/>
      <c r="P120" s="1921"/>
      <c r="Q120" s="508"/>
    </row>
    <row r="121" spans="1:17" s="422" customFormat="1" ht="15.75" thickBot="1">
      <c r="A121" s="502"/>
      <c r="B121" s="484"/>
      <c r="C121" s="509"/>
      <c r="D121" s="485"/>
      <c r="E121" s="485"/>
      <c r="F121" s="485"/>
      <c r="G121" s="485"/>
      <c r="H121" s="485"/>
      <c r="I121" s="485"/>
      <c r="J121" s="485"/>
      <c r="K121" s="485"/>
      <c r="L121" s="485"/>
      <c r="M121" s="485"/>
      <c r="N121" s="934"/>
      <c r="O121" s="934"/>
      <c r="P121" s="1921"/>
      <c r="Q121" s="508"/>
    </row>
    <row r="122" spans="1:17" ht="15" thickTop="1">
      <c r="A122" s="548"/>
      <c r="B122" s="487" t="s">
        <v>1742</v>
      </c>
      <c r="C122" s="503"/>
      <c r="D122" s="503"/>
      <c r="E122" s="503"/>
      <c r="F122" s="532"/>
      <c r="G122" s="532"/>
      <c r="H122" s="532"/>
      <c r="I122" s="532"/>
      <c r="J122" s="532"/>
      <c r="K122" s="533"/>
      <c r="L122" s="534"/>
      <c r="M122" s="535"/>
      <c r="N122" s="932"/>
      <c r="O122" s="932"/>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0"/>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2"/>
      <c r="O124" s="932"/>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0"/>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1"/>
      <c r="Q126" s="508"/>
    </row>
    <row r="127" spans="1:17" s="422" customFormat="1" ht="15.75" thickBot="1">
      <c r="A127" s="502"/>
      <c r="B127" s="492"/>
      <c r="C127" s="509"/>
      <c r="D127" s="485"/>
      <c r="E127" s="485"/>
      <c r="F127" s="485"/>
      <c r="G127" s="509"/>
      <c r="H127" s="511"/>
      <c r="I127" s="511"/>
      <c r="J127" s="511"/>
      <c r="K127" s="511"/>
      <c r="L127" s="511"/>
      <c r="M127" s="512"/>
      <c r="N127" s="934"/>
      <c r="O127" s="934"/>
      <c r="P127" s="1921"/>
      <c r="Q127" s="508"/>
    </row>
    <row r="128" spans="1:17" ht="15" thickTop="1">
      <c r="A128" s="548"/>
      <c r="B128" s="487">
        <f>B45</f>
        <v>111</v>
      </c>
      <c r="C128" s="503"/>
      <c r="D128" s="503"/>
      <c r="E128" s="503"/>
      <c r="F128" s="503"/>
      <c r="G128" s="532"/>
      <c r="H128" s="532"/>
      <c r="I128" s="532"/>
      <c r="J128" s="532"/>
      <c r="K128" s="533"/>
      <c r="L128" s="534"/>
      <c r="M128" s="535"/>
      <c r="N128" s="932"/>
      <c r="O128" s="932"/>
      <c r="P128" s="1920"/>
      <c r="Q128" s="453"/>
    </row>
    <row r="129" spans="1:17" ht="15.75" thickBot="1">
      <c r="A129" s="483"/>
      <c r="B129" s="492"/>
      <c r="C129" s="509"/>
      <c r="D129" s="509"/>
      <c r="E129" s="509"/>
      <c r="F129" s="509"/>
      <c r="G129" s="485"/>
      <c r="H129" s="485"/>
      <c r="I129" s="485"/>
      <c r="J129" s="485"/>
      <c r="K129" s="485"/>
      <c r="L129" s="485"/>
      <c r="M129" s="486"/>
      <c r="N129" s="933"/>
      <c r="O129" s="933"/>
      <c r="P129" s="1920"/>
      <c r="Q129" s="453"/>
    </row>
    <row r="130" spans="1:17" ht="15" thickTop="1">
      <c r="A130" s="548"/>
      <c r="B130" s="495">
        <f>B46</f>
        <v>111</v>
      </c>
      <c r="C130" s="503"/>
      <c r="D130" s="503"/>
      <c r="E130" s="503"/>
      <c r="F130" s="503"/>
      <c r="G130" s="536"/>
      <c r="H130" s="536"/>
      <c r="I130" s="536"/>
      <c r="J130" s="536"/>
      <c r="K130" s="472"/>
      <c r="L130" s="473"/>
      <c r="M130" s="539"/>
      <c r="N130" s="932"/>
      <c r="O130" s="932"/>
      <c r="P130" s="1920"/>
      <c r="Q130" s="453"/>
    </row>
    <row r="131" spans="1:17" ht="15.75" thickBot="1">
      <c r="A131" s="1926"/>
      <c r="B131" s="518"/>
      <c r="C131" s="519"/>
      <c r="D131" s="519"/>
      <c r="E131" s="519"/>
      <c r="F131" s="519"/>
      <c r="G131" s="540"/>
      <c r="H131" s="540"/>
      <c r="I131" s="540"/>
      <c r="J131" s="540"/>
      <c r="K131" s="540"/>
      <c r="L131" s="540"/>
      <c r="M131" s="541"/>
      <c r="N131" s="933"/>
      <c r="O131" s="933"/>
      <c r="P131" s="1920"/>
      <c r="Q131" s="453"/>
    </row>
    <row r="136" spans="1:17" ht="15" thickBot="1">
      <c r="B136" s="1927" t="s">
        <v>1744</v>
      </c>
    </row>
    <row r="137" spans="1:17" ht="15">
      <c r="B137" s="1928" t="s">
        <v>1745</v>
      </c>
      <c r="C137" s="1929"/>
      <c r="D137" s="1929"/>
      <c r="E137" s="1929"/>
      <c r="F137" s="1929"/>
      <c r="G137" s="1930"/>
      <c r="H137" s="1931"/>
      <c r="I137" s="1932" t="s">
        <v>1746</v>
      </c>
      <c r="J137" s="1929"/>
      <c r="K137" s="1933"/>
    </row>
    <row r="138" spans="1:17" ht="15">
      <c r="B138" s="1934"/>
      <c r="C138" s="137" t="s">
        <v>1747</v>
      </c>
      <c r="D138" s="137" t="s">
        <v>1748</v>
      </c>
      <c r="E138" s="1935" t="s">
        <v>1749</v>
      </c>
      <c r="F138" s="1936" t="s">
        <v>1750</v>
      </c>
      <c r="G138" s="137" t="s">
        <v>1748</v>
      </c>
      <c r="H138" s="138" t="s">
        <v>1749</v>
      </c>
      <c r="I138" s="1937"/>
      <c r="J138" s="137" t="s">
        <v>1751</v>
      </c>
      <c r="K138" s="138" t="s">
        <v>1752</v>
      </c>
    </row>
    <row r="139" spans="1:17" ht="15">
      <c r="B139" s="866">
        <v>6</v>
      </c>
      <c r="C139" s="867">
        <v>96</v>
      </c>
      <c r="D139" s="1938" t="s">
        <v>1753</v>
      </c>
      <c r="E139" s="868">
        <v>100</v>
      </c>
      <c r="F139" s="869">
        <v>102.5</v>
      </c>
      <c r="G139" s="1938" t="s">
        <v>1753</v>
      </c>
      <c r="H139" s="870">
        <v>105</v>
      </c>
      <c r="I139" s="1939" t="s">
        <v>1754</v>
      </c>
      <c r="J139" s="867">
        <v>20</v>
      </c>
      <c r="K139" s="871">
        <f>C145/(J139-2)</f>
        <v>4.0555555555555553E-3</v>
      </c>
    </row>
    <row r="140" spans="1:17" ht="15">
      <c r="B140" s="872">
        <v>5</v>
      </c>
      <c r="C140" s="873">
        <v>100</v>
      </c>
      <c r="D140" s="873"/>
      <c r="E140" s="874"/>
      <c r="F140" s="875">
        <v>102</v>
      </c>
      <c r="G140" s="873"/>
      <c r="H140" s="876"/>
      <c r="I140" s="1940" t="s">
        <v>1755</v>
      </c>
      <c r="J140" s="271">
        <f>ROUNDUP((J139-1)/2,0)</f>
        <v>10</v>
      </c>
      <c r="K140" s="877">
        <v>100</v>
      </c>
    </row>
    <row r="141" spans="1:17" ht="15">
      <c r="B141" s="872">
        <v>4</v>
      </c>
      <c r="C141" s="873">
        <v>102</v>
      </c>
      <c r="D141" s="873"/>
      <c r="E141" s="874"/>
      <c r="F141" s="875">
        <v>101.5</v>
      </c>
      <c r="G141" s="873"/>
      <c r="H141" s="876"/>
      <c r="I141" s="1940" t="s">
        <v>1756</v>
      </c>
      <c r="J141" s="271">
        <v>1</v>
      </c>
      <c r="K141" s="878">
        <f>ROUND(100+(J141-J140)*K139*100,1)</f>
        <v>96.4</v>
      </c>
    </row>
    <row r="142" spans="1:17" ht="15">
      <c r="B142" s="872">
        <v>3</v>
      </c>
      <c r="C142" s="873">
        <v>103</v>
      </c>
      <c r="D142" s="873"/>
      <c r="E142" s="874"/>
      <c r="F142" s="875">
        <v>101</v>
      </c>
      <c r="G142" s="873"/>
      <c r="H142" s="876"/>
      <c r="I142" s="1940" t="s">
        <v>1757</v>
      </c>
      <c r="J142" s="271">
        <f>J139</f>
        <v>20</v>
      </c>
      <c r="K142" s="879">
        <v>95</v>
      </c>
    </row>
    <row r="143" spans="1:17" ht="15">
      <c r="B143" s="872">
        <v>2</v>
      </c>
      <c r="C143" s="873">
        <v>100</v>
      </c>
      <c r="D143" s="873"/>
      <c r="E143" s="874"/>
      <c r="F143" s="875">
        <v>100.5</v>
      </c>
      <c r="G143" s="873"/>
      <c r="H143" s="876"/>
      <c r="I143" s="1940" t="s">
        <v>1758</v>
      </c>
      <c r="J143" s="873">
        <v>15</v>
      </c>
      <c r="K143" s="878">
        <f>ROUND(100+(J143-J140)*K139*100,1)</f>
        <v>102</v>
      </c>
    </row>
    <row r="144" spans="1:17" ht="15">
      <c r="B144" s="872">
        <v>1</v>
      </c>
      <c r="C144" s="873">
        <v>98</v>
      </c>
      <c r="D144" s="1941" t="s">
        <v>1759</v>
      </c>
      <c r="E144" s="874">
        <v>102</v>
      </c>
      <c r="F144" s="880">
        <v>100</v>
      </c>
      <c r="G144" s="1941" t="s">
        <v>1759</v>
      </c>
      <c r="H144" s="876">
        <v>105</v>
      </c>
      <c r="I144" s="1940" t="s">
        <v>1758</v>
      </c>
      <c r="J144" s="873">
        <v>18</v>
      </c>
      <c r="K144" s="878">
        <f>ROUND(100+(J144-J140)*K139*100,1)</f>
        <v>103.2</v>
      </c>
    </row>
    <row r="145" spans="2:11" ht="15.75" thickBot="1">
      <c r="B145" s="1942" t="s">
        <v>1760</v>
      </c>
      <c r="C145" s="881">
        <f>ROUND(MAX(C139:C144)/MIN(C139:C144)-1,3)</f>
        <v>7.2999999999999995E-2</v>
      </c>
      <c r="D145" s="882"/>
      <c r="E145" s="882"/>
      <c r="F145" s="1943" t="s">
        <v>1761</v>
      </c>
      <c r="G145" s="1944"/>
      <c r="H145" s="1945"/>
      <c r="I145" s="1946" t="s">
        <v>1758</v>
      </c>
      <c r="J145" s="883">
        <v>8</v>
      </c>
      <c r="K145" s="884">
        <f>ROUND(100+(J145-J140)*K139*100,1)</f>
        <v>99.2</v>
      </c>
    </row>
    <row r="147" spans="2:11">
      <c r="B147" s="1927" t="s">
        <v>1762</v>
      </c>
    </row>
    <row r="148" spans="2:11">
      <c r="B148" s="1927"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2" priority="19" stopIfTrue="1" operator="containsText" text="超过">
      <formula>NOT(ISERROR(SEARCH("超过",F52)))</formula>
    </cfRule>
  </conditionalFormatting>
  <conditionalFormatting sqref="J54">
    <cfRule type="containsText" dxfId="151" priority="18" stopIfTrue="1" operator="containsText" text="超过">
      <formula>NOT(ISERROR(SEARCH("超过",J54)))</formula>
    </cfRule>
  </conditionalFormatting>
  <conditionalFormatting sqref="H54">
    <cfRule type="containsText" dxfId="150" priority="17" stopIfTrue="1" operator="containsText" text="超过">
      <formula>NOT(ISERROR(SEARCH("超过",H54)))</formula>
    </cfRule>
  </conditionalFormatting>
  <conditionalFormatting sqref="F54">
    <cfRule type="containsText" dxfId="149" priority="16" stopIfTrue="1" operator="containsText" text="超过">
      <formula>NOT(ISERROR(SEARCH("超过",F54)))</formula>
    </cfRule>
  </conditionalFormatting>
  <conditionalFormatting sqref="F53 H53 J53">
    <cfRule type="containsText" dxfId="148" priority="15" stopIfTrue="1" operator="containsText" text="超过">
      <formula>NOT(ISERROR(SEARCH("超过",F53)))</formula>
    </cfRule>
  </conditionalFormatting>
  <conditionalFormatting sqref="E52">
    <cfRule type="expression" dxfId="147" priority="14" stopIfTrue="1">
      <formula>$F$52="超过30%"</formula>
    </cfRule>
  </conditionalFormatting>
  <conditionalFormatting sqref="G54">
    <cfRule type="expression" dxfId="146" priority="12" stopIfTrue="1">
      <formula>$H$54="超过30%"</formula>
    </cfRule>
  </conditionalFormatting>
  <conditionalFormatting sqref="E53">
    <cfRule type="expression" dxfId="145" priority="11" stopIfTrue="1">
      <formula>$F$53="超过20%"</formula>
    </cfRule>
  </conditionalFormatting>
  <conditionalFormatting sqref="E54">
    <cfRule type="expression" dxfId="144" priority="10" stopIfTrue="1">
      <formula>$F$54="超过30%"</formula>
    </cfRule>
  </conditionalFormatting>
  <conditionalFormatting sqref="G52">
    <cfRule type="expression" dxfId="143" priority="9" stopIfTrue="1">
      <formula>$H$52="超过30%"</formula>
    </cfRule>
  </conditionalFormatting>
  <conditionalFormatting sqref="G53">
    <cfRule type="expression" dxfId="142" priority="8" stopIfTrue="1">
      <formula>$H$53="超过20%"</formula>
    </cfRule>
  </conditionalFormatting>
  <conditionalFormatting sqref="I52">
    <cfRule type="expression" dxfId="141" priority="7" stopIfTrue="1">
      <formula>$J$52="超过30%"</formula>
    </cfRule>
  </conditionalFormatting>
  <conditionalFormatting sqref="I53">
    <cfRule type="expression" dxfId="140" priority="6" stopIfTrue="1">
      <formula>$J$53="超过20%"</formula>
    </cfRule>
  </conditionalFormatting>
  <conditionalFormatting sqref="I54">
    <cfRule type="expression" dxfId="139" priority="5" stopIfTrue="1">
      <formula>$J$54="超过30%"</formula>
    </cfRule>
  </conditionalFormatting>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F7:F46 H7:H46 J7:J46">
    <cfRule type="cellIs" dxfId="13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896</v>
      </c>
    </row>
    <row r="2" spans="1:1">
      <c r="A2" s="1476"/>
    </row>
    <row r="3" spans="1:1" ht="18">
      <c r="A3" s="1477" t="str">
        <f>项目基本情况!B5&amp;"："</f>
        <v>：</v>
      </c>
    </row>
    <row r="4" spans="1:1" ht="18">
      <c r="A4" s="1478" t="str">
        <f>"受贵公司委托，我公司对"&amp;项目基本情况!S1&amp;"进行了预评估。"</f>
        <v>受贵公司委托，我公司对北京市房地产抵押价值进行了预评估。</v>
      </c>
    </row>
    <row r="5" spans="1:1" ht="18.75">
      <c r="A5" s="1479" t="s">
        <v>897</v>
      </c>
    </row>
    <row r="6" spans="1:1" ht="18.75">
      <c r="A6" s="1480" t="s">
        <v>898</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估价对象为北京市房地产，为所有。根据《国有土地使用证》[]，估价对象（分摊）出让国有建设用地使用权面积为69.53平方米，建筑面积为616.89平方米。</v>
      </c>
    </row>
    <row r="8" spans="1:1" ht="57.75">
      <c r="A8" s="1481" t="s">
        <v>899</v>
      </c>
    </row>
    <row r="9" spans="1:1" ht="18.75">
      <c r="A9" s="1480" t="s">
        <v>900</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估价对象为北京市房地产,属开发建设的，该项目尚在开发建设中。根据《国有土地使用证》[]，估价对象（分摊）出让国有建设用地使用权面积为69.53平方米，规划建筑面积为616.89平方米。</v>
      </c>
    </row>
    <row r="11" spans="1:1" ht="76.5">
      <c r="A11" s="1481" t="s">
        <v>901</v>
      </c>
    </row>
    <row r="12" spans="1:1" ht="18.75">
      <c r="A12" s="1479" t="s">
        <v>902</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903</v>
      </c>
    </row>
    <row r="15" spans="1:1" ht="18">
      <c r="A15" s="1484" t="str">
        <f>TEXT(项目基本情况!D3,"yyyy年m月d日;;")&amp;IF(项目基本情况!D3=项目基本情况!B3,"（评估专业人员实地查勘之日）","")</f>
        <v>2024年7月25日（评估专业人员实地查勘之日）</v>
      </c>
    </row>
    <row r="16" spans="1:1" ht="18.75">
      <c r="A16" s="1483" t="s">
        <v>904</v>
      </c>
    </row>
    <row r="17" spans="1:1" ht="75">
      <c r="A17" s="1478" t="s">
        <v>905</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25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894</v>
      </c>
    </row>
    <row r="24" spans="1:1" ht="18">
      <c r="A24" s="1485" t="str">
        <f>"本次评估采用的主估价方法为"&amp;结果表!K4&amp;"和"&amp;结果表!L4&amp;"。"</f>
        <v>本次评估采用的主估价方法为比较法和收益法。</v>
      </c>
    </row>
    <row r="25" spans="1:1" ht="18">
      <c r="A25" s="1485"/>
    </row>
    <row r="26" spans="1:1" ht="18.75">
      <c r="A26" s="1486" t="s">
        <v>895</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955" t="s">
        <v>1824</v>
      </c>
      <c r="C1" s="1222" t="s">
        <v>1660</v>
      </c>
      <c r="D1" s="1223"/>
      <c r="E1" s="3429"/>
      <c r="F1" s="1877"/>
      <c r="G1" s="1233" t="s">
        <v>1765</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1460</v>
      </c>
      <c r="B2" s="1162" t="b">
        <f>IF(E1="项目模式",IF(C2="——",ROUND(C43*D3/10000,0),ROUND(C43*D3/10000,0)-D2),IF(E1="单套模式",IF(C2="——",ROUND(C43*D3/10000,4),ROUND(C43*D3/10000,4)-D2)))</f>
        <v>0</v>
      </c>
      <c r="C2" s="1879"/>
      <c r="D2" s="906" t="e">
        <f ca="1">IF(E1="项目模式",SUMIF(INDIRECT("'"&amp;F2&amp;"'"&amp;"!A:A"),"承租人权益价值",INDIRECT("'"&amp;F2&amp;"'"&amp;"!c:c")),SUMIF(INDIRECT("'"&amp;F2&amp;"'"&amp;"!A:A"),"承租人权益价值（单套）",INDIRECT("'"&amp;F2&amp;"'"&amp;"!c:c")))</f>
        <v>#REF!</v>
      </c>
      <c r="E2" s="1880" t="s">
        <v>1461</v>
      </c>
      <c r="F2" s="1881"/>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1462</v>
      </c>
      <c r="B3" s="558">
        <f>IF(C2="——",C43,ROUND(B2*10000/D3,0))</f>
        <v>0</v>
      </c>
      <c r="C3" s="354" t="s">
        <v>1766</v>
      </c>
      <c r="D3" s="353">
        <f>IF(D1="",'数据-汇总表'!E3,SUMIF('数据-汇总表'!$C19:$C33,D1,'数据-汇总表'!$E19:$E33))</f>
        <v>616.89</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1767</v>
      </c>
      <c r="B4" s="356"/>
      <c r="C4" s="3735" t="s">
        <v>1768</v>
      </c>
      <c r="D4" s="3736"/>
      <c r="E4" s="3737" t="s">
        <v>1769</v>
      </c>
      <c r="F4" s="3738"/>
      <c r="G4" s="3735" t="s">
        <v>1770</v>
      </c>
      <c r="H4" s="3736"/>
      <c r="I4" s="3735" t="s">
        <v>1771</v>
      </c>
      <c r="J4" s="3736"/>
      <c r="K4" s="559" t="s">
        <v>1772</v>
      </c>
      <c r="L4" s="912"/>
      <c r="M4" s="913"/>
      <c r="N4" s="913"/>
      <c r="O4" s="913"/>
      <c r="P4" s="3790" t="s">
        <v>1773</v>
      </c>
      <c r="Q4" s="3791"/>
      <c r="R4" s="3788" t="s">
        <v>1769</v>
      </c>
      <c r="S4" s="3789"/>
      <c r="T4" s="3788" t="s">
        <v>1770</v>
      </c>
      <c r="U4" s="3789"/>
      <c r="V4" s="3748" t="s">
        <v>1771</v>
      </c>
      <c r="W4" s="3748"/>
      <c r="X4" s="1353"/>
      <c r="Y4" s="3788" t="s">
        <v>1773</v>
      </c>
      <c r="Z4" s="3789"/>
      <c r="AA4" s="3787" t="s">
        <v>1769</v>
      </c>
      <c r="AB4" s="3714" t="s">
        <v>1770</v>
      </c>
      <c r="AC4" s="3787" t="s">
        <v>1771</v>
      </c>
    </row>
    <row r="5" spans="1:29" ht="15">
      <c r="A5" s="358"/>
      <c r="B5" s="359"/>
      <c r="C5" s="3724" t="s">
        <v>1671</v>
      </c>
      <c r="D5" s="3725"/>
      <c r="E5" s="3722" t="s">
        <v>1672</v>
      </c>
      <c r="F5" s="3723"/>
      <c r="G5" s="3724" t="s">
        <v>1673</v>
      </c>
      <c r="H5" s="3725"/>
      <c r="I5" s="3724" t="s">
        <v>1674</v>
      </c>
      <c r="J5" s="3725"/>
      <c r="K5" s="559"/>
      <c r="L5" s="912"/>
      <c r="M5" s="913"/>
      <c r="N5" s="913"/>
      <c r="O5" s="913"/>
      <c r="P5" s="3792"/>
      <c r="Q5" s="3742"/>
      <c r="R5" s="3720"/>
      <c r="S5" s="3721"/>
      <c r="T5" s="3720"/>
      <c r="U5" s="3721"/>
      <c r="V5" s="3748"/>
      <c r="W5" s="3748"/>
      <c r="X5" s="1353"/>
      <c r="Y5" s="3720"/>
      <c r="Z5" s="3721"/>
      <c r="AA5" s="3714"/>
      <c r="AB5" s="3714"/>
      <c r="AC5" s="3714"/>
    </row>
    <row r="6" spans="1:29" ht="15.75" thickBot="1">
      <c r="A6" s="360"/>
      <c r="B6" s="361"/>
      <c r="C6" s="3726" t="s">
        <v>1675</v>
      </c>
      <c r="D6" s="3727"/>
      <c r="E6" s="3729" t="s">
        <v>1675</v>
      </c>
      <c r="F6" s="3730"/>
      <c r="G6" s="3726" t="s">
        <v>1675</v>
      </c>
      <c r="H6" s="3727"/>
      <c r="I6" s="3726" t="s">
        <v>1675</v>
      </c>
      <c r="J6" s="3727"/>
      <c r="K6" s="559" t="s">
        <v>1676</v>
      </c>
      <c r="L6" s="912"/>
      <c r="M6" s="913"/>
      <c r="N6" s="913"/>
      <c r="O6" s="913"/>
      <c r="P6" s="3793"/>
      <c r="Q6" s="3744"/>
      <c r="R6" s="3720"/>
      <c r="S6" s="3721"/>
      <c r="T6" s="3745"/>
      <c r="U6" s="3746"/>
      <c r="V6" s="3748"/>
      <c r="W6" s="3748"/>
      <c r="X6" s="1353"/>
      <c r="Y6" s="3745"/>
      <c r="Z6" s="3746"/>
      <c r="AA6" s="3715"/>
      <c r="AB6" s="3715"/>
      <c r="AC6" s="3715"/>
    </row>
    <row r="7" spans="1:29" s="108" customFormat="1" ht="15.75" thickBot="1">
      <c r="A7" s="362" t="s">
        <v>1677</v>
      </c>
      <c r="B7" s="363"/>
      <c r="C7" s="364">
        <f>'数据-取费表'!B2</f>
        <v>45498</v>
      </c>
      <c r="D7" s="365">
        <v>100</v>
      </c>
      <c r="E7" s="366"/>
      <c r="F7" s="367">
        <f>SUMIF(52:52,YEAR(E7)&amp;"-"&amp;MONTH(E7),53:53)</f>
        <v>0</v>
      </c>
      <c r="G7" s="366"/>
      <c r="H7" s="365">
        <f>SUMIF(52:52,YEAR(G7)&amp;"-"&amp;MONTH(G7),53:53)</f>
        <v>0</v>
      </c>
      <c r="I7" s="366"/>
      <c r="J7" s="365">
        <f>SUMIF(52:52,YEAR(I7)&amp;"-"&amp;MONTH(I7),53:53)</f>
        <v>0</v>
      </c>
      <c r="K7" s="560"/>
      <c r="L7" s="914"/>
      <c r="M7" s="915"/>
      <c r="N7" s="915"/>
      <c r="O7" s="915"/>
      <c r="P7" s="3716" t="s">
        <v>1678</v>
      </c>
      <c r="Q7" s="3751"/>
      <c r="R7" s="700" t="s">
        <v>14</v>
      </c>
      <c r="S7" s="701">
        <f t="shared" ref="S7:S15" si="0">F7</f>
        <v>0</v>
      </c>
      <c r="T7" s="700" t="s">
        <v>14</v>
      </c>
      <c r="U7" s="701">
        <f t="shared" ref="U7:U15" si="1">H7</f>
        <v>0</v>
      </c>
      <c r="V7" s="700" t="s">
        <v>14</v>
      </c>
      <c r="W7" s="701">
        <f t="shared" ref="W7:W15" si="2">J7</f>
        <v>0</v>
      </c>
      <c r="X7" s="702"/>
      <c r="Y7" s="3716" t="s">
        <v>1678</v>
      </c>
      <c r="Z7" s="3717"/>
      <c r="AA7" s="703" t="e">
        <f>D7/F7</f>
        <v>#DIV/0!</v>
      </c>
      <c r="AB7" s="703" t="e">
        <f>D7/H7</f>
        <v>#DIV/0!</v>
      </c>
      <c r="AC7" s="703"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16" t="s">
        <v>1681</v>
      </c>
      <c r="Q8" s="3717"/>
      <c r="R8" s="700" t="s">
        <v>14</v>
      </c>
      <c r="S8" s="701">
        <f t="shared" si="0"/>
        <v>100</v>
      </c>
      <c r="T8" s="700" t="s">
        <v>14</v>
      </c>
      <c r="U8" s="701">
        <f t="shared" si="1"/>
        <v>100</v>
      </c>
      <c r="V8" s="700" t="s">
        <v>14</v>
      </c>
      <c r="W8" s="701">
        <f t="shared" si="2"/>
        <v>100</v>
      </c>
      <c r="X8" s="702"/>
      <c r="Y8" s="3716" t="s">
        <v>1681</v>
      </c>
      <c r="Z8" s="3717"/>
      <c r="AA8" s="703">
        <f t="shared" ref="AA8:AA40" si="3">D8/F8</f>
        <v>1</v>
      </c>
      <c r="AB8" s="703">
        <f t="shared" ref="AB8:AB40" si="4">D8/H8</f>
        <v>1</v>
      </c>
      <c r="AC8" s="703">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61" t="s">
        <v>1684</v>
      </c>
      <c r="Q9" s="1341" t="str">
        <f t="shared" ref="Q9:Q15" si="6">B9</f>
        <v>用途</v>
      </c>
      <c r="R9" s="700" t="s">
        <v>14</v>
      </c>
      <c r="S9" s="701">
        <f t="shared" si="0"/>
        <v>100</v>
      </c>
      <c r="T9" s="700" t="s">
        <v>14</v>
      </c>
      <c r="U9" s="701">
        <f t="shared" si="1"/>
        <v>100</v>
      </c>
      <c r="V9" s="700" t="s">
        <v>14</v>
      </c>
      <c r="W9" s="701">
        <f t="shared" si="2"/>
        <v>100</v>
      </c>
      <c r="X9" s="702"/>
      <c r="Y9" s="3681" t="s">
        <v>1685</v>
      </c>
      <c r="Z9" s="52" t="str">
        <f t="shared" ref="Z9:Z15" si="7">Q9</f>
        <v>用途</v>
      </c>
      <c r="AA9" s="703">
        <f t="shared" si="3"/>
        <v>1</v>
      </c>
      <c r="AB9" s="703">
        <f t="shared" si="4"/>
        <v>1</v>
      </c>
      <c r="AC9" s="703">
        <f t="shared" si="5"/>
        <v>1</v>
      </c>
    </row>
    <row r="10" spans="1:29" s="378" customFormat="1" ht="27">
      <c r="A10" s="374"/>
      <c r="B10" s="375" t="s">
        <v>1686</v>
      </c>
      <c r="C10" s="3430"/>
      <c r="D10" s="127">
        <v>100</v>
      </c>
      <c r="E10" s="3430"/>
      <c r="F10" s="127">
        <f>SUMIF(59:59,E10,60:60)-SUMIF(59:59,C10,60:60)+100</f>
        <v>100</v>
      </c>
      <c r="G10" s="3431"/>
      <c r="H10" s="127">
        <f>SUMIF(59:59,G10,60:60)-SUMIF(59:59,C10,60:60)+100</f>
        <v>100</v>
      </c>
      <c r="I10" s="3430"/>
      <c r="J10" s="127">
        <f>SUMIF(59:59,I10,60:60)-SUMIF(59:59,C10,60:60)+100</f>
        <v>100</v>
      </c>
      <c r="K10" s="560"/>
      <c r="L10" s="917"/>
      <c r="M10" s="918"/>
      <c r="N10" s="918"/>
      <c r="O10" s="919"/>
      <c r="P10" s="3761"/>
      <c r="Q10" s="1341" t="str">
        <f t="shared" si="6"/>
        <v>土地使用年限（年）</v>
      </c>
      <c r="R10" s="700" t="s">
        <v>14</v>
      </c>
      <c r="S10" s="701">
        <f t="shared" si="0"/>
        <v>100</v>
      </c>
      <c r="T10" s="700" t="s">
        <v>14</v>
      </c>
      <c r="U10" s="701">
        <f t="shared" si="1"/>
        <v>100</v>
      </c>
      <c r="V10" s="700" t="s">
        <v>14</v>
      </c>
      <c r="W10" s="701">
        <f t="shared" si="2"/>
        <v>100</v>
      </c>
      <c r="X10" s="702"/>
      <c r="Y10" s="3681"/>
      <c r="Z10" s="52" t="str">
        <f t="shared" si="7"/>
        <v>土地使用年限（年）</v>
      </c>
      <c r="AA10" s="703">
        <f t="shared" si="3"/>
        <v>1</v>
      </c>
      <c r="AB10" s="703">
        <f t="shared" si="4"/>
        <v>1</v>
      </c>
      <c r="AC10" s="703">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61"/>
      <c r="Q11" s="1341" t="str">
        <f t="shared" si="6"/>
        <v>容积率</v>
      </c>
      <c r="R11" s="700" t="s">
        <v>14</v>
      </c>
      <c r="S11" s="701">
        <f t="shared" si="0"/>
        <v>100</v>
      </c>
      <c r="T11" s="700" t="s">
        <v>14</v>
      </c>
      <c r="U11" s="701">
        <f t="shared" si="1"/>
        <v>100</v>
      </c>
      <c r="V11" s="700" t="s">
        <v>14</v>
      </c>
      <c r="W11" s="701">
        <f t="shared" si="2"/>
        <v>100</v>
      </c>
      <c r="X11" s="702"/>
      <c r="Y11" s="3681"/>
      <c r="Z11" s="52" t="str">
        <f t="shared" si="7"/>
        <v>容积率</v>
      </c>
      <c r="AA11" s="703">
        <f t="shared" si="3"/>
        <v>1</v>
      </c>
      <c r="AB11" s="703">
        <f t="shared" si="4"/>
        <v>1</v>
      </c>
      <c r="AC11" s="703">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4"/>
      <c r="M12" s="915"/>
      <c r="N12" s="915"/>
      <c r="O12" s="916"/>
      <c r="P12" s="3761"/>
      <c r="Q12" s="1341">
        <f t="shared" si="6"/>
        <v>111</v>
      </c>
      <c r="R12" s="700" t="s">
        <v>14</v>
      </c>
      <c r="S12" s="701">
        <f t="shared" si="0"/>
        <v>100</v>
      </c>
      <c r="T12" s="700" t="s">
        <v>14</v>
      </c>
      <c r="U12" s="701">
        <f t="shared" si="1"/>
        <v>100</v>
      </c>
      <c r="V12" s="700" t="s">
        <v>14</v>
      </c>
      <c r="W12" s="701">
        <f t="shared" si="2"/>
        <v>100</v>
      </c>
      <c r="X12" s="702"/>
      <c r="Y12" s="3681"/>
      <c r="Z12" s="52">
        <f t="shared" si="7"/>
        <v>111</v>
      </c>
      <c r="AA12" s="703">
        <f>D12/F12</f>
        <v>1</v>
      </c>
      <c r="AB12" s="703">
        <f>D12/H12</f>
        <v>1</v>
      </c>
      <c r="AC12" s="703">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2"/>
      <c r="M13" s="913"/>
      <c r="N13" s="913"/>
      <c r="O13" s="921"/>
      <c r="P13" s="3761"/>
      <c r="Q13" s="1341">
        <f t="shared" si="6"/>
        <v>111</v>
      </c>
      <c r="R13" s="700" t="s">
        <v>14</v>
      </c>
      <c r="S13" s="701">
        <f t="shared" si="0"/>
        <v>100</v>
      </c>
      <c r="T13" s="700" t="s">
        <v>14</v>
      </c>
      <c r="U13" s="701">
        <f t="shared" si="1"/>
        <v>100</v>
      </c>
      <c r="V13" s="700" t="s">
        <v>14</v>
      </c>
      <c r="W13" s="701">
        <f t="shared" si="2"/>
        <v>100</v>
      </c>
      <c r="X13" s="702"/>
      <c r="Y13" s="3681"/>
      <c r="Z13" s="52">
        <f t="shared" si="7"/>
        <v>111</v>
      </c>
      <c r="AA13" s="703">
        <f t="shared" si="3"/>
        <v>1</v>
      </c>
      <c r="AB13" s="703">
        <f t="shared" si="4"/>
        <v>1</v>
      </c>
      <c r="AC13" s="703">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2"/>
      <c r="M14" s="913"/>
      <c r="N14" s="913"/>
      <c r="O14" s="921"/>
      <c r="P14" s="3761"/>
      <c r="Q14" s="1341">
        <f t="shared" si="6"/>
        <v>111</v>
      </c>
      <c r="R14" s="700" t="s">
        <v>14</v>
      </c>
      <c r="S14" s="701">
        <f t="shared" si="0"/>
        <v>100</v>
      </c>
      <c r="T14" s="700" t="s">
        <v>14</v>
      </c>
      <c r="U14" s="701">
        <f t="shared" si="1"/>
        <v>100</v>
      </c>
      <c r="V14" s="700" t="s">
        <v>14</v>
      </c>
      <c r="W14" s="701">
        <f t="shared" si="2"/>
        <v>100</v>
      </c>
      <c r="X14" s="702"/>
      <c r="Y14" s="3681"/>
      <c r="Z14" s="52">
        <f t="shared" si="7"/>
        <v>111</v>
      </c>
      <c r="AA14" s="703">
        <f t="shared" si="3"/>
        <v>1</v>
      </c>
      <c r="AB14" s="703">
        <f t="shared" si="4"/>
        <v>1</v>
      </c>
      <c r="AC14" s="703">
        <f t="shared" si="5"/>
        <v>1</v>
      </c>
    </row>
    <row r="15" spans="1:29" ht="57">
      <c r="A15" s="391" t="s">
        <v>1688</v>
      </c>
      <c r="B15" s="61" t="s">
        <v>1825</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54" t="s">
        <v>1689</v>
      </c>
      <c r="Q15" s="1350" t="str">
        <f t="shared" si="6"/>
        <v>产业集聚程度</v>
      </c>
      <c r="R15" s="704" t="s">
        <v>14</v>
      </c>
      <c r="S15" s="705">
        <f t="shared" si="0"/>
        <v>100</v>
      </c>
      <c r="T15" s="704" t="s">
        <v>14</v>
      </c>
      <c r="U15" s="705">
        <f t="shared" si="1"/>
        <v>100</v>
      </c>
      <c r="V15" s="704" t="s">
        <v>14</v>
      </c>
      <c r="W15" s="705">
        <f t="shared" si="2"/>
        <v>100</v>
      </c>
      <c r="X15" s="1353"/>
      <c r="Y15" s="3754" t="s">
        <v>1689</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2"/>
      <c r="M16" s="913"/>
      <c r="N16" s="913"/>
      <c r="O16" s="921"/>
      <c r="P16" s="3755"/>
      <c r="Q16" s="1350"/>
      <c r="R16" s="704"/>
      <c r="S16" s="705"/>
      <c r="T16" s="704"/>
      <c r="U16" s="705"/>
      <c r="V16" s="704"/>
      <c r="W16" s="705"/>
      <c r="X16" s="1353"/>
      <c r="Y16" s="3755"/>
      <c r="Z16" s="1354"/>
      <c r="AA16" s="1351">
        <v>1</v>
      </c>
      <c r="AB16" s="1351">
        <v>1</v>
      </c>
      <c r="AC16" s="1351">
        <v>1</v>
      </c>
    </row>
    <row r="17" spans="1:29" ht="85.5">
      <c r="A17" s="379"/>
      <c r="B17" s="402" t="s">
        <v>1257</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55"/>
      <c r="Q17" s="1350" t="str">
        <f>B17</f>
        <v>交通便捷度</v>
      </c>
      <c r="R17" s="704" t="s">
        <v>14</v>
      </c>
      <c r="S17" s="705">
        <f>F17</f>
        <v>100</v>
      </c>
      <c r="T17" s="704" t="s">
        <v>14</v>
      </c>
      <c r="U17" s="705">
        <f>H17</f>
        <v>100</v>
      </c>
      <c r="V17" s="704" t="s">
        <v>14</v>
      </c>
      <c r="W17" s="705">
        <f>J17</f>
        <v>100</v>
      </c>
      <c r="X17" s="1353"/>
      <c r="Y17" s="3755"/>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2"/>
      <c r="M18" s="913"/>
      <c r="N18" s="913"/>
      <c r="O18" s="921"/>
      <c r="P18" s="3755"/>
      <c r="Q18" s="1350"/>
      <c r="R18" s="704"/>
      <c r="S18" s="705"/>
      <c r="T18" s="704"/>
      <c r="U18" s="705"/>
      <c r="V18" s="704"/>
      <c r="W18" s="705"/>
      <c r="X18" s="1353"/>
      <c r="Y18" s="3755"/>
      <c r="Z18" s="1354"/>
      <c r="AA18" s="1351">
        <v>1</v>
      </c>
      <c r="AB18" s="1351">
        <v>1</v>
      </c>
      <c r="AC18" s="1351">
        <v>1</v>
      </c>
    </row>
    <row r="19" spans="1:29" ht="42.75">
      <c r="A19" s="379"/>
      <c r="B19" s="402" t="s">
        <v>1810</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55"/>
      <c r="Q19" s="1350" t="str">
        <f>B19</f>
        <v>公共配套设施</v>
      </c>
      <c r="R19" s="704" t="s">
        <v>14</v>
      </c>
      <c r="S19" s="705">
        <f>F19</f>
        <v>100</v>
      </c>
      <c r="T19" s="704" t="s">
        <v>14</v>
      </c>
      <c r="U19" s="705">
        <f>H19</f>
        <v>100</v>
      </c>
      <c r="V19" s="704" t="s">
        <v>14</v>
      </c>
      <c r="W19" s="705">
        <f>J19</f>
        <v>100</v>
      </c>
      <c r="X19" s="1353"/>
      <c r="Y19" s="3755"/>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2"/>
      <c r="M20" s="913"/>
      <c r="N20" s="913"/>
      <c r="O20" s="921"/>
      <c r="P20" s="3755"/>
      <c r="Q20" s="1350"/>
      <c r="R20" s="704"/>
      <c r="S20" s="705"/>
      <c r="T20" s="704"/>
      <c r="U20" s="705"/>
      <c r="V20" s="704"/>
      <c r="W20" s="705"/>
      <c r="X20" s="1353"/>
      <c r="Y20" s="3755"/>
      <c r="Z20" s="1354"/>
      <c r="AA20" s="1351">
        <v>1</v>
      </c>
      <c r="AB20" s="1351">
        <v>1</v>
      </c>
      <c r="AC20" s="1351">
        <v>1</v>
      </c>
    </row>
    <row r="21" spans="1:29" ht="28.5">
      <c r="A21" s="379"/>
      <c r="B21" s="1129" t="s">
        <v>1811</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55"/>
      <c r="Q21" s="1350" t="str">
        <f>B21</f>
        <v>基础设施水平</v>
      </c>
      <c r="R21" s="704" t="s">
        <v>14</v>
      </c>
      <c r="S21" s="705">
        <f>F21</f>
        <v>100</v>
      </c>
      <c r="T21" s="704" t="s">
        <v>14</v>
      </c>
      <c r="U21" s="705">
        <f>H21</f>
        <v>100</v>
      </c>
      <c r="V21" s="704" t="s">
        <v>14</v>
      </c>
      <c r="W21" s="705">
        <f>J21</f>
        <v>100</v>
      </c>
      <c r="X21" s="1353"/>
      <c r="Y21" s="3755"/>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2"/>
      <c r="M22" s="913"/>
      <c r="N22" s="913"/>
      <c r="O22" s="921"/>
      <c r="P22" s="3755"/>
      <c r="Q22" s="1350"/>
      <c r="R22" s="704"/>
      <c r="S22" s="705"/>
      <c r="T22" s="704"/>
      <c r="U22" s="705"/>
      <c r="V22" s="704"/>
      <c r="W22" s="705"/>
      <c r="X22" s="1353"/>
      <c r="Y22" s="3755"/>
      <c r="Z22" s="1354"/>
      <c r="AA22" s="1351">
        <v>1</v>
      </c>
      <c r="AB22" s="1351">
        <v>1</v>
      </c>
      <c r="AC22" s="1351">
        <v>1</v>
      </c>
    </row>
    <row r="23" spans="1:29" ht="71.25">
      <c r="A23" s="379"/>
      <c r="B23" s="402" t="s">
        <v>1812</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55"/>
      <c r="Q23" s="1350" t="str">
        <f>B23</f>
        <v>环境质量</v>
      </c>
      <c r="R23" s="704" t="s">
        <v>14</v>
      </c>
      <c r="S23" s="705">
        <f>F23</f>
        <v>100</v>
      </c>
      <c r="T23" s="704" t="s">
        <v>14</v>
      </c>
      <c r="U23" s="705">
        <f>H23</f>
        <v>100</v>
      </c>
      <c r="V23" s="704" t="s">
        <v>14</v>
      </c>
      <c r="W23" s="705">
        <f>J23</f>
        <v>100</v>
      </c>
      <c r="X23" s="1353"/>
      <c r="Y23" s="3755"/>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2"/>
      <c r="M24" s="913"/>
      <c r="N24" s="913"/>
      <c r="O24" s="921"/>
      <c r="P24" s="3755"/>
      <c r="Q24" s="1350"/>
      <c r="R24" s="704"/>
      <c r="S24" s="705"/>
      <c r="T24" s="704"/>
      <c r="U24" s="705"/>
      <c r="V24" s="704"/>
      <c r="W24" s="705"/>
      <c r="X24" s="1353"/>
      <c r="Y24" s="3755"/>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55"/>
      <c r="Q25" s="1350">
        <f>B25</f>
        <v>111</v>
      </c>
      <c r="R25" s="704" t="s">
        <v>14</v>
      </c>
      <c r="S25" s="705">
        <f>F25</f>
        <v>100</v>
      </c>
      <c r="T25" s="704" t="s">
        <v>14</v>
      </c>
      <c r="U25" s="705">
        <f>H25</f>
        <v>100</v>
      </c>
      <c r="V25" s="704" t="s">
        <v>14</v>
      </c>
      <c r="W25" s="705">
        <f>J25</f>
        <v>100</v>
      </c>
      <c r="X25" s="1353"/>
      <c r="Y25" s="3755"/>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55"/>
      <c r="Q26" s="1350">
        <f t="shared" ref="Q26:Q40" si="11">B26</f>
        <v>111</v>
      </c>
      <c r="R26" s="704" t="s">
        <v>14</v>
      </c>
      <c r="S26" s="705">
        <f>F26</f>
        <v>100</v>
      </c>
      <c r="T26" s="704" t="s">
        <v>14</v>
      </c>
      <c r="U26" s="705">
        <f>H26</f>
        <v>100</v>
      </c>
      <c r="V26" s="704" t="s">
        <v>14</v>
      </c>
      <c r="W26" s="705">
        <f>J26</f>
        <v>100</v>
      </c>
      <c r="X26" s="1353"/>
      <c r="Y26" s="3755"/>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55"/>
      <c r="Q27" s="1341">
        <f t="shared" si="11"/>
        <v>111</v>
      </c>
      <c r="R27" s="700" t="s">
        <v>14</v>
      </c>
      <c r="S27" s="701">
        <f>F27</f>
        <v>100</v>
      </c>
      <c r="T27" s="700" t="s">
        <v>14</v>
      </c>
      <c r="U27" s="701">
        <f>H27</f>
        <v>100</v>
      </c>
      <c r="V27" s="700" t="s">
        <v>14</v>
      </c>
      <c r="W27" s="701">
        <f>J27</f>
        <v>100</v>
      </c>
      <c r="X27" s="702"/>
      <c r="Y27" s="3755"/>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55"/>
      <c r="Q28" s="1350">
        <f t="shared" si="11"/>
        <v>111</v>
      </c>
      <c r="R28" s="704" t="s">
        <v>14</v>
      </c>
      <c r="S28" s="705">
        <f t="shared" ref="S28:S40" si="12">F28</f>
        <v>100</v>
      </c>
      <c r="T28" s="704" t="s">
        <v>14</v>
      </c>
      <c r="U28" s="705">
        <f t="shared" ref="U28:U40" si="13">H28</f>
        <v>100</v>
      </c>
      <c r="V28" s="704" t="s">
        <v>14</v>
      </c>
      <c r="W28" s="705">
        <f t="shared" ref="W28:W40" si="14">J28</f>
        <v>100</v>
      </c>
      <c r="X28" s="1353"/>
      <c r="Y28" s="3755"/>
      <c r="Z28" s="1354">
        <f t="shared" ref="Z28:Z40" si="15">Q28</f>
        <v>111</v>
      </c>
      <c r="AA28" s="1351">
        <f t="shared" si="3"/>
        <v>1</v>
      </c>
      <c r="AB28" s="1351">
        <f t="shared" si="4"/>
        <v>1</v>
      </c>
      <c r="AC28" s="1351">
        <f t="shared" si="5"/>
        <v>1</v>
      </c>
    </row>
    <row r="29" spans="1:29" ht="28.5">
      <c r="A29" s="417" t="s">
        <v>1692</v>
      </c>
      <c r="B29" s="63" t="s">
        <v>1815</v>
      </c>
      <c r="C29" s="1965"/>
      <c r="D29" s="418">
        <v>100</v>
      </c>
      <c r="E29" s="1965"/>
      <c r="F29" s="412">
        <f>SUMIF(88:88,E29,89:89)-SUMIF(88:88,C29,89:89)+100</f>
        <v>100</v>
      </c>
      <c r="G29" s="1965"/>
      <c r="H29" s="386">
        <f>SUMIF(88:88,G29,89:89)-SUMIF(88:88,C29,89:89)+100</f>
        <v>100</v>
      </c>
      <c r="I29" s="1965"/>
      <c r="J29" s="418">
        <f>SUMIF(88:88,I29,89:89)-SUMIF(88:88,C29,89:89)+100</f>
        <v>100</v>
      </c>
      <c r="K29" s="561"/>
      <c r="L29" s="922"/>
      <c r="M29" s="913"/>
      <c r="N29" s="913"/>
      <c r="O29" s="921"/>
      <c r="P29" s="3797" t="s">
        <v>1694</v>
      </c>
      <c r="Q29" s="1350" t="str">
        <f t="shared" si="11"/>
        <v>建筑类型</v>
      </c>
      <c r="R29" s="704" t="s">
        <v>14</v>
      </c>
      <c r="S29" s="705">
        <f t="shared" si="12"/>
        <v>100</v>
      </c>
      <c r="T29" s="704" t="s">
        <v>14</v>
      </c>
      <c r="U29" s="705">
        <f t="shared" si="13"/>
        <v>100</v>
      </c>
      <c r="V29" s="704" t="s">
        <v>14</v>
      </c>
      <c r="W29" s="705">
        <f t="shared" si="14"/>
        <v>100</v>
      </c>
      <c r="X29" s="1353"/>
      <c r="Y29" s="3759" t="s">
        <v>1694</v>
      </c>
      <c r="Z29" s="1354" t="str">
        <f t="shared" si="15"/>
        <v>建筑类型</v>
      </c>
      <c r="AA29" s="1351">
        <f t="shared" si="3"/>
        <v>1</v>
      </c>
      <c r="AB29" s="1351">
        <f t="shared" si="4"/>
        <v>1</v>
      </c>
      <c r="AC29" s="1351">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59"/>
      <c r="Q30" s="706" t="str">
        <f t="shared" si="11"/>
        <v>项目建筑规模</v>
      </c>
      <c r="R30" s="707" t="s">
        <v>14</v>
      </c>
      <c r="S30" s="708" t="e">
        <f t="shared" si="12"/>
        <v>#N/A</v>
      </c>
      <c r="T30" s="707" t="s">
        <v>14</v>
      </c>
      <c r="U30" s="708" t="e">
        <f t="shared" si="13"/>
        <v>#N/A</v>
      </c>
      <c r="V30" s="707" t="s">
        <v>14</v>
      </c>
      <c r="W30" s="708" t="e">
        <f t="shared" si="14"/>
        <v>#N/A</v>
      </c>
      <c r="X30" s="709"/>
      <c r="Y30" s="3759"/>
      <c r="Z30" s="710" t="str">
        <f t="shared" si="15"/>
        <v>项目建筑规模</v>
      </c>
      <c r="AA30" s="1351" t="e">
        <f t="shared" si="3"/>
        <v>#N/A</v>
      </c>
      <c r="AB30" s="1351" t="e">
        <f t="shared" si="4"/>
        <v>#N/A</v>
      </c>
      <c r="AC30" s="1351"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59"/>
      <c r="Q31" s="1350" t="str">
        <f t="shared" si="11"/>
        <v>建筑结构</v>
      </c>
      <c r="R31" s="704" t="s">
        <v>14</v>
      </c>
      <c r="S31" s="705">
        <f t="shared" si="12"/>
        <v>100</v>
      </c>
      <c r="T31" s="704" t="s">
        <v>14</v>
      </c>
      <c r="U31" s="705">
        <f t="shared" si="13"/>
        <v>100</v>
      </c>
      <c r="V31" s="704" t="s">
        <v>14</v>
      </c>
      <c r="W31" s="705">
        <f t="shared" si="14"/>
        <v>100</v>
      </c>
      <c r="X31" s="1353"/>
      <c r="Y31" s="3759"/>
      <c r="Z31" s="1354" t="str">
        <f t="shared" si="15"/>
        <v>建筑结构</v>
      </c>
      <c r="AA31" s="1351">
        <f t="shared" si="3"/>
        <v>1</v>
      </c>
      <c r="AB31" s="1351">
        <f t="shared" si="4"/>
        <v>1</v>
      </c>
      <c r="AC31" s="1351">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59"/>
      <c r="Q32" s="1350" t="str">
        <f t="shared" si="11"/>
        <v>公共部分装修</v>
      </c>
      <c r="R32" s="704" t="s">
        <v>14</v>
      </c>
      <c r="S32" s="705">
        <f t="shared" si="12"/>
        <v>100</v>
      </c>
      <c r="T32" s="704" t="s">
        <v>14</v>
      </c>
      <c r="U32" s="705">
        <f t="shared" si="13"/>
        <v>100</v>
      </c>
      <c r="V32" s="704" t="s">
        <v>14</v>
      </c>
      <c r="W32" s="705">
        <f t="shared" si="14"/>
        <v>100</v>
      </c>
      <c r="X32" s="1353"/>
      <c r="Y32" s="3759"/>
      <c r="Z32" s="1354" t="str">
        <f t="shared" si="15"/>
        <v>公共部分装修</v>
      </c>
      <c r="AA32" s="1351">
        <f t="shared" si="3"/>
        <v>1</v>
      </c>
      <c r="AB32" s="1351">
        <f t="shared" si="4"/>
        <v>1</v>
      </c>
      <c r="AC32" s="1351">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59"/>
      <c r="Q33" s="1350" t="str">
        <f t="shared" si="11"/>
        <v>成新度</v>
      </c>
      <c r="R33" s="704" t="s">
        <v>14</v>
      </c>
      <c r="S33" s="705" t="e">
        <f t="shared" si="12"/>
        <v>#N/A</v>
      </c>
      <c r="T33" s="704" t="s">
        <v>14</v>
      </c>
      <c r="U33" s="705" t="e">
        <f t="shared" si="13"/>
        <v>#N/A</v>
      </c>
      <c r="V33" s="704" t="s">
        <v>14</v>
      </c>
      <c r="W33" s="705" t="e">
        <f t="shared" si="14"/>
        <v>#N/A</v>
      </c>
      <c r="X33" s="1353"/>
      <c r="Y33" s="3759"/>
      <c r="Z33" s="1354" t="str">
        <f t="shared" si="15"/>
        <v>成新度</v>
      </c>
      <c r="AA33" s="1351" t="e">
        <f t="shared" si="3"/>
        <v>#N/A</v>
      </c>
      <c r="AB33" s="1351" t="e">
        <f t="shared" si="4"/>
        <v>#N/A</v>
      </c>
      <c r="AC33" s="1351"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59"/>
      <c r="Q34" s="1341" t="str">
        <f t="shared" si="11"/>
        <v>物业管理</v>
      </c>
      <c r="R34" s="700" t="s">
        <v>14</v>
      </c>
      <c r="S34" s="701">
        <f t="shared" si="12"/>
        <v>100</v>
      </c>
      <c r="T34" s="700" t="s">
        <v>14</v>
      </c>
      <c r="U34" s="701">
        <f t="shared" si="13"/>
        <v>100</v>
      </c>
      <c r="V34" s="700" t="s">
        <v>14</v>
      </c>
      <c r="W34" s="701">
        <f t="shared" si="14"/>
        <v>100</v>
      </c>
      <c r="X34" s="702"/>
      <c r="Y34" s="3759"/>
      <c r="Z34" s="52" t="str">
        <f t="shared" si="15"/>
        <v>物业管理</v>
      </c>
      <c r="AA34" s="703">
        <f t="shared" si="3"/>
        <v>1</v>
      </c>
      <c r="AB34" s="703">
        <f t="shared" si="4"/>
        <v>1</v>
      </c>
      <c r="AC34" s="703">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59" t="s">
        <v>1694</v>
      </c>
      <c r="Q35" s="1350" t="str">
        <f t="shared" si="11"/>
        <v>市政基础设施</v>
      </c>
      <c r="R35" s="704" t="s">
        <v>14</v>
      </c>
      <c r="S35" s="705">
        <f t="shared" si="12"/>
        <v>100</v>
      </c>
      <c r="T35" s="704" t="s">
        <v>14</v>
      </c>
      <c r="U35" s="705">
        <f t="shared" si="13"/>
        <v>100</v>
      </c>
      <c r="V35" s="704" t="s">
        <v>14</v>
      </c>
      <c r="W35" s="705">
        <f t="shared" si="14"/>
        <v>100</v>
      </c>
      <c r="X35" s="1353"/>
      <c r="Y35" s="3759" t="s">
        <v>1694</v>
      </c>
      <c r="Z35" s="1354" t="str">
        <f t="shared" si="15"/>
        <v>市政基础设施</v>
      </c>
      <c r="AA35" s="1351">
        <f t="shared" si="3"/>
        <v>1</v>
      </c>
      <c r="AB35" s="1351">
        <f t="shared" si="4"/>
        <v>1</v>
      </c>
      <c r="AC35" s="1351">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59"/>
      <c r="Q36" s="1350" t="str">
        <f t="shared" si="11"/>
        <v>内部装修</v>
      </c>
      <c r="R36" s="704" t="s">
        <v>14</v>
      </c>
      <c r="S36" s="705">
        <f t="shared" si="12"/>
        <v>100</v>
      </c>
      <c r="T36" s="704" t="s">
        <v>14</v>
      </c>
      <c r="U36" s="705">
        <f t="shared" si="13"/>
        <v>100</v>
      </c>
      <c r="V36" s="704" t="s">
        <v>14</v>
      </c>
      <c r="W36" s="705">
        <f t="shared" si="14"/>
        <v>100</v>
      </c>
      <c r="X36" s="1353"/>
      <c r="Y36" s="3759"/>
      <c r="Z36" s="1354" t="str">
        <f t="shared" si="15"/>
        <v>内部装修</v>
      </c>
      <c r="AA36" s="1351">
        <f t="shared" si="3"/>
        <v>1</v>
      </c>
      <c r="AB36" s="1351">
        <f t="shared" si="4"/>
        <v>1</v>
      </c>
      <c r="AC36" s="1351">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59"/>
      <c r="Q37" s="1350" t="str">
        <f t="shared" si="11"/>
        <v>内部装修状况</v>
      </c>
      <c r="R37" s="704" t="s">
        <v>14</v>
      </c>
      <c r="S37" s="705">
        <f t="shared" si="12"/>
        <v>100</v>
      </c>
      <c r="T37" s="704" t="s">
        <v>14</v>
      </c>
      <c r="U37" s="705">
        <f t="shared" si="13"/>
        <v>100</v>
      </c>
      <c r="V37" s="704" t="s">
        <v>14</v>
      </c>
      <c r="W37" s="705">
        <f t="shared" si="14"/>
        <v>100</v>
      </c>
      <c r="X37" s="1353"/>
      <c r="Y37" s="3759"/>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59"/>
      <c r="Q38" s="706">
        <f t="shared" si="11"/>
        <v>111</v>
      </c>
      <c r="R38" s="707" t="s">
        <v>14</v>
      </c>
      <c r="S38" s="708">
        <f t="shared" si="12"/>
        <v>100</v>
      </c>
      <c r="T38" s="707" t="s">
        <v>14</v>
      </c>
      <c r="U38" s="708">
        <f t="shared" si="13"/>
        <v>100</v>
      </c>
      <c r="V38" s="707" t="s">
        <v>14</v>
      </c>
      <c r="W38" s="708">
        <f t="shared" si="14"/>
        <v>100</v>
      </c>
      <c r="X38" s="709"/>
      <c r="Y38" s="3759"/>
      <c r="Z38" s="710">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59"/>
      <c r="Q39" s="1350">
        <f t="shared" si="11"/>
        <v>111</v>
      </c>
      <c r="R39" s="704" t="s">
        <v>14</v>
      </c>
      <c r="S39" s="705">
        <f t="shared" si="12"/>
        <v>100</v>
      </c>
      <c r="T39" s="704" t="s">
        <v>14</v>
      </c>
      <c r="U39" s="705">
        <f t="shared" si="13"/>
        <v>100</v>
      </c>
      <c r="V39" s="704" t="s">
        <v>14</v>
      </c>
      <c r="W39" s="705">
        <f t="shared" si="14"/>
        <v>100</v>
      </c>
      <c r="X39" s="1353"/>
      <c r="Y39" s="3759"/>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60"/>
      <c r="Q40" s="1350">
        <f t="shared" si="11"/>
        <v>111</v>
      </c>
      <c r="R40" s="704" t="s">
        <v>14</v>
      </c>
      <c r="S40" s="705">
        <f t="shared" si="12"/>
        <v>100</v>
      </c>
      <c r="T40" s="704" t="s">
        <v>14</v>
      </c>
      <c r="U40" s="705">
        <f t="shared" si="13"/>
        <v>100</v>
      </c>
      <c r="V40" s="704" t="s">
        <v>14</v>
      </c>
      <c r="W40" s="705">
        <f t="shared" si="14"/>
        <v>100</v>
      </c>
      <c r="X40" s="1353"/>
      <c r="Y40" s="3760"/>
      <c r="Z40" s="1354">
        <f t="shared" si="15"/>
        <v>111</v>
      </c>
      <c r="AA40" s="1351">
        <f t="shared" si="3"/>
        <v>1</v>
      </c>
      <c r="AB40" s="1351">
        <f t="shared" si="4"/>
        <v>1</v>
      </c>
      <c r="AC40" s="1351">
        <f t="shared" si="5"/>
        <v>1</v>
      </c>
    </row>
    <row r="41" spans="1:29" ht="15">
      <c r="A41" s="430" t="s">
        <v>1706</v>
      </c>
      <c r="B41" s="431"/>
      <c r="C41" s="1152" t="s">
        <v>0</v>
      </c>
      <c r="D41" s="1153"/>
      <c r="E41" s="1154"/>
      <c r="F41" s="1155"/>
      <c r="G41" s="1156"/>
      <c r="H41" s="1157"/>
      <c r="I41" s="1154"/>
      <c r="J41" s="1157"/>
      <c r="K41" s="713"/>
      <c r="L41" s="925"/>
      <c r="M41" s="926"/>
      <c r="N41" s="913"/>
      <c r="O41" s="926"/>
      <c r="P41" s="3761" t="str">
        <f>A41</f>
        <v>成交单价（元/平方米）</v>
      </c>
      <c r="Q41" s="3761"/>
      <c r="R41" s="3762">
        <f>E41</f>
        <v>0</v>
      </c>
      <c r="S41" s="3762"/>
      <c r="T41" s="3762">
        <f>G41</f>
        <v>0</v>
      </c>
      <c r="U41" s="3762"/>
      <c r="V41" s="3762">
        <f>I41</f>
        <v>0</v>
      </c>
      <c r="W41" s="3762"/>
      <c r="X41" s="689"/>
      <c r="Y41" s="711"/>
      <c r="Z41" s="689"/>
      <c r="AA41" s="689"/>
      <c r="AB41" s="689"/>
      <c r="AC41" s="689"/>
    </row>
    <row r="42" spans="1:29" ht="15.75" thickBot="1">
      <c r="A42" s="437" t="s">
        <v>1791</v>
      </c>
      <c r="B42" s="438"/>
      <c r="C42" s="1158" t="e">
        <f>R43</f>
        <v>#DIV/0!</v>
      </c>
      <c r="D42" s="2315" t="s">
        <v>2135</v>
      </c>
      <c r="E42" s="1159" t="e">
        <f>R42</f>
        <v>#DIV/0!</v>
      </c>
      <c r="F42" s="2316"/>
      <c r="G42" s="1158" t="e">
        <f>T42</f>
        <v>#DIV/0!</v>
      </c>
      <c r="H42" s="2316"/>
      <c r="I42" s="1159" t="e">
        <f>V42</f>
        <v>#DIV/0!</v>
      </c>
      <c r="J42" s="2316"/>
      <c r="K42" s="2318">
        <f>F42+H42+J42</f>
        <v>0</v>
      </c>
      <c r="L42" s="925"/>
      <c r="M42" s="926"/>
      <c r="N42" s="913"/>
      <c r="O42" s="926"/>
      <c r="P42" s="3761" t="str">
        <f>A42</f>
        <v>比较价值（元/平方米）</v>
      </c>
      <c r="Q42" s="3761"/>
      <c r="R42" s="3762" t="e">
        <f>IF(F1="售价",ROUND(PRODUCT(R41,AA7:AA40),0),ROUND(PRODUCT(R41,AA7:AA40),1))</f>
        <v>#DIV/0!</v>
      </c>
      <c r="S42" s="3762"/>
      <c r="T42" s="3762" t="e">
        <f>IF(F1="售价",ROUND(PRODUCT(T41,AB7:AB40),0),ROUND(PRODUCT(T41,AB7:AB40),1))</f>
        <v>#DIV/0!</v>
      </c>
      <c r="U42" s="3762"/>
      <c r="V42" s="3762" t="e">
        <f>IF(F1="售价",ROUND(PRODUCT(V41,AC7:AC40),0),ROUND(PRODUCT(V41,AC7:AC40),1))</f>
        <v>#DIV/0!</v>
      </c>
      <c r="W42" s="3762"/>
      <c r="X42" s="689"/>
      <c r="Y42" s="689"/>
      <c r="Z42" s="689"/>
      <c r="AA42" s="689"/>
      <c r="AB42" s="689"/>
      <c r="AC42" s="689"/>
    </row>
    <row r="43" spans="1:29" ht="15.75" thickBot="1">
      <c r="A43" s="441" t="s">
        <v>1792</v>
      </c>
      <c r="B43" s="442"/>
      <c r="C43" s="1161" t="e">
        <f>R43</f>
        <v>#DIV/0!</v>
      </c>
      <c r="D43" s="1161"/>
      <c r="E43" s="1161"/>
      <c r="F43" s="1161"/>
      <c r="G43" s="1161"/>
      <c r="H43" s="1161"/>
      <c r="I43" s="1161"/>
      <c r="J43" s="1161"/>
      <c r="K43" s="714"/>
      <c r="L43" s="925"/>
      <c r="M43" s="926"/>
      <c r="N43" s="926"/>
      <c r="O43" s="926"/>
      <c r="P43" s="3794" t="str">
        <f>A43</f>
        <v>估价对象XX用房的比较价值（楼面单价，元/平方米）</v>
      </c>
      <c r="Q43" s="3795"/>
      <c r="R43" s="3796" t="e">
        <f>IF(F1="售价",ROUND(IF(D42="简单平均",AVERAGE(R42:V42),R42*F42+T42*H42+V42*J42),0),ROUND(IF(D42="简单平均",AVERAGE(R42:V42),R42*F42+T42*H42+V42*J42),1))</f>
        <v>#DIV/0!</v>
      </c>
      <c r="S43" s="3796"/>
      <c r="T43" s="3796"/>
      <c r="U43" s="3796"/>
      <c r="V43" s="3796"/>
      <c r="W43" s="3796"/>
      <c r="X43" s="689"/>
      <c r="Y43" s="689"/>
      <c r="Z43" s="689"/>
      <c r="AA43" s="689"/>
      <c r="AB43" s="689"/>
      <c r="AC43" s="689"/>
    </row>
    <row r="44" spans="1:29">
      <c r="A44" s="2721"/>
      <c r="B44" s="2721"/>
      <c r="C44" s="2721"/>
      <c r="D44" s="2721"/>
      <c r="E44" s="2721"/>
      <c r="F44" s="2721"/>
      <c r="G44" s="2725"/>
      <c r="H44" s="2721"/>
      <c r="I44" s="2721"/>
      <c r="J44" s="2721"/>
      <c r="K44" s="2726"/>
      <c r="L44" s="888"/>
      <c r="M44" s="926"/>
      <c r="N44" s="926"/>
      <c r="O44" s="926"/>
    </row>
    <row r="45" spans="1:29">
      <c r="A45" s="2721"/>
      <c r="B45" s="2721"/>
      <c r="C45" s="2721"/>
      <c r="D45" s="2721"/>
      <c r="E45" s="2721"/>
      <c r="F45" s="2721"/>
      <c r="G45" s="2721"/>
      <c r="H45" s="2721"/>
      <c r="I45" s="2721"/>
      <c r="J45" s="2721"/>
      <c r="K45" s="2726"/>
      <c r="L45" s="888"/>
      <c r="M45" s="926"/>
      <c r="N45" s="926"/>
      <c r="O45" s="926"/>
    </row>
    <row r="46" spans="1:29" ht="13.5" customHeight="1">
      <c r="A46" s="2721"/>
      <c r="B46" s="2721"/>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8"/>
      <c r="M46" s="926"/>
      <c r="N46" s="926"/>
      <c r="O46" s="926"/>
    </row>
    <row r="47" spans="1:29" ht="13.5" customHeight="1">
      <c r="A47" s="2721"/>
      <c r="B47" s="2721"/>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8"/>
      <c r="M47" s="926"/>
      <c r="N47" s="926"/>
      <c r="O47" s="926"/>
    </row>
    <row r="48" spans="1:29" s="451" customFormat="1" ht="13.5" customHeight="1">
      <c r="A48" s="2724"/>
      <c r="B48" s="2724"/>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29"/>
      <c r="M48" s="927"/>
      <c r="N48" s="927"/>
      <c r="O48" s="927"/>
    </row>
    <row r="49" spans="1:17" s="451" customFormat="1">
      <c r="A49" s="2724"/>
      <c r="B49" s="2727"/>
      <c r="C49" s="2728"/>
      <c r="D49" s="2724"/>
      <c r="E49" s="2724"/>
      <c r="F49" s="2724"/>
      <c r="G49" s="2724"/>
      <c r="H49" s="2724"/>
      <c r="I49" s="2724"/>
      <c r="J49" s="2724"/>
      <c r="K49" s="2729"/>
      <c r="L49" s="929"/>
      <c r="M49" s="927"/>
      <c r="N49" s="927"/>
      <c r="O49" s="927"/>
    </row>
    <row r="50" spans="1:17">
      <c r="A50" s="2721"/>
      <c r="B50" s="2727"/>
      <c r="C50" s="2728"/>
      <c r="D50" s="2721"/>
      <c r="E50" s="2721"/>
      <c r="F50" s="2721"/>
      <c r="G50" s="2721"/>
      <c r="H50" s="2721"/>
      <c r="I50" s="2721"/>
      <c r="J50" s="2721"/>
      <c r="K50" s="2726"/>
      <c r="L50" s="888"/>
      <c r="M50" s="926"/>
      <c r="N50" s="926"/>
      <c r="O50" s="926"/>
    </row>
    <row r="51" spans="1:17" ht="21.75" thickBot="1">
      <c r="A51" s="693" t="s">
        <v>1796</v>
      </c>
      <c r="B51" s="689"/>
      <c r="C51" s="694"/>
      <c r="D51" s="694"/>
      <c r="E51" s="694"/>
      <c r="F51" s="695"/>
      <c r="G51" s="695"/>
      <c r="H51" s="694"/>
      <c r="I51" s="694"/>
      <c r="J51" s="694"/>
      <c r="K51" s="940"/>
      <c r="L51" s="941"/>
      <c r="M51" s="939"/>
      <c r="N51" s="939"/>
      <c r="O51" s="939"/>
      <c r="P51" s="452"/>
      <c r="Q51" s="453"/>
    </row>
    <row r="52" spans="1:17" s="457" customFormat="1" ht="15">
      <c r="A52" s="454" t="s">
        <v>1677</v>
      </c>
      <c r="B52" s="455"/>
      <c r="C52" s="1182" t="str">
        <f>YEAR(C7)&amp;"-"&amp;MONTH(C7)</f>
        <v>2024-7</v>
      </c>
      <c r="D52" s="1183">
        <f>EDATE(C52,-1)</f>
        <v>45444</v>
      </c>
      <c r="E52" s="1183">
        <f t="shared" ref="E52:O52" si="16">EDATE(D52,-1)</f>
        <v>45413</v>
      </c>
      <c r="F52" s="1183">
        <f t="shared" si="16"/>
        <v>45383</v>
      </c>
      <c r="G52" s="1183">
        <f t="shared" si="16"/>
        <v>45352</v>
      </c>
      <c r="H52" s="1183">
        <f t="shared" si="16"/>
        <v>45323</v>
      </c>
      <c r="I52" s="1183">
        <f t="shared" si="16"/>
        <v>45292</v>
      </c>
      <c r="J52" s="1183">
        <f t="shared" si="16"/>
        <v>45261</v>
      </c>
      <c r="K52" s="1183">
        <f t="shared" si="16"/>
        <v>45231</v>
      </c>
      <c r="L52" s="1183">
        <f t="shared" si="16"/>
        <v>45200</v>
      </c>
      <c r="M52" s="1183">
        <f t="shared" si="16"/>
        <v>45170</v>
      </c>
      <c r="N52" s="1183">
        <f t="shared" si="16"/>
        <v>45139</v>
      </c>
      <c r="O52" s="1183">
        <f t="shared" si="16"/>
        <v>45108</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6"/>
      <c r="O54" s="2767"/>
      <c r="P54" s="453"/>
      <c r="Q54" s="453"/>
    </row>
    <row r="55" spans="1:17" s="108" customFormat="1" ht="15">
      <c r="A55" s="470" t="s">
        <v>1679</v>
      </c>
      <c r="B55" s="459"/>
      <c r="C55" s="471" t="s">
        <v>1774</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1717</v>
      </c>
      <c r="B57" s="477" t="s">
        <v>1683</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1686</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1811</v>
      </c>
      <c r="C76" s="607" t="s">
        <v>1797</v>
      </c>
      <c r="D76" s="607" t="s">
        <v>1798</v>
      </c>
      <c r="E76" s="607" t="s">
        <v>1799</v>
      </c>
      <c r="F76" s="607" t="s">
        <v>1800</v>
      </c>
      <c r="G76" s="607" t="s">
        <v>1801</v>
      </c>
      <c r="H76" s="488"/>
      <c r="I76" s="488"/>
      <c r="J76" s="488"/>
      <c r="K76" s="488"/>
      <c r="L76" s="488"/>
      <c r="M76" s="1127"/>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6"/>
      <c r="B87" s="518"/>
      <c r="C87" s="519"/>
      <c r="D87" s="519"/>
      <c r="E87" s="519"/>
      <c r="F87" s="519"/>
      <c r="G87" s="540"/>
      <c r="H87" s="540"/>
      <c r="I87" s="540"/>
      <c r="J87" s="540"/>
      <c r="K87" s="540"/>
      <c r="L87" s="540"/>
      <c r="M87" s="541"/>
      <c r="N87" s="933"/>
      <c r="O87" s="933"/>
      <c r="P87" s="42"/>
      <c r="Q87" s="453"/>
    </row>
    <row r="88" spans="1:17">
      <c r="A88" s="476" t="s">
        <v>1692</v>
      </c>
      <c r="B88" s="477" t="s">
        <v>1734</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1736</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1738</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1739</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1740</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1742</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1828</v>
      </c>
      <c r="C106" s="527" t="s">
        <v>1719</v>
      </c>
      <c r="D106" s="527" t="s">
        <v>1720</v>
      </c>
      <c r="E106" s="527" t="s">
        <v>1721</v>
      </c>
      <c r="F106" s="527" t="s">
        <v>1722</v>
      </c>
      <c r="G106" s="527" t="s">
        <v>1723</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6"/>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34" priority="20" stopIfTrue="1" operator="containsText" text="超过">
      <formula>NOT(ISERROR(SEARCH("超过",F46)))</formula>
    </cfRule>
  </conditionalFormatting>
  <conditionalFormatting sqref="H48">
    <cfRule type="containsText" dxfId="133" priority="19" stopIfTrue="1" operator="containsText" text="超过">
      <formula>NOT(ISERROR(SEARCH("超过",H48)))</formula>
    </cfRule>
  </conditionalFormatting>
  <conditionalFormatting sqref="F48">
    <cfRule type="containsText" dxfId="132" priority="18" stopIfTrue="1" operator="containsText" text="超过">
      <formula>NOT(ISERROR(SEARCH("超过",F48)))</formula>
    </cfRule>
  </conditionalFormatting>
  <conditionalFormatting sqref="F47 H47">
    <cfRule type="containsText" dxfId="131" priority="17" stopIfTrue="1" operator="containsText" text="超过">
      <formula>NOT(ISERROR(SEARCH("超过",F47)))</formula>
    </cfRule>
  </conditionalFormatting>
  <conditionalFormatting sqref="E46">
    <cfRule type="expression" dxfId="130" priority="16" stopIfTrue="1">
      <formula>$F$46="超过30%"</formula>
    </cfRule>
  </conditionalFormatting>
  <conditionalFormatting sqref="E47">
    <cfRule type="expression" dxfId="129" priority="15" stopIfTrue="1">
      <formula>$F$47="超过20%"</formula>
    </cfRule>
  </conditionalFormatting>
  <conditionalFormatting sqref="E48">
    <cfRule type="expression" dxfId="128" priority="14" stopIfTrue="1">
      <formula>$F$48="超过30%"</formula>
    </cfRule>
  </conditionalFormatting>
  <conditionalFormatting sqref="G48">
    <cfRule type="expression" dxfId="127" priority="13" stopIfTrue="1">
      <formula>$H$48="超过30%"</formula>
    </cfRule>
  </conditionalFormatting>
  <conditionalFormatting sqref="G46">
    <cfRule type="expression" dxfId="126" priority="12" stopIfTrue="1">
      <formula>$H$46="超过30%"</formula>
    </cfRule>
  </conditionalFormatting>
  <conditionalFormatting sqref="G47">
    <cfRule type="expression" dxfId="125" priority="11" stopIfTrue="1">
      <formula>$H$47="超过20%"</formula>
    </cfRule>
  </conditionalFormatting>
  <conditionalFormatting sqref="J46">
    <cfRule type="containsText" dxfId="124" priority="10" stopIfTrue="1" operator="containsText" text="超过">
      <formula>NOT(ISERROR(SEARCH("超过",J46)))</formula>
    </cfRule>
  </conditionalFormatting>
  <conditionalFormatting sqref="J48">
    <cfRule type="containsText" dxfId="123" priority="9" stopIfTrue="1" operator="containsText" text="超过">
      <formula>NOT(ISERROR(SEARCH("超过",J48)))</formula>
    </cfRule>
  </conditionalFormatting>
  <conditionalFormatting sqref="J47">
    <cfRule type="containsText" dxfId="122" priority="8" stopIfTrue="1" operator="containsText" text="超过">
      <formula>NOT(ISERROR(SEARCH("超过",J47)))</formula>
    </cfRule>
  </conditionalFormatting>
  <conditionalFormatting sqref="I46">
    <cfRule type="expression" dxfId="121" priority="7" stopIfTrue="1">
      <formula>$J$46="超过30%"</formula>
    </cfRule>
  </conditionalFormatting>
  <conditionalFormatting sqref="I47">
    <cfRule type="expression" dxfId="120" priority="6" stopIfTrue="1">
      <formula>$J$47="超过20%"</formula>
    </cfRule>
  </conditionalFormatting>
  <conditionalFormatting sqref="I48">
    <cfRule type="expression" dxfId="119" priority="5" stopIfTrue="1">
      <formula>$J$48="超过30%"</formula>
    </cfRule>
  </conditionalFormatting>
  <conditionalFormatting sqref="F42">
    <cfRule type="expression" dxfId="118" priority="4">
      <formula>$D$42="简单平均"</formula>
    </cfRule>
  </conditionalFormatting>
  <conditionalFormatting sqref="H42">
    <cfRule type="expression" dxfId="117" priority="3">
      <formula>$D$42="简单平均"</formula>
    </cfRule>
  </conditionalFormatting>
  <conditionalFormatting sqref="J42">
    <cfRule type="expression" dxfId="116" priority="2">
      <formula>$D$42="简单平均"</formula>
    </cfRule>
  </conditionalFormatting>
  <conditionalFormatting sqref="F7:F40 H7:H40 J7:J40">
    <cfRule type="cellIs" dxfId="11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1829</v>
      </c>
      <c r="B1" s="1221" t="s">
        <v>3330</v>
      </c>
      <c r="C1" s="1222" t="s">
        <v>1660</v>
      </c>
      <c r="D1" s="1223"/>
      <c r="E1" s="3429"/>
      <c r="F1" s="1877"/>
      <c r="G1" s="1225" t="s">
        <v>1765</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1460</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6" t="e">
        <f ca="1">IF(E1="项目模式",SUMIF(INDIRECT("'"&amp;F2&amp;"'"&amp;"!A:A"),"承租人权益价值",INDIRECT("'"&amp;F2&amp;"'"&amp;"!c:c")),SUMIF(INDIRECT("'"&amp;F2&amp;"'"&amp;"!A:A"),"承租人权益价值（单套）",INDIRECT("'"&amp;F2&amp;"'"&amp;"!c:c")))</f>
        <v>#REF!</v>
      </c>
      <c r="E2" s="1880" t="s">
        <v>1461</v>
      </c>
      <c r="F2" s="1881"/>
      <c r="G2" s="907"/>
      <c r="H2" s="907"/>
      <c r="I2" s="907"/>
      <c r="J2" s="907"/>
      <c r="K2" s="909"/>
      <c r="L2" s="2730"/>
      <c r="M2" s="2731"/>
      <c r="N2" s="2731"/>
      <c r="O2" s="2731"/>
      <c r="P2" s="1163"/>
      <c r="Q2" s="698"/>
      <c r="R2" s="698"/>
      <c r="S2" s="698"/>
      <c r="T2" s="698"/>
      <c r="U2" s="698"/>
      <c r="V2" s="698"/>
      <c r="W2" s="698"/>
      <c r="X2" s="698"/>
      <c r="Y2" s="698"/>
      <c r="Z2" s="698"/>
      <c r="AA2" s="698"/>
      <c r="AB2" s="698"/>
      <c r="AC2" s="699"/>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7"/>
      <c r="H3" s="907"/>
      <c r="I3" s="907"/>
      <c r="J3" s="907"/>
      <c r="K3" s="909"/>
      <c r="L3" s="2730"/>
      <c r="M3" s="2731" t="e">
        <f ca="1">IF(C2="——",IF(B37="元/平方米",ROUND(C39*D3/10000,0),ROUND(F3*C39/10000,0)),IF(B37="元/平方米",ROUND(C39*D3/10000,0),ROUND(F3*C39/10000,0))-D2)</f>
        <v>#DIV/0!</v>
      </c>
      <c r="N3" s="2731"/>
      <c r="O3" s="2731"/>
      <c r="P3" s="1163"/>
      <c r="Q3" s="698"/>
      <c r="R3" s="698"/>
      <c r="S3" s="698"/>
      <c r="T3" s="698"/>
      <c r="U3" s="698"/>
      <c r="V3" s="698"/>
      <c r="W3" s="698"/>
      <c r="X3" s="698"/>
      <c r="Y3" s="698"/>
      <c r="Z3" s="698"/>
      <c r="AA3" s="698"/>
      <c r="AB3" s="715"/>
      <c r="AC3" s="712"/>
    </row>
    <row r="4" spans="1:29" ht="15">
      <c r="A4" s="355" t="s">
        <v>1767</v>
      </c>
      <c r="B4" s="356"/>
      <c r="C4" s="3735" t="s">
        <v>1768</v>
      </c>
      <c r="D4" s="3736"/>
      <c r="E4" s="3737" t="s">
        <v>1769</v>
      </c>
      <c r="F4" s="3738"/>
      <c r="G4" s="3735" t="s">
        <v>1770</v>
      </c>
      <c r="H4" s="3736"/>
      <c r="I4" s="3735" t="s">
        <v>1771</v>
      </c>
      <c r="J4" s="3736"/>
      <c r="K4" s="559" t="s">
        <v>1772</v>
      </c>
      <c r="L4" s="2711"/>
      <c r="M4" s="2712"/>
      <c r="N4" s="2712"/>
      <c r="O4" s="2712"/>
      <c r="P4" s="3790" t="s">
        <v>1773</v>
      </c>
      <c r="Q4" s="3791"/>
      <c r="R4" s="3788" t="s">
        <v>1769</v>
      </c>
      <c r="S4" s="3789"/>
      <c r="T4" s="3788" t="s">
        <v>1770</v>
      </c>
      <c r="U4" s="3789"/>
      <c r="V4" s="3748" t="s">
        <v>1771</v>
      </c>
      <c r="W4" s="3748"/>
      <c r="X4" s="1353"/>
      <c r="Y4" s="3788" t="s">
        <v>1773</v>
      </c>
      <c r="Z4" s="3789"/>
      <c r="AA4" s="3787" t="s">
        <v>1769</v>
      </c>
      <c r="AB4" s="3714" t="s">
        <v>1770</v>
      </c>
      <c r="AC4" s="3787" t="s">
        <v>1771</v>
      </c>
    </row>
    <row r="5" spans="1:29" ht="15">
      <c r="A5" s="358"/>
      <c r="B5" s="359"/>
      <c r="C5" s="3724" t="s">
        <v>1671</v>
      </c>
      <c r="D5" s="3725"/>
      <c r="E5" s="3722" t="s">
        <v>1672</v>
      </c>
      <c r="F5" s="3723"/>
      <c r="G5" s="3724" t="s">
        <v>1673</v>
      </c>
      <c r="H5" s="3725"/>
      <c r="I5" s="3724" t="s">
        <v>1674</v>
      </c>
      <c r="J5" s="3725"/>
      <c r="K5" s="559"/>
      <c r="L5" s="2711"/>
      <c r="M5" s="2712"/>
      <c r="N5" s="2712"/>
      <c r="O5" s="2712"/>
      <c r="P5" s="3792"/>
      <c r="Q5" s="3742"/>
      <c r="R5" s="3720"/>
      <c r="S5" s="3721"/>
      <c r="T5" s="3720"/>
      <c r="U5" s="3721"/>
      <c r="V5" s="3748"/>
      <c r="W5" s="3748"/>
      <c r="X5" s="1353"/>
      <c r="Y5" s="3720"/>
      <c r="Z5" s="3721"/>
      <c r="AA5" s="3714"/>
      <c r="AB5" s="3714"/>
      <c r="AC5" s="3714"/>
    </row>
    <row r="6" spans="1:29" ht="15.75" thickBot="1">
      <c r="A6" s="360"/>
      <c r="B6" s="361"/>
      <c r="C6" s="3726" t="s">
        <v>1675</v>
      </c>
      <c r="D6" s="3727"/>
      <c r="E6" s="3729" t="s">
        <v>1675</v>
      </c>
      <c r="F6" s="3730"/>
      <c r="G6" s="3726" t="s">
        <v>1675</v>
      </c>
      <c r="H6" s="3727"/>
      <c r="I6" s="3726" t="s">
        <v>1675</v>
      </c>
      <c r="J6" s="3727"/>
      <c r="K6" s="559" t="s">
        <v>1676</v>
      </c>
      <c r="L6" s="2711"/>
      <c r="M6" s="2712"/>
      <c r="N6" s="2712"/>
      <c r="O6" s="2712"/>
      <c r="P6" s="3793"/>
      <c r="Q6" s="3744"/>
      <c r="R6" s="3720"/>
      <c r="S6" s="3721"/>
      <c r="T6" s="3745"/>
      <c r="U6" s="3746"/>
      <c r="V6" s="3748"/>
      <c r="W6" s="3748"/>
      <c r="X6" s="1353"/>
      <c r="Y6" s="3745"/>
      <c r="Z6" s="3746"/>
      <c r="AA6" s="3715"/>
      <c r="AB6" s="3715"/>
      <c r="AC6" s="3715"/>
    </row>
    <row r="7" spans="1:29" s="108" customFormat="1" ht="15.75" thickBot="1">
      <c r="A7" s="362" t="s">
        <v>1677</v>
      </c>
      <c r="B7" s="363"/>
      <c r="C7" s="364">
        <f>'数据-取费表'!B2</f>
        <v>45498</v>
      </c>
      <c r="D7" s="365">
        <v>100</v>
      </c>
      <c r="E7" s="366"/>
      <c r="F7" s="367">
        <f>SUMIF(48:48,YEAR(E7)&amp;"-"&amp;MONTH(E7),49:49)</f>
        <v>0</v>
      </c>
      <c r="G7" s="366"/>
      <c r="H7" s="365">
        <f>SUMIF(48:48,YEAR(G7)&amp;"-"&amp;MONTH(G7),49:49)</f>
        <v>0</v>
      </c>
      <c r="I7" s="366"/>
      <c r="J7" s="365">
        <f>SUMIF(48:48,YEAR(I7)&amp;"-"&amp;MONTH(I7),49:49)</f>
        <v>0</v>
      </c>
      <c r="K7" s="560"/>
      <c r="L7" s="2713"/>
      <c r="M7" s="2714"/>
      <c r="N7" s="2714"/>
      <c r="O7" s="2714"/>
      <c r="P7" s="3716" t="s">
        <v>1678</v>
      </c>
      <c r="Q7" s="3751"/>
      <c r="R7" s="700" t="s">
        <v>14</v>
      </c>
      <c r="S7" s="701">
        <f t="shared" ref="S7:S14" si="0">F7</f>
        <v>0</v>
      </c>
      <c r="T7" s="700" t="s">
        <v>14</v>
      </c>
      <c r="U7" s="701">
        <f t="shared" ref="U7:U14" si="1">H7</f>
        <v>0</v>
      </c>
      <c r="V7" s="700" t="s">
        <v>14</v>
      </c>
      <c r="W7" s="701">
        <f t="shared" ref="W7:W14" si="2">J7</f>
        <v>0</v>
      </c>
      <c r="X7" s="702"/>
      <c r="Y7" s="3716" t="s">
        <v>1678</v>
      </c>
      <c r="Z7" s="3717"/>
      <c r="AA7" s="703" t="e">
        <f>D7/F7</f>
        <v>#DIV/0!</v>
      </c>
      <c r="AB7" s="703" t="e">
        <f>D7/H7</f>
        <v>#DIV/0!</v>
      </c>
      <c r="AC7" s="703"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716" t="s">
        <v>1681</v>
      </c>
      <c r="Q8" s="3717"/>
      <c r="R8" s="700" t="s">
        <v>14</v>
      </c>
      <c r="S8" s="701">
        <f t="shared" si="0"/>
        <v>100</v>
      </c>
      <c r="T8" s="700" t="s">
        <v>14</v>
      </c>
      <c r="U8" s="701">
        <f t="shared" si="1"/>
        <v>100</v>
      </c>
      <c r="V8" s="700" t="s">
        <v>14</v>
      </c>
      <c r="W8" s="701">
        <f t="shared" si="2"/>
        <v>100</v>
      </c>
      <c r="X8" s="702"/>
      <c r="Y8" s="3716" t="s">
        <v>1681</v>
      </c>
      <c r="Z8" s="3717"/>
      <c r="AA8" s="703">
        <f t="shared" ref="AA8:AA36" si="3">D8/F8</f>
        <v>1</v>
      </c>
      <c r="AB8" s="703">
        <f t="shared" ref="AB8:AB36" si="4">D8/H8</f>
        <v>1</v>
      </c>
      <c r="AC8" s="703">
        <f t="shared" ref="AC8:AC36" si="5">D8/J8</f>
        <v>1</v>
      </c>
    </row>
    <row r="9" spans="1:29" s="108" customFormat="1">
      <c r="A9" s="60" t="s">
        <v>1682</v>
      </c>
      <c r="B9" s="587" t="s">
        <v>1683</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761" t="s">
        <v>1684</v>
      </c>
      <c r="Q9" s="1341" t="str">
        <f t="shared" ref="Q9:Q14" si="6">B9</f>
        <v>用途</v>
      </c>
      <c r="R9" s="700" t="s">
        <v>14</v>
      </c>
      <c r="S9" s="701">
        <f t="shared" si="0"/>
        <v>100</v>
      </c>
      <c r="T9" s="700" t="s">
        <v>14</v>
      </c>
      <c r="U9" s="701">
        <f t="shared" si="1"/>
        <v>100</v>
      </c>
      <c r="V9" s="700" t="s">
        <v>14</v>
      </c>
      <c r="W9" s="701">
        <f t="shared" si="2"/>
        <v>100</v>
      </c>
      <c r="X9" s="702"/>
      <c r="Y9" s="3681" t="s">
        <v>1685</v>
      </c>
      <c r="Z9" s="52" t="str">
        <f t="shared" ref="Z9:Z14" si="7">Q9</f>
        <v>用途</v>
      </c>
      <c r="AA9" s="703">
        <f t="shared" si="3"/>
        <v>1</v>
      </c>
      <c r="AB9" s="703">
        <f t="shared" si="4"/>
        <v>1</v>
      </c>
      <c r="AC9" s="703">
        <f t="shared" si="5"/>
        <v>1</v>
      </c>
    </row>
    <row r="10" spans="1:29" s="378" customFormat="1" ht="27">
      <c r="A10" s="588"/>
      <c r="B10" s="589" t="s">
        <v>1686</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761"/>
      <c r="Q10" s="1341" t="str">
        <f t="shared" si="6"/>
        <v>土地使用年限（年）</v>
      </c>
      <c r="R10" s="700" t="s">
        <v>14</v>
      </c>
      <c r="S10" s="701">
        <f t="shared" si="0"/>
        <v>100</v>
      </c>
      <c r="T10" s="700" t="s">
        <v>14</v>
      </c>
      <c r="U10" s="701">
        <f t="shared" si="1"/>
        <v>100</v>
      </c>
      <c r="V10" s="700" t="s">
        <v>14</v>
      </c>
      <c r="W10" s="701">
        <f t="shared" si="2"/>
        <v>100</v>
      </c>
      <c r="X10" s="702"/>
      <c r="Y10" s="3681"/>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761"/>
      <c r="Q11" s="1341">
        <f t="shared" si="6"/>
        <v>111</v>
      </c>
      <c r="R11" s="700" t="s">
        <v>14</v>
      </c>
      <c r="S11" s="701">
        <f t="shared" si="0"/>
        <v>100</v>
      </c>
      <c r="T11" s="700" t="s">
        <v>14</v>
      </c>
      <c r="U11" s="701">
        <f t="shared" si="1"/>
        <v>100</v>
      </c>
      <c r="V11" s="700" t="s">
        <v>14</v>
      </c>
      <c r="W11" s="701">
        <f t="shared" si="2"/>
        <v>100</v>
      </c>
      <c r="X11" s="702"/>
      <c r="Y11" s="3681"/>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761"/>
      <c r="Q12" s="1341">
        <f t="shared" si="6"/>
        <v>111</v>
      </c>
      <c r="R12" s="700" t="s">
        <v>14</v>
      </c>
      <c r="S12" s="701">
        <f t="shared" si="0"/>
        <v>100</v>
      </c>
      <c r="T12" s="700" t="s">
        <v>14</v>
      </c>
      <c r="U12" s="701">
        <f t="shared" si="1"/>
        <v>100</v>
      </c>
      <c r="V12" s="700" t="s">
        <v>14</v>
      </c>
      <c r="W12" s="701">
        <f t="shared" si="2"/>
        <v>100</v>
      </c>
      <c r="X12" s="702"/>
      <c r="Y12" s="3681"/>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761"/>
      <c r="Q13" s="1341">
        <f t="shared" si="6"/>
        <v>111</v>
      </c>
      <c r="R13" s="700" t="s">
        <v>14</v>
      </c>
      <c r="S13" s="701">
        <f t="shared" si="0"/>
        <v>100</v>
      </c>
      <c r="T13" s="700" t="s">
        <v>14</v>
      </c>
      <c r="U13" s="701">
        <f t="shared" si="1"/>
        <v>100</v>
      </c>
      <c r="V13" s="700" t="s">
        <v>14</v>
      </c>
      <c r="W13" s="701">
        <f t="shared" si="2"/>
        <v>100</v>
      </c>
      <c r="X13" s="702"/>
      <c r="Y13" s="3681"/>
      <c r="Z13" s="52">
        <f t="shared" si="7"/>
        <v>111</v>
      </c>
      <c r="AA13" s="703">
        <f t="shared" si="3"/>
        <v>1</v>
      </c>
      <c r="AB13" s="703">
        <f t="shared" si="4"/>
        <v>1</v>
      </c>
      <c r="AC13" s="703">
        <f t="shared" si="5"/>
        <v>1</v>
      </c>
    </row>
    <row r="14" spans="1:29" ht="142.5">
      <c r="A14" s="355" t="s">
        <v>1688</v>
      </c>
      <c r="B14" s="576" t="s">
        <v>1831</v>
      </c>
      <c r="C14" s="1969" t="str">
        <f>IF(B1="工业",估价对象房地状况!G4,估价对象房地状况!C6)</f>
        <v>估价对象周边道路状况较好、有7、16、105等公交线路及地铁2、4号线经过，公共交通通达情况较好、停车便捷程度一般，综合评价交通便捷度较好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754" t="s">
        <v>1689</v>
      </c>
      <c r="Q14" s="1350" t="str">
        <f t="shared" si="6"/>
        <v>交通便捷度</v>
      </c>
      <c r="R14" s="704" t="s">
        <v>14</v>
      </c>
      <c r="S14" s="705">
        <f t="shared" si="0"/>
        <v>100</v>
      </c>
      <c r="T14" s="704" t="s">
        <v>14</v>
      </c>
      <c r="U14" s="705">
        <f t="shared" si="1"/>
        <v>100</v>
      </c>
      <c r="V14" s="704" t="s">
        <v>14</v>
      </c>
      <c r="W14" s="705">
        <f t="shared" si="2"/>
        <v>100</v>
      </c>
      <c r="X14" s="1353"/>
      <c r="Y14" s="3754" t="s">
        <v>1689</v>
      </c>
      <c r="Z14" s="1354" t="str">
        <f t="shared" si="7"/>
        <v>交通便捷度</v>
      </c>
      <c r="AA14" s="1351">
        <f t="shared" si="3"/>
        <v>1</v>
      </c>
      <c r="AB14" s="1351">
        <f t="shared" si="4"/>
        <v>1</v>
      </c>
      <c r="AC14" s="1351">
        <f t="shared" si="5"/>
        <v>1</v>
      </c>
    </row>
    <row r="15" spans="1:29" ht="15">
      <c r="A15" s="358"/>
      <c r="B15" s="594"/>
      <c r="C15" s="398"/>
      <c r="D15" s="399"/>
      <c r="E15" s="398"/>
      <c r="F15" s="400"/>
      <c r="G15" s="398"/>
      <c r="H15" s="401"/>
      <c r="I15" s="398"/>
      <c r="J15" s="399"/>
      <c r="K15" s="564"/>
      <c r="L15" s="2718"/>
      <c r="M15" s="2712"/>
      <c r="N15" s="2712"/>
      <c r="O15" s="2712"/>
      <c r="P15" s="3755"/>
      <c r="Q15" s="1350"/>
      <c r="R15" s="704"/>
      <c r="S15" s="705"/>
      <c r="T15" s="704"/>
      <c r="U15" s="705"/>
      <c r="V15" s="704"/>
      <c r="W15" s="705"/>
      <c r="X15" s="1353"/>
      <c r="Y15" s="3755"/>
      <c r="Z15" s="1354"/>
      <c r="AA15" s="1351">
        <v>1</v>
      </c>
      <c r="AB15" s="1351">
        <v>1</v>
      </c>
      <c r="AC15" s="1351">
        <v>1</v>
      </c>
    </row>
    <row r="16" spans="1:29" ht="42.75">
      <c r="A16" s="358"/>
      <c r="B16" s="578" t="s">
        <v>1810</v>
      </c>
      <c r="C16" s="1898" t="str">
        <f>IF(B1="工业",估价对象房地状况!G5,估价对象房地状况!C7)</f>
        <v>估价对象所在区域公共配套设施齐备情况较好</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755"/>
      <c r="Q16" s="1350" t="str">
        <f>B16</f>
        <v>公共配套设施</v>
      </c>
      <c r="R16" s="704" t="s">
        <v>14</v>
      </c>
      <c r="S16" s="705">
        <f>F16</f>
        <v>100</v>
      </c>
      <c r="T16" s="704" t="s">
        <v>14</v>
      </c>
      <c r="U16" s="705">
        <f>H16</f>
        <v>100</v>
      </c>
      <c r="V16" s="704" t="s">
        <v>14</v>
      </c>
      <c r="W16" s="705">
        <f>J16</f>
        <v>100</v>
      </c>
      <c r="X16" s="1353"/>
      <c r="Y16" s="3755"/>
      <c r="Z16" s="1354" t="str">
        <f>Q16</f>
        <v>公共配套设施</v>
      </c>
      <c r="AA16" s="1351">
        <f t="shared" si="3"/>
        <v>1</v>
      </c>
      <c r="AB16" s="1351">
        <f t="shared" si="4"/>
        <v>1</v>
      </c>
      <c r="AC16" s="1351">
        <f t="shared" si="5"/>
        <v>1</v>
      </c>
    </row>
    <row r="17" spans="1:29" ht="15">
      <c r="A17" s="358"/>
      <c r="B17" s="579"/>
      <c r="C17" s="1899"/>
      <c r="D17" s="399"/>
      <c r="E17" s="398"/>
      <c r="F17" s="400"/>
      <c r="G17" s="398"/>
      <c r="H17" s="399"/>
      <c r="I17" s="398"/>
      <c r="J17" s="399"/>
      <c r="K17" s="564"/>
      <c r="L17" s="2718"/>
      <c r="M17" s="2712"/>
      <c r="N17" s="2712"/>
      <c r="O17" s="2712"/>
      <c r="P17" s="3755"/>
      <c r="Q17" s="1350"/>
      <c r="R17" s="704"/>
      <c r="S17" s="705"/>
      <c r="T17" s="704"/>
      <c r="U17" s="705"/>
      <c r="V17" s="704"/>
      <c r="W17" s="705"/>
      <c r="X17" s="1353"/>
      <c r="Y17" s="3755"/>
      <c r="Z17" s="1354"/>
      <c r="AA17" s="1351">
        <v>1</v>
      </c>
      <c r="AB17" s="1351">
        <v>1</v>
      </c>
      <c r="AC17" s="1351">
        <v>1</v>
      </c>
    </row>
    <row r="18" spans="1:29" ht="42.75">
      <c r="A18" s="358"/>
      <c r="B18" s="580" t="s">
        <v>1811</v>
      </c>
      <c r="C18" s="1898" t="str">
        <f>IF(B1="工业",估价对象房地状况!G6,估价对象房地状况!C8)</f>
        <v>估价对象所在区域基础设施水平七通</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755"/>
      <c r="Q18" s="1350" t="str">
        <f>B18</f>
        <v>基础设施水平</v>
      </c>
      <c r="R18" s="704" t="s">
        <v>14</v>
      </c>
      <c r="S18" s="705">
        <f>F18</f>
        <v>100</v>
      </c>
      <c r="T18" s="704" t="s">
        <v>14</v>
      </c>
      <c r="U18" s="705">
        <f>H18</f>
        <v>100</v>
      </c>
      <c r="V18" s="704" t="s">
        <v>14</v>
      </c>
      <c r="W18" s="705">
        <f>J18</f>
        <v>100</v>
      </c>
      <c r="X18" s="1353"/>
      <c r="Y18" s="3755"/>
      <c r="Z18" s="1354" t="str">
        <f>Q18</f>
        <v>基础设施水平</v>
      </c>
      <c r="AA18" s="1351">
        <f t="shared" ref="AA18" si="8">D18/F18</f>
        <v>1</v>
      </c>
      <c r="AB18" s="1351">
        <f t="shared" ref="AB18" si="9">D18/H18</f>
        <v>1</v>
      </c>
      <c r="AC18" s="1351">
        <f t="shared" ref="AC18" si="10">D18/J18</f>
        <v>1</v>
      </c>
    </row>
    <row r="19" spans="1:29" ht="15">
      <c r="A19" s="358"/>
      <c r="B19" s="580"/>
      <c r="C19" s="1899"/>
      <c r="D19" s="401"/>
      <c r="E19" s="1899"/>
      <c r="F19" s="404"/>
      <c r="G19" s="1899"/>
      <c r="H19" s="399"/>
      <c r="I19" s="398"/>
      <c r="J19" s="399"/>
      <c r="K19" s="1128"/>
      <c r="L19" s="2718"/>
      <c r="M19" s="2712"/>
      <c r="N19" s="2712"/>
      <c r="O19" s="2712"/>
      <c r="P19" s="3755"/>
      <c r="Q19" s="1350"/>
      <c r="R19" s="704"/>
      <c r="S19" s="705"/>
      <c r="T19" s="704"/>
      <c r="U19" s="705"/>
      <c r="V19" s="704"/>
      <c r="W19" s="705"/>
      <c r="X19" s="1353"/>
      <c r="Y19" s="3755"/>
      <c r="Z19" s="1354"/>
      <c r="AA19" s="1351">
        <v>1</v>
      </c>
      <c r="AB19" s="1351">
        <v>1</v>
      </c>
      <c r="AC19" s="1351">
        <v>1</v>
      </c>
    </row>
    <row r="20" spans="1:29" ht="99.75">
      <c r="A20" s="358"/>
      <c r="B20" s="578" t="s">
        <v>1832</v>
      </c>
      <c r="C20" s="1898" t="str">
        <f>IF(B1="工业",估价对象房地状况!G7,估价对象房地状况!C9)</f>
        <v>区域自然环境：北京动物园、官园公园；人文环境：北京天文馆、北京建筑大学；综合评价环境状况较好</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755"/>
      <c r="Q20" s="1350" t="str">
        <f>B20</f>
        <v>自然及人文环境</v>
      </c>
      <c r="R20" s="704" t="s">
        <v>14</v>
      </c>
      <c r="S20" s="705">
        <f>F20</f>
        <v>100</v>
      </c>
      <c r="T20" s="704" t="s">
        <v>14</v>
      </c>
      <c r="U20" s="705">
        <f>H20</f>
        <v>100</v>
      </c>
      <c r="V20" s="704" t="s">
        <v>14</v>
      </c>
      <c r="W20" s="705">
        <f>J20</f>
        <v>100</v>
      </c>
      <c r="X20" s="1353"/>
      <c r="Y20" s="3755"/>
      <c r="Z20" s="1354" t="str">
        <f>Q20</f>
        <v>自然及人文环境</v>
      </c>
      <c r="AA20" s="1351">
        <f t="shared" si="3"/>
        <v>1</v>
      </c>
      <c r="AB20" s="1351">
        <f t="shared" si="4"/>
        <v>1</v>
      </c>
      <c r="AC20" s="1351">
        <f t="shared" si="5"/>
        <v>1</v>
      </c>
    </row>
    <row r="21" spans="1:29" ht="15">
      <c r="A21" s="358"/>
      <c r="B21" s="579"/>
      <c r="C21" s="398"/>
      <c r="D21" s="399"/>
      <c r="E21" s="398"/>
      <c r="F21" s="400"/>
      <c r="G21" s="398"/>
      <c r="H21" s="399"/>
      <c r="I21" s="398"/>
      <c r="J21" s="399"/>
      <c r="K21" s="564"/>
      <c r="L21" s="2718"/>
      <c r="M21" s="2712"/>
      <c r="N21" s="2712"/>
      <c r="O21" s="2712"/>
      <c r="P21" s="3755"/>
      <c r="Q21" s="1350"/>
      <c r="R21" s="704"/>
      <c r="S21" s="705"/>
      <c r="T21" s="704"/>
      <c r="U21" s="705"/>
      <c r="V21" s="704"/>
      <c r="W21" s="705"/>
      <c r="X21" s="1353"/>
      <c r="Y21" s="3755"/>
      <c r="Z21" s="1354"/>
      <c r="AA21" s="1351">
        <v>1</v>
      </c>
      <c r="AB21" s="1351">
        <v>1</v>
      </c>
      <c r="AC21" s="1351">
        <v>1</v>
      </c>
    </row>
    <row r="22" spans="1:29" ht="15">
      <c r="A22" s="358"/>
      <c r="B22" s="578" t="s">
        <v>1833</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755"/>
      <c r="Q22" s="1350" t="str">
        <f>B22</f>
        <v>楼层</v>
      </c>
      <c r="R22" s="704" t="s">
        <v>14</v>
      </c>
      <c r="S22" s="705">
        <f>F22</f>
        <v>100</v>
      </c>
      <c r="T22" s="704" t="s">
        <v>14</v>
      </c>
      <c r="U22" s="705">
        <f>H22</f>
        <v>100</v>
      </c>
      <c r="V22" s="704" t="s">
        <v>14</v>
      </c>
      <c r="W22" s="705">
        <f>J22</f>
        <v>100</v>
      </c>
      <c r="X22" s="1353"/>
      <c r="Y22" s="3755"/>
      <c r="Z22" s="1354" t="str">
        <f>Q22</f>
        <v>楼层</v>
      </c>
      <c r="AA22" s="1351">
        <f t="shared" si="3"/>
        <v>1</v>
      </c>
      <c r="AB22" s="1351">
        <f t="shared" si="4"/>
        <v>1</v>
      </c>
      <c r="AC22" s="1351">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755"/>
      <c r="Q23" s="1350">
        <f>B23</f>
        <v>111</v>
      </c>
      <c r="R23" s="704" t="s">
        <v>14</v>
      </c>
      <c r="S23" s="705">
        <f>F23</f>
        <v>100</v>
      </c>
      <c r="T23" s="704" t="s">
        <v>14</v>
      </c>
      <c r="U23" s="705">
        <f>H23</f>
        <v>100</v>
      </c>
      <c r="V23" s="704" t="s">
        <v>14</v>
      </c>
      <c r="W23" s="705">
        <f>J23</f>
        <v>100</v>
      </c>
      <c r="X23" s="1353"/>
      <c r="Y23" s="3755"/>
      <c r="Z23" s="1354">
        <f>Q23</f>
        <v>111</v>
      </c>
      <c r="AA23" s="1351">
        <f t="shared" si="3"/>
        <v>1</v>
      </c>
      <c r="AB23" s="1351">
        <f t="shared" si="4"/>
        <v>1</v>
      </c>
      <c r="AC23" s="1351">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755"/>
      <c r="Q24" s="1350">
        <f t="shared" ref="Q24:Q36" si="11">B24</f>
        <v>111</v>
      </c>
      <c r="R24" s="704" t="s">
        <v>14</v>
      </c>
      <c r="S24" s="705">
        <f>F24</f>
        <v>100</v>
      </c>
      <c r="T24" s="704" t="s">
        <v>14</v>
      </c>
      <c r="U24" s="705">
        <f>H24</f>
        <v>100</v>
      </c>
      <c r="V24" s="704" t="s">
        <v>14</v>
      </c>
      <c r="W24" s="705">
        <f>J24</f>
        <v>100</v>
      </c>
      <c r="X24" s="1353"/>
      <c r="Y24" s="3755"/>
      <c r="Z24" s="1354">
        <f>Q24</f>
        <v>111</v>
      </c>
      <c r="AA24" s="1351">
        <f t="shared" si="3"/>
        <v>1</v>
      </c>
      <c r="AB24" s="1351">
        <f t="shared" si="4"/>
        <v>1</v>
      </c>
      <c r="AC24" s="1351">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3"/>
      <c r="M25" s="2714"/>
      <c r="N25" s="2714"/>
      <c r="O25" s="2714"/>
      <c r="P25" s="3755"/>
      <c r="Q25" s="1341">
        <f t="shared" si="11"/>
        <v>111</v>
      </c>
      <c r="R25" s="700" t="s">
        <v>14</v>
      </c>
      <c r="S25" s="701">
        <f>F25</f>
        <v>100</v>
      </c>
      <c r="T25" s="700" t="s">
        <v>14</v>
      </c>
      <c r="U25" s="701">
        <f>H25</f>
        <v>100</v>
      </c>
      <c r="V25" s="700" t="s">
        <v>14</v>
      </c>
      <c r="W25" s="701">
        <f>J25</f>
        <v>100</v>
      </c>
      <c r="X25" s="702"/>
      <c r="Y25" s="3755"/>
      <c r="Z25" s="52">
        <f>Q25</f>
        <v>111</v>
      </c>
      <c r="AA25" s="1351">
        <f>D25/F25</f>
        <v>1</v>
      </c>
      <c r="AB25" s="1351">
        <f>D25/H25</f>
        <v>1</v>
      </c>
      <c r="AC25" s="1351">
        <f>D25/J25</f>
        <v>1</v>
      </c>
    </row>
    <row r="26" spans="1:29" ht="28.5">
      <c r="A26" s="599" t="s">
        <v>1692</v>
      </c>
      <c r="B26" s="62" t="s">
        <v>1834</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97" t="s">
        <v>1694</v>
      </c>
      <c r="Q26" s="1350" t="str">
        <f t="shared" si="11"/>
        <v>配套类型</v>
      </c>
      <c r="R26" s="704" t="s">
        <v>14</v>
      </c>
      <c r="S26" s="705">
        <f t="shared" ref="S26:S36" si="12">F26</f>
        <v>0</v>
      </c>
      <c r="T26" s="704" t="s">
        <v>14</v>
      </c>
      <c r="U26" s="705">
        <f t="shared" ref="U26:U36" si="13">H26</f>
        <v>0</v>
      </c>
      <c r="V26" s="704" t="s">
        <v>14</v>
      </c>
      <c r="W26" s="705">
        <f t="shared" ref="W26:W36" si="14">J26</f>
        <v>0</v>
      </c>
      <c r="X26" s="1353"/>
      <c r="Y26" s="3759" t="s">
        <v>1694</v>
      </c>
      <c r="Z26" s="1354" t="str">
        <f t="shared" ref="Z26:Z36" si="15">Q26</f>
        <v>配套类型</v>
      </c>
      <c r="AA26" s="1351" t="e">
        <f t="shared" si="3"/>
        <v>#DIV/0!</v>
      </c>
      <c r="AB26" s="1351" t="e">
        <f t="shared" si="4"/>
        <v>#DIV/0!</v>
      </c>
      <c r="AC26" s="1351" t="e">
        <f t="shared" si="5"/>
        <v>#DIV/0!</v>
      </c>
    </row>
    <row r="27" spans="1:29" s="422" customFormat="1" ht="15">
      <c r="A27" s="600"/>
      <c r="B27" s="601" t="s">
        <v>1835</v>
      </c>
      <c r="C27" s="602"/>
      <c r="D27" s="127">
        <v>100</v>
      </c>
      <c r="E27" s="602"/>
      <c r="F27" s="412">
        <f>SUMIF(81:81,E27,82:82)-SUMIF(81:81,C27,82:82)+100</f>
        <v>100</v>
      </c>
      <c r="G27" s="602"/>
      <c r="H27" s="386">
        <f>SUMIF(81:81,G27,82:82)-SUMIF(81:81,C27,82:82)+100</f>
        <v>100</v>
      </c>
      <c r="I27" s="602"/>
      <c r="J27" s="386">
        <f>SUMIF(81:81,I27,82:82)-SUMIF(81:81,C27,82:82)+100</f>
        <v>100</v>
      </c>
      <c r="K27" s="562"/>
      <c r="L27" s="2717"/>
      <c r="M27" s="2719"/>
      <c r="N27" s="2719"/>
      <c r="O27" s="2719"/>
      <c r="P27" s="3759"/>
      <c r="Q27" s="706" t="str">
        <f t="shared" si="11"/>
        <v>项目停车位配比</v>
      </c>
      <c r="R27" s="707" t="s">
        <v>14</v>
      </c>
      <c r="S27" s="708">
        <f t="shared" si="12"/>
        <v>100</v>
      </c>
      <c r="T27" s="707" t="s">
        <v>14</v>
      </c>
      <c r="U27" s="708">
        <f t="shared" si="13"/>
        <v>100</v>
      </c>
      <c r="V27" s="707" t="s">
        <v>14</v>
      </c>
      <c r="W27" s="708">
        <f t="shared" si="14"/>
        <v>100</v>
      </c>
      <c r="X27" s="709"/>
      <c r="Y27" s="3759"/>
      <c r="Z27" s="710" t="str">
        <f t="shared" si="15"/>
        <v>项目停车位配比</v>
      </c>
      <c r="AA27" s="1351">
        <f t="shared" si="3"/>
        <v>1</v>
      </c>
      <c r="AB27" s="1351">
        <f t="shared" si="4"/>
        <v>1</v>
      </c>
      <c r="AC27" s="1351">
        <f t="shared" si="5"/>
        <v>1</v>
      </c>
    </row>
    <row r="28" spans="1:29" ht="15">
      <c r="A28" s="603"/>
      <c r="B28" s="601" t="s">
        <v>1836</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759"/>
      <c r="Q28" s="1350" t="str">
        <f t="shared" si="11"/>
        <v>公共部分装修</v>
      </c>
      <c r="R28" s="704" t="s">
        <v>14</v>
      </c>
      <c r="S28" s="705">
        <f t="shared" si="12"/>
        <v>100</v>
      </c>
      <c r="T28" s="704" t="s">
        <v>14</v>
      </c>
      <c r="U28" s="705">
        <f t="shared" si="13"/>
        <v>100</v>
      </c>
      <c r="V28" s="704" t="s">
        <v>14</v>
      </c>
      <c r="W28" s="705">
        <f t="shared" si="14"/>
        <v>100</v>
      </c>
      <c r="X28" s="1353"/>
      <c r="Y28" s="3759"/>
      <c r="Z28" s="1354" t="str">
        <f t="shared" si="15"/>
        <v>公共部分装修</v>
      </c>
      <c r="AA28" s="1351">
        <f t="shared" si="3"/>
        <v>1</v>
      </c>
      <c r="AB28" s="1351">
        <f t="shared" si="4"/>
        <v>1</v>
      </c>
      <c r="AC28" s="1351">
        <f t="shared" si="5"/>
        <v>1</v>
      </c>
    </row>
    <row r="29" spans="1:29" ht="15">
      <c r="A29" s="603"/>
      <c r="B29" s="601"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759"/>
      <c r="Q29" s="1350" t="str">
        <f t="shared" si="11"/>
        <v>成新率</v>
      </c>
      <c r="R29" s="704" t="s">
        <v>14</v>
      </c>
      <c r="S29" s="705" t="e">
        <f t="shared" si="12"/>
        <v>#N/A</v>
      </c>
      <c r="T29" s="704" t="s">
        <v>14</v>
      </c>
      <c r="U29" s="705" t="e">
        <f t="shared" si="13"/>
        <v>#N/A</v>
      </c>
      <c r="V29" s="704" t="s">
        <v>14</v>
      </c>
      <c r="W29" s="705" t="e">
        <f t="shared" si="14"/>
        <v>#N/A</v>
      </c>
      <c r="X29" s="1353"/>
      <c r="Y29" s="3759"/>
      <c r="Z29" s="1354" t="str">
        <f t="shared" si="15"/>
        <v>成新率</v>
      </c>
      <c r="AA29" s="1351" t="e">
        <f t="shared" si="3"/>
        <v>#N/A</v>
      </c>
      <c r="AB29" s="1351" t="e">
        <f t="shared" si="4"/>
        <v>#N/A</v>
      </c>
      <c r="AC29" s="1351" t="e">
        <f t="shared" si="5"/>
        <v>#N/A</v>
      </c>
    </row>
    <row r="30" spans="1:29" ht="15">
      <c r="A30" s="603"/>
      <c r="B30" s="601" t="s">
        <v>1838</v>
      </c>
      <c r="C30" s="604"/>
      <c r="D30" s="386">
        <v>100</v>
      </c>
      <c r="E30" s="604"/>
      <c r="F30" s="412">
        <f>SUMIF(88:88,E30,89:89)-SUMIF(88:88,C30,89:89)+100</f>
        <v>100</v>
      </c>
      <c r="G30" s="604"/>
      <c r="H30" s="386">
        <f>SUMIF(88:88,E30,89:89)-SUMIF(88:88,C30,89:89)+100</f>
        <v>100</v>
      </c>
      <c r="I30" s="604"/>
      <c r="J30" s="386">
        <f>SUMIF(88:88,E30,89:89)-SUMIF(88:88,C30,89:89)+100</f>
        <v>100</v>
      </c>
      <c r="K30" s="561"/>
      <c r="L30" s="2718"/>
      <c r="M30" s="2712"/>
      <c r="N30" s="2712"/>
      <c r="O30" s="2712"/>
      <c r="P30" s="3759"/>
      <c r="Q30" s="1350" t="str">
        <f t="shared" si="11"/>
        <v>物业等级</v>
      </c>
      <c r="R30" s="704" t="s">
        <v>14</v>
      </c>
      <c r="S30" s="705">
        <f t="shared" si="12"/>
        <v>100</v>
      </c>
      <c r="T30" s="704" t="s">
        <v>14</v>
      </c>
      <c r="U30" s="705">
        <f t="shared" si="13"/>
        <v>100</v>
      </c>
      <c r="V30" s="704" t="s">
        <v>14</v>
      </c>
      <c r="W30" s="705">
        <f t="shared" si="14"/>
        <v>100</v>
      </c>
      <c r="X30" s="1353"/>
      <c r="Y30" s="3759"/>
      <c r="Z30" s="1354" t="str">
        <f t="shared" si="15"/>
        <v>物业等级</v>
      </c>
      <c r="AA30" s="1351">
        <f t="shared" si="3"/>
        <v>1</v>
      </c>
      <c r="AB30" s="1351">
        <f t="shared" si="4"/>
        <v>1</v>
      </c>
      <c r="AC30" s="1351">
        <f t="shared" si="5"/>
        <v>1</v>
      </c>
    </row>
    <row r="31" spans="1:29" s="108" customFormat="1" ht="15">
      <c r="A31" s="605"/>
      <c r="B31" s="601"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759"/>
      <c r="Q31" s="1341" t="str">
        <f t="shared" si="11"/>
        <v>停车位面积</v>
      </c>
      <c r="R31" s="700" t="s">
        <v>14</v>
      </c>
      <c r="S31" s="701" t="e">
        <f t="shared" si="12"/>
        <v>#N/A</v>
      </c>
      <c r="T31" s="700" t="s">
        <v>14</v>
      </c>
      <c r="U31" s="701" t="e">
        <f t="shared" si="13"/>
        <v>#N/A</v>
      </c>
      <c r="V31" s="700" t="s">
        <v>14</v>
      </c>
      <c r="W31" s="701" t="e">
        <f t="shared" si="14"/>
        <v>#N/A</v>
      </c>
      <c r="X31" s="702"/>
      <c r="Y31" s="3759"/>
      <c r="Z31" s="52" t="str">
        <f t="shared" si="15"/>
        <v>停车位面积</v>
      </c>
      <c r="AA31" s="703" t="e">
        <f t="shared" si="3"/>
        <v>#N/A</v>
      </c>
      <c r="AB31" s="703" t="e">
        <f t="shared" si="4"/>
        <v>#N/A</v>
      </c>
      <c r="AC31" s="703" t="e">
        <f t="shared" si="5"/>
        <v>#N/A</v>
      </c>
    </row>
    <row r="32" spans="1:29" ht="15">
      <c r="A32" s="603"/>
      <c r="B32" s="601" t="s">
        <v>1840</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759" t="s">
        <v>1694</v>
      </c>
      <c r="Q32" s="1350" t="str">
        <f t="shared" si="11"/>
        <v>车位类型</v>
      </c>
      <c r="R32" s="704" t="s">
        <v>14</v>
      </c>
      <c r="S32" s="705">
        <f t="shared" si="12"/>
        <v>100</v>
      </c>
      <c r="T32" s="704" t="s">
        <v>14</v>
      </c>
      <c r="U32" s="705">
        <f t="shared" si="13"/>
        <v>100</v>
      </c>
      <c r="V32" s="704" t="s">
        <v>14</v>
      </c>
      <c r="W32" s="705">
        <f t="shared" si="14"/>
        <v>100</v>
      </c>
      <c r="X32" s="1353"/>
      <c r="Y32" s="3759" t="s">
        <v>1694</v>
      </c>
      <c r="Z32" s="1354" t="str">
        <f t="shared" si="15"/>
        <v>车位类型</v>
      </c>
      <c r="AA32" s="1351">
        <f t="shared" si="3"/>
        <v>1</v>
      </c>
      <c r="AB32" s="1351">
        <f t="shared" si="4"/>
        <v>1</v>
      </c>
      <c r="AC32" s="1351">
        <f t="shared" si="5"/>
        <v>1</v>
      </c>
    </row>
    <row r="33" spans="1:29" ht="15">
      <c r="A33" s="603"/>
      <c r="B33" s="601" t="s">
        <v>1841</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759"/>
      <c r="Q33" s="1350" t="str">
        <f t="shared" si="11"/>
        <v>是否直接入户</v>
      </c>
      <c r="R33" s="704" t="s">
        <v>14</v>
      </c>
      <c r="S33" s="705">
        <f t="shared" si="12"/>
        <v>100</v>
      </c>
      <c r="T33" s="704" t="s">
        <v>14</v>
      </c>
      <c r="U33" s="705">
        <f t="shared" si="13"/>
        <v>100</v>
      </c>
      <c r="V33" s="704" t="s">
        <v>14</v>
      </c>
      <c r="W33" s="705">
        <f t="shared" si="14"/>
        <v>100</v>
      </c>
      <c r="X33" s="1353"/>
      <c r="Y33" s="3759"/>
      <c r="Z33" s="1354" t="str">
        <f t="shared" si="15"/>
        <v>是否直接入户</v>
      </c>
      <c r="AA33" s="1351">
        <f t="shared" si="3"/>
        <v>1</v>
      </c>
      <c r="AB33" s="1351">
        <f t="shared" si="4"/>
        <v>1</v>
      </c>
      <c r="AC33" s="1351">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759"/>
      <c r="Q34" s="1350">
        <f t="shared" si="11"/>
        <v>111</v>
      </c>
      <c r="R34" s="704" t="s">
        <v>14</v>
      </c>
      <c r="S34" s="705">
        <f t="shared" si="12"/>
        <v>100</v>
      </c>
      <c r="T34" s="704" t="s">
        <v>14</v>
      </c>
      <c r="U34" s="705">
        <f t="shared" si="13"/>
        <v>100</v>
      </c>
      <c r="V34" s="704" t="s">
        <v>14</v>
      </c>
      <c r="W34" s="705">
        <f t="shared" si="14"/>
        <v>100</v>
      </c>
      <c r="X34" s="1353"/>
      <c r="Y34" s="3759"/>
      <c r="Z34" s="1354">
        <f t="shared" si="15"/>
        <v>111</v>
      </c>
      <c r="AA34" s="1351">
        <f t="shared" si="3"/>
        <v>1</v>
      </c>
      <c r="AB34" s="1351">
        <f t="shared" si="4"/>
        <v>1</v>
      </c>
      <c r="AC34" s="1351">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759"/>
      <c r="Q35" s="706">
        <f t="shared" si="11"/>
        <v>111</v>
      </c>
      <c r="R35" s="707" t="s">
        <v>14</v>
      </c>
      <c r="S35" s="708">
        <f t="shared" si="12"/>
        <v>100</v>
      </c>
      <c r="T35" s="707" t="s">
        <v>14</v>
      </c>
      <c r="U35" s="708">
        <f t="shared" si="13"/>
        <v>100</v>
      </c>
      <c r="V35" s="707" t="s">
        <v>14</v>
      </c>
      <c r="W35" s="708">
        <f t="shared" si="14"/>
        <v>100</v>
      </c>
      <c r="X35" s="709"/>
      <c r="Y35" s="3759"/>
      <c r="Z35" s="710">
        <f t="shared" si="15"/>
        <v>111</v>
      </c>
      <c r="AA35" s="1351">
        <f t="shared" si="3"/>
        <v>1</v>
      </c>
      <c r="AB35" s="1351">
        <f t="shared" si="4"/>
        <v>1</v>
      </c>
      <c r="AC35" s="1351">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759"/>
      <c r="Q36" s="1350">
        <f t="shared" si="11"/>
        <v>111</v>
      </c>
      <c r="R36" s="704" t="s">
        <v>14</v>
      </c>
      <c r="S36" s="705">
        <f t="shared" si="12"/>
        <v>100</v>
      </c>
      <c r="T36" s="704" t="s">
        <v>14</v>
      </c>
      <c r="U36" s="705">
        <f t="shared" si="13"/>
        <v>100</v>
      </c>
      <c r="V36" s="704" t="s">
        <v>14</v>
      </c>
      <c r="W36" s="705">
        <f t="shared" si="14"/>
        <v>100</v>
      </c>
      <c r="X36" s="1353"/>
      <c r="Y36" s="3759"/>
      <c r="Z36" s="1354">
        <f t="shared" si="15"/>
        <v>111</v>
      </c>
      <c r="AA36" s="1351">
        <f t="shared" si="3"/>
        <v>1</v>
      </c>
      <c r="AB36" s="1351">
        <f t="shared" si="4"/>
        <v>1</v>
      </c>
      <c r="AC36" s="1351">
        <f t="shared" si="5"/>
        <v>1</v>
      </c>
    </row>
    <row r="37" spans="1:29" ht="15">
      <c r="A37" s="430" t="s">
        <v>1842</v>
      </c>
      <c r="B37" s="1971" t="s">
        <v>3351</v>
      </c>
      <c r="C37" s="1152" t="s">
        <v>0</v>
      </c>
      <c r="D37" s="1153"/>
      <c r="E37" s="1154"/>
      <c r="F37" s="1155"/>
      <c r="G37" s="1156"/>
      <c r="H37" s="1157"/>
      <c r="I37" s="1154"/>
      <c r="J37" s="1157"/>
      <c r="K37" s="567"/>
      <c r="L37" s="2720"/>
      <c r="M37" s="2721"/>
      <c r="N37" s="2712"/>
      <c r="O37" s="2721"/>
      <c r="P37" s="3761" t="str">
        <f>A37</f>
        <v>成交单价</v>
      </c>
      <c r="Q37" s="3761"/>
      <c r="R37" s="3762">
        <f>E37</f>
        <v>0</v>
      </c>
      <c r="S37" s="3762"/>
      <c r="T37" s="3762">
        <f>G37</f>
        <v>0</v>
      </c>
      <c r="U37" s="3762"/>
      <c r="V37" s="3762">
        <f>I37</f>
        <v>0</v>
      </c>
      <c r="W37" s="3762"/>
      <c r="X37" s="689"/>
      <c r="Y37" s="711"/>
      <c r="Z37" s="689"/>
      <c r="AA37" s="689"/>
      <c r="AB37" s="689"/>
      <c r="AC37" s="689"/>
    </row>
    <row r="38" spans="1:29" ht="15.75" thickBot="1">
      <c r="A38" s="437" t="s">
        <v>1843</v>
      </c>
      <c r="B38" s="438" t="str">
        <f>B37</f>
        <v>元/平方米</v>
      </c>
      <c r="C38" s="1158" t="e">
        <f>R39</f>
        <v>#DIV/0!</v>
      </c>
      <c r="D38" s="2315" t="s">
        <v>2135</v>
      </c>
      <c r="E38" s="1159" t="e">
        <f>R38</f>
        <v>#DIV/0!</v>
      </c>
      <c r="F38" s="2316"/>
      <c r="G38" s="1158" t="e">
        <f>T38</f>
        <v>#DIV/0!</v>
      </c>
      <c r="H38" s="2316"/>
      <c r="I38" s="1159" t="e">
        <f>V38</f>
        <v>#DIV/0!</v>
      </c>
      <c r="J38" s="2316"/>
      <c r="K38" s="2318">
        <f>F38+H38+J38</f>
        <v>0</v>
      </c>
      <c r="L38" s="2720"/>
      <c r="M38" s="2721"/>
      <c r="N38" s="2721"/>
      <c r="O38" s="2721"/>
      <c r="P38" s="3761" t="str">
        <f>A38</f>
        <v>比较价值（元/平方米）</v>
      </c>
      <c r="Q38" s="3761"/>
      <c r="R38" s="3762" t="e">
        <f>IF(F1="售价",ROUND(PRODUCT(R37,AA7:AA36),0),ROUND(PRODUCT(R37,AA7:AA36),1))</f>
        <v>#DIV/0!</v>
      </c>
      <c r="S38" s="3762"/>
      <c r="T38" s="3762" t="e">
        <f>IF(F1="售价",ROUND(PRODUCT(T37,AB7:AB36),0),ROUND(PRODUCT(T37,AB7:AB36),1))</f>
        <v>#DIV/0!</v>
      </c>
      <c r="U38" s="3762"/>
      <c r="V38" s="3762" t="e">
        <f>IF(F1="售价",ROUND(PRODUCT(V37,AC7:AC36),0),ROUND(PRODUCT(V37,AC7:AC36),1))</f>
        <v>#DIV/0!</v>
      </c>
      <c r="W38" s="3762"/>
      <c r="X38" s="689"/>
      <c r="Y38" s="689"/>
      <c r="Z38" s="689"/>
      <c r="AA38" s="689"/>
      <c r="AB38" s="689"/>
      <c r="AC38" s="689"/>
    </row>
    <row r="39" spans="1:29" ht="15.75" thickBot="1">
      <c r="A39" s="441" t="s">
        <v>1844</v>
      </c>
      <c r="B39" s="442"/>
      <c r="C39" s="1161" t="e">
        <f>R39</f>
        <v>#DIV/0!</v>
      </c>
      <c r="D39" s="1161"/>
      <c r="E39" s="1161"/>
      <c r="F39" s="1161"/>
      <c r="G39" s="1161"/>
      <c r="H39" s="1161"/>
      <c r="I39" s="1161"/>
      <c r="J39" s="1161"/>
      <c r="K39" s="568"/>
      <c r="L39" s="2720"/>
      <c r="M39" s="2721"/>
      <c r="N39" s="2721"/>
      <c r="O39" s="2721"/>
      <c r="P39" s="3794" t="str">
        <f>A39</f>
        <v>估价对象XX用房的比较价值（楼面单价，元/平方米）</v>
      </c>
      <c r="Q39" s="3795"/>
      <c r="R39" s="3798" t="e">
        <f>IF(F1="售价",ROUND(IF(D38="简单平均",AVERAGE(R38:W38),R38*F38+T38*H38+V38*J38),0),ROUND(IF(D38="简单平均",AVERAGE(R38:V38),R38*F38+T38*H38+V38*J38),1))</f>
        <v>#DIV/0!</v>
      </c>
      <c r="S39" s="3798"/>
      <c r="T39" s="3798"/>
      <c r="U39" s="3798"/>
      <c r="V39" s="3798"/>
      <c r="W39" s="3798"/>
      <c r="X39" s="689"/>
      <c r="Y39" s="689"/>
      <c r="Z39" s="689"/>
      <c r="AA39" s="689"/>
      <c r="AB39" s="689"/>
      <c r="AC39" s="689"/>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4" t="s">
        <v>1848</v>
      </c>
      <c r="B47" s="926"/>
      <c r="C47" s="939"/>
      <c r="D47" s="939"/>
      <c r="E47" s="939"/>
      <c r="F47" s="1165"/>
      <c r="G47" s="1165"/>
      <c r="H47" s="939"/>
      <c r="I47" s="939"/>
      <c r="J47" s="939"/>
      <c r="K47" s="940"/>
      <c r="L47" s="941"/>
      <c r="M47" s="939"/>
      <c r="N47" s="2765"/>
      <c r="O47" s="2765"/>
      <c r="P47" s="2754"/>
      <c r="Q47" s="2735"/>
      <c r="R47" s="2721"/>
      <c r="S47" s="2721"/>
      <c r="T47" s="2721"/>
      <c r="U47" s="2721"/>
      <c r="V47" s="2721"/>
      <c r="W47" s="2721"/>
      <c r="X47" s="2721"/>
      <c r="Y47" s="2721"/>
      <c r="Z47" s="2721"/>
      <c r="AA47" s="2721"/>
      <c r="AB47" s="2721"/>
      <c r="AC47" s="2721"/>
    </row>
    <row r="48" spans="1:29" s="457" customFormat="1" ht="15">
      <c r="A48" s="454" t="s">
        <v>1849</v>
      </c>
      <c r="B48" s="455"/>
      <c r="C48" s="1182" t="str">
        <f>YEAR(C7)&amp;"-"&amp;MONTH(C7)</f>
        <v>2024-7</v>
      </c>
      <c r="D48" s="1183">
        <f>EDATE(C48,-1)</f>
        <v>45444</v>
      </c>
      <c r="E48" s="1183">
        <f t="shared" ref="E48:O48" si="16">EDATE(D48,-1)</f>
        <v>45413</v>
      </c>
      <c r="F48" s="1183">
        <f t="shared" si="16"/>
        <v>45383</v>
      </c>
      <c r="G48" s="1183">
        <f t="shared" si="16"/>
        <v>45352</v>
      </c>
      <c r="H48" s="1183">
        <f t="shared" si="16"/>
        <v>45323</v>
      </c>
      <c r="I48" s="1183">
        <f t="shared" si="16"/>
        <v>45292</v>
      </c>
      <c r="J48" s="1183">
        <f t="shared" si="16"/>
        <v>45261</v>
      </c>
      <c r="K48" s="1183">
        <f t="shared" si="16"/>
        <v>45231</v>
      </c>
      <c r="L48" s="1183">
        <f t="shared" si="16"/>
        <v>45200</v>
      </c>
      <c r="M48" s="1183">
        <f t="shared" si="16"/>
        <v>45170</v>
      </c>
      <c r="N48" s="1183">
        <f t="shared" si="16"/>
        <v>45139</v>
      </c>
      <c r="O48" s="1183">
        <f t="shared" si="16"/>
        <v>45108</v>
      </c>
      <c r="P48" s="2755"/>
      <c r="Q48" s="2737"/>
      <c r="R48" s="2737"/>
      <c r="S48" s="2737"/>
      <c r="T48" s="2737"/>
      <c r="U48" s="2737"/>
      <c r="V48" s="2737"/>
      <c r="W48" s="2737"/>
      <c r="X48" s="2737"/>
      <c r="Y48" s="2737"/>
      <c r="Z48" s="2737"/>
      <c r="AA48" s="2737"/>
      <c r="AB48" s="2737"/>
      <c r="AC48" s="2737"/>
    </row>
    <row r="49" spans="1:29" s="108" customFormat="1" ht="15">
      <c r="A49" s="458"/>
      <c r="B49" s="459"/>
      <c r="C49" s="1175">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1714</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1679</v>
      </c>
      <c r="B51" s="459"/>
      <c r="C51" s="471" t="s">
        <v>1774</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6">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1717</v>
      </c>
      <c r="B53" s="477" t="s">
        <v>1683</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1686</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7">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1725</v>
      </c>
      <c r="C65" s="527" t="s">
        <v>1719</v>
      </c>
      <c r="D65" s="527" t="s">
        <v>1720</v>
      </c>
      <c r="E65" s="527" t="s">
        <v>1721</v>
      </c>
      <c r="F65" s="527" t="s">
        <v>1722</v>
      </c>
      <c r="G65" s="527" t="s">
        <v>1723</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1811</v>
      </c>
      <c r="C67" s="607" t="s">
        <v>1797</v>
      </c>
      <c r="D67" s="607" t="s">
        <v>1798</v>
      </c>
      <c r="E67" s="607" t="s">
        <v>1799</v>
      </c>
      <c r="F67" s="607" t="s">
        <v>1800</v>
      </c>
      <c r="G67" s="607" t="s">
        <v>1801</v>
      </c>
      <c r="H67" s="488"/>
      <c r="I67" s="488"/>
      <c r="J67" s="488"/>
      <c r="K67" s="488"/>
      <c r="L67" s="488"/>
      <c r="M67" s="1127"/>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1731</v>
      </c>
      <c r="C69" s="527" t="s">
        <v>1719</v>
      </c>
      <c r="D69" s="527" t="s">
        <v>1720</v>
      </c>
      <c r="E69" s="527" t="s">
        <v>1721</v>
      </c>
      <c r="F69" s="527" t="s">
        <v>1722</v>
      </c>
      <c r="G69" s="527" t="s">
        <v>1723</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1850</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1692</v>
      </c>
      <c r="B79" s="477" t="s">
        <v>1851</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1852</v>
      </c>
      <c r="C81" s="608"/>
      <c r="D81" s="608"/>
      <c r="E81" s="608"/>
      <c r="F81" s="608"/>
      <c r="G81" s="608"/>
      <c r="H81" s="608"/>
      <c r="I81" s="608"/>
      <c r="J81" s="608"/>
      <c r="K81" s="609"/>
      <c r="L81" s="610"/>
      <c r="M81" s="611"/>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1738</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0"/>
      <c r="J86" s="570"/>
      <c r="K86" s="571"/>
      <c r="L86" s="572"/>
      <c r="M86" s="573"/>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1854</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1856</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1857</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3">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114" priority="18" stopIfTrue="1" operator="containsText" text="超过">
      <formula>NOT(ISERROR(SEARCH("超过",F42)))</formula>
    </cfRule>
  </conditionalFormatting>
  <conditionalFormatting sqref="J44">
    <cfRule type="containsText" dxfId="113" priority="17" stopIfTrue="1" operator="containsText" text="超过">
      <formula>NOT(ISERROR(SEARCH("超过",J44)))</formula>
    </cfRule>
  </conditionalFormatting>
  <conditionalFormatting sqref="H44">
    <cfRule type="containsText" dxfId="112" priority="16" stopIfTrue="1" operator="containsText" text="超过">
      <formula>NOT(ISERROR(SEARCH("超过",H44)))</formula>
    </cfRule>
  </conditionalFormatting>
  <conditionalFormatting sqref="F44">
    <cfRule type="containsText" dxfId="111" priority="15" stopIfTrue="1" operator="containsText" text="超过">
      <formula>NOT(ISERROR(SEARCH("超过",F44)))</formula>
    </cfRule>
  </conditionalFormatting>
  <conditionalFormatting sqref="F43 H43 J43">
    <cfRule type="containsText" dxfId="110" priority="14" stopIfTrue="1" operator="containsText" text="超过">
      <formula>NOT(ISERROR(SEARCH("超过",F43)))</formula>
    </cfRule>
  </conditionalFormatting>
  <conditionalFormatting sqref="E42">
    <cfRule type="expression" dxfId="109" priority="13" stopIfTrue="1">
      <formula>$F$42="超过30%"</formula>
    </cfRule>
  </conditionalFormatting>
  <conditionalFormatting sqref="G44">
    <cfRule type="expression" dxfId="108" priority="12" stopIfTrue="1">
      <formula>$H$54+$H$44="超过30%"</formula>
    </cfRule>
  </conditionalFormatting>
  <conditionalFormatting sqref="E43">
    <cfRule type="expression" dxfId="107" priority="11" stopIfTrue="1">
      <formula>$F$43="超过20%"</formula>
    </cfRule>
  </conditionalFormatting>
  <conditionalFormatting sqref="E44">
    <cfRule type="expression" dxfId="106" priority="10" stopIfTrue="1">
      <formula>$F$44="超过30%"</formula>
    </cfRule>
  </conditionalFormatting>
  <conditionalFormatting sqref="G42">
    <cfRule type="expression" dxfId="105" priority="9" stopIfTrue="1">
      <formula>$H$52+$H$42="超过30%"</formula>
    </cfRule>
  </conditionalFormatting>
  <conditionalFormatting sqref="G43">
    <cfRule type="expression" dxfId="104" priority="8" stopIfTrue="1">
      <formula>$H$43="超过20%"</formula>
    </cfRule>
  </conditionalFormatting>
  <conditionalFormatting sqref="I42">
    <cfRule type="expression" dxfId="103" priority="7" stopIfTrue="1">
      <formula>$J$52+$J$42="超过30%"</formula>
    </cfRule>
  </conditionalFormatting>
  <conditionalFormatting sqref="I43">
    <cfRule type="expression" dxfId="102" priority="6" stopIfTrue="1">
      <formula>$J$53+$J$43="超过20%"</formula>
    </cfRule>
  </conditionalFormatting>
  <conditionalFormatting sqref="I44">
    <cfRule type="expression" dxfId="101" priority="5" stopIfTrue="1">
      <formula>$J$44="超过30%"</formula>
    </cfRule>
  </conditionalFormatting>
  <conditionalFormatting sqref="F38">
    <cfRule type="expression" dxfId="100" priority="4">
      <formula>$D$38="简单平均"</formula>
    </cfRule>
  </conditionalFormatting>
  <conditionalFormatting sqref="H38">
    <cfRule type="expression" dxfId="99" priority="3">
      <formula>$D$38="简单平均"</formula>
    </cfRule>
  </conditionalFormatting>
  <conditionalFormatting sqref="J38">
    <cfRule type="expression" dxfId="98" priority="2">
      <formula>$D$38="简单平均"</formula>
    </cfRule>
  </conditionalFormatting>
  <conditionalFormatting sqref="F7:F36 H7:H36 J7:J36">
    <cfRule type="cellIs" dxfId="9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1829</v>
      </c>
      <c r="B1" s="1221" t="s">
        <v>3331</v>
      </c>
      <c r="C1" s="1222" t="s">
        <v>1660</v>
      </c>
      <c r="D1" s="1223"/>
      <c r="E1" s="3429"/>
      <c r="F1" s="1877"/>
      <c r="G1" s="1233" t="s">
        <v>1765</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1460</v>
      </c>
      <c r="B2" s="1162" t="b">
        <f>IF(E1="项目模式",IF(C2="——",ROUND(C37*D3/10000,0),ROUND(C37*D3/10000,0)-D2),IF(E1="单套模式",IF(C2="——",ROUND(C37*D3/10000,4),ROUND(C37*D3/10000,4)-D2)))</f>
        <v>0</v>
      </c>
      <c r="C2" s="1879"/>
      <c r="D2" s="906" t="e">
        <f ca="1">IF(E1="项目模式",SUMIF(INDIRECT("'"&amp;F2&amp;"'"&amp;"!A:A"),"承租人权益价值",INDIRECT("'"&amp;F2&amp;"'"&amp;"!c:c")),SUMIF(INDIRECT("'"&amp;F2&amp;"'"&amp;"!A:A"),"承租人权益价值（单套）",INDIRECT("'"&amp;F2&amp;"'"&amp;"!c:c")))</f>
        <v>#REF!</v>
      </c>
      <c r="E2" s="1880" t="s">
        <v>1461</v>
      </c>
      <c r="F2" s="1881"/>
      <c r="G2" s="907"/>
      <c r="H2" s="907"/>
      <c r="I2" s="907"/>
      <c r="J2" s="907"/>
      <c r="K2" s="909"/>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1462</v>
      </c>
      <c r="B3" s="558" t="e">
        <f>IF(C2="——",C37,ROUND(B2*10000/D3,0))</f>
        <v>#DIV/0!</v>
      </c>
      <c r="C3" s="354" t="s">
        <v>1766</v>
      </c>
      <c r="D3" s="353">
        <f>SUMIF('数据-汇总表'!$C19:$C33,D1,'数据-汇总表'!$E19:$E33)</f>
        <v>0</v>
      </c>
      <c r="E3" s="907"/>
      <c r="F3" s="908"/>
      <c r="G3" s="907"/>
      <c r="H3" s="907"/>
      <c r="I3" s="907"/>
      <c r="J3" s="907"/>
      <c r="K3" s="909"/>
      <c r="L3" s="2730"/>
      <c r="M3" s="2731"/>
      <c r="N3" s="2731"/>
      <c r="O3" s="2731"/>
      <c r="P3" s="698"/>
      <c r="Q3" s="698"/>
      <c r="R3" s="698"/>
      <c r="S3" s="698"/>
      <c r="T3" s="698"/>
      <c r="U3" s="698"/>
      <c r="V3" s="698"/>
      <c r="W3" s="698"/>
      <c r="X3" s="698"/>
      <c r="Y3" s="698"/>
      <c r="Z3" s="698"/>
      <c r="AA3" s="698"/>
      <c r="AB3" s="715"/>
      <c r="AC3" s="712"/>
    </row>
    <row r="4" spans="1:29" ht="15">
      <c r="A4" s="355" t="s">
        <v>1767</v>
      </c>
      <c r="B4" s="356"/>
      <c r="C4" s="3735" t="s">
        <v>1768</v>
      </c>
      <c r="D4" s="3736"/>
      <c r="E4" s="3737" t="s">
        <v>1769</v>
      </c>
      <c r="F4" s="3738"/>
      <c r="G4" s="3735" t="s">
        <v>1770</v>
      </c>
      <c r="H4" s="3736"/>
      <c r="I4" s="3735" t="s">
        <v>1771</v>
      </c>
      <c r="J4" s="3736"/>
      <c r="K4" s="559" t="s">
        <v>1772</v>
      </c>
      <c r="L4" s="2711"/>
      <c r="M4" s="2712"/>
      <c r="N4" s="2712"/>
      <c r="O4" s="2712"/>
      <c r="P4" s="3790" t="s">
        <v>1773</v>
      </c>
      <c r="Q4" s="3791"/>
      <c r="R4" s="3788" t="s">
        <v>1769</v>
      </c>
      <c r="S4" s="3789"/>
      <c r="T4" s="3788" t="s">
        <v>1770</v>
      </c>
      <c r="U4" s="3789"/>
      <c r="V4" s="3748" t="s">
        <v>1771</v>
      </c>
      <c r="W4" s="3748"/>
      <c r="X4" s="1353"/>
      <c r="Y4" s="3788" t="s">
        <v>1773</v>
      </c>
      <c r="Z4" s="3789"/>
      <c r="AA4" s="3787" t="s">
        <v>1769</v>
      </c>
      <c r="AB4" s="3714" t="s">
        <v>1770</v>
      </c>
      <c r="AC4" s="3787" t="s">
        <v>1771</v>
      </c>
    </row>
    <row r="5" spans="1:29" ht="15">
      <c r="A5" s="358"/>
      <c r="B5" s="359"/>
      <c r="C5" s="3724" t="s">
        <v>1671</v>
      </c>
      <c r="D5" s="3725"/>
      <c r="E5" s="3722" t="s">
        <v>1672</v>
      </c>
      <c r="F5" s="3723"/>
      <c r="G5" s="3724" t="s">
        <v>1673</v>
      </c>
      <c r="H5" s="3725"/>
      <c r="I5" s="3724" t="s">
        <v>1674</v>
      </c>
      <c r="J5" s="3725"/>
      <c r="K5" s="559"/>
      <c r="L5" s="2711"/>
      <c r="M5" s="2712"/>
      <c r="N5" s="2712"/>
      <c r="O5" s="2712"/>
      <c r="P5" s="3792"/>
      <c r="Q5" s="3742"/>
      <c r="R5" s="3720"/>
      <c r="S5" s="3721"/>
      <c r="T5" s="3720"/>
      <c r="U5" s="3721"/>
      <c r="V5" s="3748"/>
      <c r="W5" s="3748"/>
      <c r="X5" s="1353"/>
      <c r="Y5" s="3720"/>
      <c r="Z5" s="3721"/>
      <c r="AA5" s="3714"/>
      <c r="AB5" s="3714"/>
      <c r="AC5" s="3714"/>
    </row>
    <row r="6" spans="1:29" ht="15.75" thickBot="1">
      <c r="A6" s="360"/>
      <c r="B6" s="361"/>
      <c r="C6" s="3726" t="s">
        <v>1675</v>
      </c>
      <c r="D6" s="3727"/>
      <c r="E6" s="3729" t="s">
        <v>1675</v>
      </c>
      <c r="F6" s="3730"/>
      <c r="G6" s="3726" t="s">
        <v>1675</v>
      </c>
      <c r="H6" s="3727"/>
      <c r="I6" s="3726" t="s">
        <v>1675</v>
      </c>
      <c r="J6" s="3727"/>
      <c r="K6" s="559" t="s">
        <v>1676</v>
      </c>
      <c r="L6" s="2711"/>
      <c r="M6" s="2712"/>
      <c r="N6" s="2712"/>
      <c r="O6" s="2712"/>
      <c r="P6" s="3793"/>
      <c r="Q6" s="3744"/>
      <c r="R6" s="3720"/>
      <c r="S6" s="3721"/>
      <c r="T6" s="3745"/>
      <c r="U6" s="3746"/>
      <c r="V6" s="3748"/>
      <c r="W6" s="3748"/>
      <c r="X6" s="1353"/>
      <c r="Y6" s="3745"/>
      <c r="Z6" s="3746"/>
      <c r="AA6" s="3715"/>
      <c r="AB6" s="3715"/>
      <c r="AC6" s="3715"/>
    </row>
    <row r="7" spans="1:29" s="108" customFormat="1" ht="15.75" thickBot="1">
      <c r="A7" s="362" t="s">
        <v>1677</v>
      </c>
      <c r="B7" s="363"/>
      <c r="C7" s="364">
        <f>'数据-取费表'!B2</f>
        <v>45498</v>
      </c>
      <c r="D7" s="365">
        <v>100</v>
      </c>
      <c r="E7" s="366"/>
      <c r="F7" s="367">
        <f>SUMIF(46:46,YEAR(E7)&amp;"-"&amp;MONTH(E7),47:47)</f>
        <v>0</v>
      </c>
      <c r="G7" s="1972"/>
      <c r="H7" s="365">
        <f>SUMIF(46:46,YEAR(G7)&amp;"-"&amp;MONTH(G7),47:47)</f>
        <v>0</v>
      </c>
      <c r="I7" s="366"/>
      <c r="J7" s="365">
        <f>SUMIF(46:46,YEAR(I7)&amp;"-"&amp;MONTH(I7),47:47)</f>
        <v>0</v>
      </c>
      <c r="K7" s="560"/>
      <c r="L7" s="2713"/>
      <c r="M7" s="2714"/>
      <c r="N7" s="2714"/>
      <c r="O7" s="2714"/>
      <c r="P7" s="3716" t="s">
        <v>1678</v>
      </c>
      <c r="Q7" s="3751"/>
      <c r="R7" s="700" t="s">
        <v>14</v>
      </c>
      <c r="S7" s="701">
        <f t="shared" ref="S7:S14" si="0">F7</f>
        <v>0</v>
      </c>
      <c r="T7" s="700" t="s">
        <v>14</v>
      </c>
      <c r="U7" s="701">
        <f t="shared" ref="U7:U14" si="1">H7</f>
        <v>0</v>
      </c>
      <c r="V7" s="700" t="s">
        <v>14</v>
      </c>
      <c r="W7" s="701">
        <f t="shared" ref="W7:W14" si="2">J7</f>
        <v>0</v>
      </c>
      <c r="X7" s="702"/>
      <c r="Y7" s="3716" t="s">
        <v>1678</v>
      </c>
      <c r="Z7" s="3717"/>
      <c r="AA7" s="703" t="e">
        <f>D7/F7</f>
        <v>#DIV/0!</v>
      </c>
      <c r="AB7" s="703" t="e">
        <f>D7/H7</f>
        <v>#DIV/0!</v>
      </c>
      <c r="AC7" s="703"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716" t="s">
        <v>1681</v>
      </c>
      <c r="Q8" s="3717"/>
      <c r="R8" s="700" t="s">
        <v>14</v>
      </c>
      <c r="S8" s="701">
        <f t="shared" si="0"/>
        <v>100</v>
      </c>
      <c r="T8" s="700" t="s">
        <v>14</v>
      </c>
      <c r="U8" s="701">
        <f t="shared" si="1"/>
        <v>100</v>
      </c>
      <c r="V8" s="700" t="s">
        <v>14</v>
      </c>
      <c r="W8" s="701">
        <f t="shared" si="2"/>
        <v>100</v>
      </c>
      <c r="X8" s="702"/>
      <c r="Y8" s="3716" t="s">
        <v>1681</v>
      </c>
      <c r="Z8" s="3717"/>
      <c r="AA8" s="703">
        <f t="shared" ref="AA8:AA34" si="3">D8/F8</f>
        <v>1</v>
      </c>
      <c r="AB8" s="703">
        <f t="shared" ref="AB8:AB34" si="4">D8/H8</f>
        <v>1</v>
      </c>
      <c r="AC8" s="703">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761" t="s">
        <v>1684</v>
      </c>
      <c r="Q9" s="1341" t="str">
        <f t="shared" ref="Q9:Q14" si="6">B9</f>
        <v>用途</v>
      </c>
      <c r="R9" s="700" t="s">
        <v>14</v>
      </c>
      <c r="S9" s="701">
        <f t="shared" si="0"/>
        <v>100</v>
      </c>
      <c r="T9" s="700" t="s">
        <v>14</v>
      </c>
      <c r="U9" s="701">
        <f t="shared" si="1"/>
        <v>100</v>
      </c>
      <c r="V9" s="700" t="s">
        <v>14</v>
      </c>
      <c r="W9" s="701">
        <f t="shared" si="2"/>
        <v>100</v>
      </c>
      <c r="X9" s="702"/>
      <c r="Y9" s="3681" t="s">
        <v>1685</v>
      </c>
      <c r="Z9" s="52" t="str">
        <f t="shared" ref="Z9:Z14" si="7">Q9</f>
        <v>用途</v>
      </c>
      <c r="AA9" s="703">
        <f t="shared" si="3"/>
        <v>1</v>
      </c>
      <c r="AB9" s="703">
        <f t="shared" si="4"/>
        <v>1</v>
      </c>
      <c r="AC9" s="703">
        <f t="shared" si="5"/>
        <v>1</v>
      </c>
    </row>
    <row r="10" spans="1:29" s="378" customFormat="1" ht="27">
      <c r="A10" s="374"/>
      <c r="B10" s="375" t="s">
        <v>1686</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761"/>
      <c r="Q10" s="1341" t="str">
        <f t="shared" si="6"/>
        <v>土地使用年限（年）</v>
      </c>
      <c r="R10" s="700" t="s">
        <v>14</v>
      </c>
      <c r="S10" s="701">
        <f t="shared" si="0"/>
        <v>100</v>
      </c>
      <c r="T10" s="700" t="s">
        <v>14</v>
      </c>
      <c r="U10" s="701">
        <f t="shared" si="1"/>
        <v>100</v>
      </c>
      <c r="V10" s="700" t="s">
        <v>14</v>
      </c>
      <c r="W10" s="701">
        <f t="shared" si="2"/>
        <v>100</v>
      </c>
      <c r="X10" s="702"/>
      <c r="Y10" s="3681"/>
      <c r="Z10" s="52" t="str">
        <f t="shared" si="7"/>
        <v>土地使用年限（年）</v>
      </c>
      <c r="AA10" s="703">
        <f t="shared" si="3"/>
        <v>1</v>
      </c>
      <c r="AB10" s="703">
        <f t="shared" si="4"/>
        <v>1</v>
      </c>
      <c r="AC10" s="703">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761"/>
      <c r="Q11" s="1341">
        <f t="shared" si="6"/>
        <v>111</v>
      </c>
      <c r="R11" s="700" t="s">
        <v>14</v>
      </c>
      <c r="S11" s="701">
        <f t="shared" si="0"/>
        <v>100</v>
      </c>
      <c r="T11" s="700" t="s">
        <v>14</v>
      </c>
      <c r="U11" s="701">
        <f t="shared" si="1"/>
        <v>100</v>
      </c>
      <c r="V11" s="700" t="s">
        <v>14</v>
      </c>
      <c r="W11" s="701">
        <f t="shared" si="2"/>
        <v>100</v>
      </c>
      <c r="X11" s="702"/>
      <c r="Y11" s="3681"/>
      <c r="Z11" s="52">
        <f t="shared" si="7"/>
        <v>111</v>
      </c>
      <c r="AA11" s="703">
        <f t="shared" si="3"/>
        <v>1</v>
      </c>
      <c r="AB11" s="703">
        <f t="shared" si="4"/>
        <v>1</v>
      </c>
      <c r="AC11" s="703">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761"/>
      <c r="Q12" s="1341">
        <f t="shared" si="6"/>
        <v>111</v>
      </c>
      <c r="R12" s="700" t="s">
        <v>14</v>
      </c>
      <c r="S12" s="701">
        <f t="shared" si="0"/>
        <v>100</v>
      </c>
      <c r="T12" s="700" t="s">
        <v>14</v>
      </c>
      <c r="U12" s="701">
        <f t="shared" si="1"/>
        <v>100</v>
      </c>
      <c r="V12" s="700" t="s">
        <v>14</v>
      </c>
      <c r="W12" s="701">
        <f t="shared" si="2"/>
        <v>100</v>
      </c>
      <c r="X12" s="702"/>
      <c r="Y12" s="3681"/>
      <c r="Z12" s="52">
        <f t="shared" si="7"/>
        <v>111</v>
      </c>
      <c r="AA12" s="703">
        <f>D12/F12</f>
        <v>1</v>
      </c>
      <c r="AB12" s="703">
        <f>D12/H12</f>
        <v>1</v>
      </c>
      <c r="AC12" s="703">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18"/>
      <c r="M13" s="2712"/>
      <c r="N13" s="2712"/>
      <c r="O13" s="2770"/>
      <c r="P13" s="3761"/>
      <c r="Q13" s="1341">
        <f t="shared" si="6"/>
        <v>111</v>
      </c>
      <c r="R13" s="700" t="s">
        <v>14</v>
      </c>
      <c r="S13" s="701">
        <f t="shared" si="0"/>
        <v>100</v>
      </c>
      <c r="T13" s="700" t="s">
        <v>14</v>
      </c>
      <c r="U13" s="701">
        <f t="shared" si="1"/>
        <v>100</v>
      </c>
      <c r="V13" s="700" t="s">
        <v>14</v>
      </c>
      <c r="W13" s="701">
        <f t="shared" si="2"/>
        <v>100</v>
      </c>
      <c r="X13" s="702"/>
      <c r="Y13" s="3681"/>
      <c r="Z13" s="52">
        <f t="shared" si="7"/>
        <v>111</v>
      </c>
      <c r="AA13" s="703">
        <f t="shared" si="3"/>
        <v>1</v>
      </c>
      <c r="AB13" s="703">
        <f t="shared" si="4"/>
        <v>1</v>
      </c>
      <c r="AC13" s="703">
        <f t="shared" si="5"/>
        <v>1</v>
      </c>
    </row>
    <row r="14" spans="1:29" ht="142.5">
      <c r="A14" s="391" t="s">
        <v>1688</v>
      </c>
      <c r="B14" s="61" t="s">
        <v>1831</v>
      </c>
      <c r="C14" s="1969" t="str">
        <f>IF(B1="工业",估价对象房地状况!G4,估价对象房地状况!C6)</f>
        <v>估价对象周边道路状况较好、有7、16、105等公交线路及地铁2、4号线经过，公共交通通达情况较好、停车便捷程度一般，综合评价交通便捷度较好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754" t="s">
        <v>1689</v>
      </c>
      <c r="Q14" s="1350" t="str">
        <f t="shared" si="6"/>
        <v>交通便捷度</v>
      </c>
      <c r="R14" s="704" t="s">
        <v>14</v>
      </c>
      <c r="S14" s="705">
        <f t="shared" si="0"/>
        <v>100</v>
      </c>
      <c r="T14" s="704" t="s">
        <v>14</v>
      </c>
      <c r="U14" s="705">
        <f t="shared" si="1"/>
        <v>100</v>
      </c>
      <c r="V14" s="704" t="s">
        <v>14</v>
      </c>
      <c r="W14" s="705">
        <f t="shared" si="2"/>
        <v>100</v>
      </c>
      <c r="X14" s="1353"/>
      <c r="Y14" s="3754" t="s">
        <v>1689</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18"/>
      <c r="M15" s="2712"/>
      <c r="N15" s="2712"/>
      <c r="O15" s="2770"/>
      <c r="P15" s="3755"/>
      <c r="Q15" s="1350"/>
      <c r="R15" s="704"/>
      <c r="S15" s="705"/>
      <c r="T15" s="704"/>
      <c r="U15" s="705"/>
      <c r="V15" s="704"/>
      <c r="W15" s="705"/>
      <c r="X15" s="1353"/>
      <c r="Y15" s="3755"/>
      <c r="Z15" s="1354"/>
      <c r="AA15" s="1351">
        <v>1</v>
      </c>
      <c r="AB15" s="1351">
        <v>1</v>
      </c>
      <c r="AC15" s="1351">
        <v>1</v>
      </c>
    </row>
    <row r="16" spans="1:29" ht="42.75">
      <c r="A16" s="379"/>
      <c r="B16" s="402" t="s">
        <v>1810</v>
      </c>
      <c r="C16" s="1898" t="str">
        <f>IF(B1="工业",估价对象房地状况!G5,估价对象房地状况!C7)</f>
        <v>估价对象所在区域公共配套设施齐备情况较好</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755"/>
      <c r="Q16" s="1350" t="str">
        <f>B16</f>
        <v>公共配套设施</v>
      </c>
      <c r="R16" s="704" t="s">
        <v>14</v>
      </c>
      <c r="S16" s="705">
        <f>F16</f>
        <v>100</v>
      </c>
      <c r="T16" s="704" t="s">
        <v>14</v>
      </c>
      <c r="U16" s="705">
        <f>H16</f>
        <v>100</v>
      </c>
      <c r="V16" s="704" t="s">
        <v>14</v>
      </c>
      <c r="W16" s="705">
        <f>J16</f>
        <v>100</v>
      </c>
      <c r="X16" s="1353"/>
      <c r="Y16" s="3755"/>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18"/>
      <c r="M17" s="2712"/>
      <c r="N17" s="2712"/>
      <c r="O17" s="2770"/>
      <c r="P17" s="3755"/>
      <c r="Q17" s="1350"/>
      <c r="R17" s="704"/>
      <c r="S17" s="705"/>
      <c r="T17" s="704"/>
      <c r="U17" s="705"/>
      <c r="V17" s="704"/>
      <c r="W17" s="705"/>
      <c r="X17" s="1353"/>
      <c r="Y17" s="3755"/>
      <c r="Z17" s="1354"/>
      <c r="AA17" s="1351">
        <v>1</v>
      </c>
      <c r="AB17" s="1351">
        <v>1</v>
      </c>
      <c r="AC17" s="1351">
        <v>1</v>
      </c>
    </row>
    <row r="18" spans="1:29" ht="42.75">
      <c r="A18" s="379"/>
      <c r="B18" s="1129" t="s">
        <v>1811</v>
      </c>
      <c r="C18" s="1898" t="str">
        <f>IF(B1="工业",估价对象房地状况!G6,估价对象房地状况!C8)</f>
        <v>估价对象所在区域基础设施水平七通</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755"/>
      <c r="Q18" s="1350" t="str">
        <f>B18</f>
        <v>基础设施水平</v>
      </c>
      <c r="R18" s="704" t="s">
        <v>14</v>
      </c>
      <c r="S18" s="705">
        <f>F18</f>
        <v>100</v>
      </c>
      <c r="T18" s="704" t="s">
        <v>14</v>
      </c>
      <c r="U18" s="705">
        <f>H18</f>
        <v>100</v>
      </c>
      <c r="V18" s="704" t="s">
        <v>14</v>
      </c>
      <c r="W18" s="705">
        <f>J18</f>
        <v>100</v>
      </c>
      <c r="X18" s="1353"/>
      <c r="Y18" s="3755"/>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18"/>
      <c r="M19" s="2712"/>
      <c r="N19" s="2712"/>
      <c r="O19" s="2770"/>
      <c r="P19" s="3755"/>
      <c r="Q19" s="1350"/>
      <c r="R19" s="704"/>
      <c r="S19" s="705"/>
      <c r="T19" s="704"/>
      <c r="U19" s="705"/>
      <c r="V19" s="704"/>
      <c r="W19" s="705"/>
      <c r="X19" s="1353"/>
      <c r="Y19" s="3755"/>
      <c r="Z19" s="1354"/>
      <c r="AA19" s="1351">
        <v>1</v>
      </c>
      <c r="AB19" s="1351">
        <v>1</v>
      </c>
      <c r="AC19" s="1351">
        <v>1</v>
      </c>
    </row>
    <row r="20" spans="1:29" ht="99.75">
      <c r="A20" s="379"/>
      <c r="B20" s="402" t="s">
        <v>1832</v>
      </c>
      <c r="C20" s="1898" t="str">
        <f>IF(B1="工业",估价对象房地状况!G7,估价对象房地状况!C9)</f>
        <v>区域自然环境：北京动物园、官园公园；人文环境：北京天文馆、北京建筑大学；综合评价环境状况较好</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755"/>
      <c r="Q20" s="1350" t="str">
        <f>B20</f>
        <v>自然及人文环境</v>
      </c>
      <c r="R20" s="704" t="s">
        <v>14</v>
      </c>
      <c r="S20" s="705">
        <f>F20</f>
        <v>100</v>
      </c>
      <c r="T20" s="704" t="s">
        <v>14</v>
      </c>
      <c r="U20" s="705">
        <f>H20</f>
        <v>100</v>
      </c>
      <c r="V20" s="704" t="s">
        <v>14</v>
      </c>
      <c r="W20" s="705">
        <f>J20</f>
        <v>100</v>
      </c>
      <c r="X20" s="1353"/>
      <c r="Y20" s="3755"/>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18"/>
      <c r="M21" s="2712"/>
      <c r="N21" s="2712"/>
      <c r="O21" s="2770"/>
      <c r="P21" s="3755"/>
      <c r="Q21" s="1350"/>
      <c r="R21" s="704"/>
      <c r="S21" s="705"/>
      <c r="T21" s="704"/>
      <c r="U21" s="705"/>
      <c r="V21" s="704"/>
      <c r="W21" s="705"/>
      <c r="X21" s="1353"/>
      <c r="Y21" s="3755"/>
      <c r="Z21" s="1354"/>
      <c r="AA21" s="1351">
        <v>1</v>
      </c>
      <c r="AB21" s="1351">
        <v>1</v>
      </c>
      <c r="AC21" s="1351">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755"/>
      <c r="Q22" s="1350" t="str">
        <f>B22</f>
        <v>楼层</v>
      </c>
      <c r="R22" s="704" t="s">
        <v>14</v>
      </c>
      <c r="S22" s="705">
        <f>F22</f>
        <v>100</v>
      </c>
      <c r="T22" s="704" t="s">
        <v>14</v>
      </c>
      <c r="U22" s="705">
        <f>H22</f>
        <v>100</v>
      </c>
      <c r="V22" s="704" t="s">
        <v>14</v>
      </c>
      <c r="W22" s="705">
        <f>J22</f>
        <v>100</v>
      </c>
      <c r="X22" s="1353"/>
      <c r="Y22" s="3755"/>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755"/>
      <c r="Q23" s="1350">
        <f>B23</f>
        <v>111</v>
      </c>
      <c r="R23" s="704" t="s">
        <v>14</v>
      </c>
      <c r="S23" s="705">
        <f>F23</f>
        <v>100</v>
      </c>
      <c r="T23" s="704" t="s">
        <v>14</v>
      </c>
      <c r="U23" s="705">
        <f>H23</f>
        <v>100</v>
      </c>
      <c r="V23" s="704" t="s">
        <v>14</v>
      </c>
      <c r="W23" s="705">
        <f>J23</f>
        <v>100</v>
      </c>
      <c r="X23" s="1353"/>
      <c r="Y23" s="3755"/>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755"/>
      <c r="Q24" s="1350">
        <f t="shared" ref="Q24:Q34" si="11">B24</f>
        <v>111</v>
      </c>
      <c r="R24" s="704" t="s">
        <v>14</v>
      </c>
      <c r="S24" s="705">
        <f>F24</f>
        <v>100</v>
      </c>
      <c r="T24" s="704" t="s">
        <v>14</v>
      </c>
      <c r="U24" s="705">
        <f>H24</f>
        <v>100</v>
      </c>
      <c r="V24" s="704" t="s">
        <v>14</v>
      </c>
      <c r="W24" s="705">
        <f>J24</f>
        <v>100</v>
      </c>
      <c r="X24" s="1353"/>
      <c r="Y24" s="3755"/>
      <c r="Z24" s="1354">
        <f>Q24</f>
        <v>111</v>
      </c>
      <c r="AA24" s="1351">
        <f t="shared" si="3"/>
        <v>1</v>
      </c>
      <c r="AB24" s="1351">
        <f t="shared" si="4"/>
        <v>1</v>
      </c>
      <c r="AC24" s="1351">
        <f t="shared" si="5"/>
        <v>1</v>
      </c>
    </row>
    <row r="25" spans="1:29" s="108" customFormat="1" ht="15.75" thickBot="1">
      <c r="A25" s="382"/>
      <c r="B25" s="1891">
        <v>111</v>
      </c>
      <c r="C25" s="1974"/>
      <c r="D25" s="612">
        <v>100</v>
      </c>
      <c r="E25" s="1974"/>
      <c r="F25" s="613">
        <f>SUMIF(75:75,E25,76:76)-SUMIF(75:75,C25,76:76)+100</f>
        <v>100</v>
      </c>
      <c r="G25" s="1974"/>
      <c r="H25" s="612">
        <f>SUMIF(75:75,G25,76:76)-SUMIF(75:75,C25,76:76)+100</f>
        <v>100</v>
      </c>
      <c r="I25" s="1974"/>
      <c r="J25" s="612">
        <f>SUMIF(75:75,I25,76:76)-SUMIF(75:75,C25,76:76)+100</f>
        <v>100</v>
      </c>
      <c r="K25" s="562"/>
      <c r="L25" s="2713"/>
      <c r="M25" s="2714"/>
      <c r="N25" s="2714"/>
      <c r="O25" s="2768"/>
      <c r="P25" s="3755"/>
      <c r="Q25" s="1341">
        <f t="shared" si="11"/>
        <v>111</v>
      </c>
      <c r="R25" s="700" t="s">
        <v>14</v>
      </c>
      <c r="S25" s="701">
        <f>F25</f>
        <v>100</v>
      </c>
      <c r="T25" s="700" t="s">
        <v>14</v>
      </c>
      <c r="U25" s="701">
        <f>H25</f>
        <v>100</v>
      </c>
      <c r="V25" s="700" t="s">
        <v>14</v>
      </c>
      <c r="W25" s="701">
        <f>J25</f>
        <v>100</v>
      </c>
      <c r="X25" s="702"/>
      <c r="Y25" s="3755"/>
      <c r="Z25" s="52">
        <f>Q25</f>
        <v>111</v>
      </c>
      <c r="AA25" s="1351">
        <f>D25/F25</f>
        <v>1</v>
      </c>
      <c r="AB25" s="1351">
        <f>D25/H25</f>
        <v>1</v>
      </c>
      <c r="AC25" s="1351">
        <f>D25/J25</f>
        <v>1</v>
      </c>
    </row>
    <row r="26" spans="1:29" ht="28.5">
      <c r="A26" s="417" t="s">
        <v>1692</v>
      </c>
      <c r="B26" s="63" t="s">
        <v>1836</v>
      </c>
      <c r="C26" s="1965"/>
      <c r="D26" s="418">
        <v>100</v>
      </c>
      <c r="E26" s="1965"/>
      <c r="F26" s="614">
        <f>SUMIF(77:77,E26,78:78)-SUMIF(77:77,C26,78:78)+100</f>
        <v>100</v>
      </c>
      <c r="G26" s="1965"/>
      <c r="H26" s="418">
        <f>SUMIF(77:77,G26,78:78)-SUMIF(77:77,C26,78:78)+100</f>
        <v>100</v>
      </c>
      <c r="I26" s="1965"/>
      <c r="J26" s="418">
        <f>SUMIF(77:77,I26,78:78)-SUMIF(77:77,C26,78:78)+100</f>
        <v>100</v>
      </c>
      <c r="K26" s="561"/>
      <c r="L26" s="2718"/>
      <c r="M26" s="2712"/>
      <c r="N26" s="2712"/>
      <c r="O26" s="2770"/>
      <c r="P26" s="3797" t="s">
        <v>1694</v>
      </c>
      <c r="Q26" s="1350" t="str">
        <f t="shared" si="11"/>
        <v>公共部分装修</v>
      </c>
      <c r="R26" s="704" t="s">
        <v>14</v>
      </c>
      <c r="S26" s="705">
        <f t="shared" ref="S26:S34" si="12">F26</f>
        <v>100</v>
      </c>
      <c r="T26" s="704" t="s">
        <v>14</v>
      </c>
      <c r="U26" s="705">
        <f t="shared" ref="U26:U34" si="13">H26</f>
        <v>100</v>
      </c>
      <c r="V26" s="704" t="s">
        <v>14</v>
      </c>
      <c r="W26" s="705">
        <f t="shared" ref="W26:W34" si="14">J26</f>
        <v>100</v>
      </c>
      <c r="X26" s="1353"/>
      <c r="Y26" s="3759" t="s">
        <v>1694</v>
      </c>
      <c r="Z26" s="1354" t="str">
        <f t="shared" ref="Z26:Z34" si="15">Q26</f>
        <v>公共部分装修</v>
      </c>
      <c r="AA26" s="1351">
        <f t="shared" si="3"/>
        <v>1</v>
      </c>
      <c r="AB26" s="1351">
        <f t="shared" si="4"/>
        <v>1</v>
      </c>
      <c r="AC26" s="1351">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759"/>
      <c r="Q27" s="706" t="str">
        <f t="shared" si="11"/>
        <v>成新率</v>
      </c>
      <c r="R27" s="707" t="s">
        <v>14</v>
      </c>
      <c r="S27" s="708" t="e">
        <f t="shared" si="12"/>
        <v>#N/A</v>
      </c>
      <c r="T27" s="707" t="s">
        <v>14</v>
      </c>
      <c r="U27" s="708" t="e">
        <f t="shared" si="13"/>
        <v>#N/A</v>
      </c>
      <c r="V27" s="707" t="s">
        <v>14</v>
      </c>
      <c r="W27" s="708" t="e">
        <f t="shared" si="14"/>
        <v>#N/A</v>
      </c>
      <c r="X27" s="709"/>
      <c r="Y27" s="3759"/>
      <c r="Z27" s="710" t="str">
        <f t="shared" si="15"/>
        <v>成新率</v>
      </c>
      <c r="AA27" s="1351" t="e">
        <f t="shared" si="3"/>
        <v>#N/A</v>
      </c>
      <c r="AB27" s="1351" t="e">
        <f t="shared" si="4"/>
        <v>#N/A</v>
      </c>
      <c r="AC27" s="1351"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759"/>
      <c r="Q28" s="1350" t="str">
        <f t="shared" si="11"/>
        <v>物业等级</v>
      </c>
      <c r="R28" s="704" t="s">
        <v>14</v>
      </c>
      <c r="S28" s="705">
        <f t="shared" si="12"/>
        <v>100</v>
      </c>
      <c r="T28" s="704" t="s">
        <v>14</v>
      </c>
      <c r="U28" s="705">
        <f t="shared" si="13"/>
        <v>100</v>
      </c>
      <c r="V28" s="704" t="s">
        <v>14</v>
      </c>
      <c r="W28" s="705">
        <f t="shared" si="14"/>
        <v>100</v>
      </c>
      <c r="X28" s="1353"/>
      <c r="Y28" s="3759"/>
      <c r="Z28" s="1354" t="str">
        <f t="shared" si="15"/>
        <v>物业等级</v>
      </c>
      <c r="AA28" s="1351">
        <f t="shared" si="3"/>
        <v>1</v>
      </c>
      <c r="AB28" s="1351">
        <f t="shared" si="4"/>
        <v>1</v>
      </c>
      <c r="AC28" s="1351">
        <f t="shared" si="5"/>
        <v>1</v>
      </c>
    </row>
    <row r="29" spans="1:29" ht="15">
      <c r="A29" s="423"/>
      <c r="B29" s="375" t="s">
        <v>1858</v>
      </c>
      <c r="C29" s="604"/>
      <c r="D29" s="386">
        <v>100</v>
      </c>
      <c r="E29" s="604"/>
      <c r="F29" s="412">
        <f>SUMIF(84:84,E29,85:85)-SUMIF(84:84,C29,85:85)+100</f>
        <v>100</v>
      </c>
      <c r="G29" s="604"/>
      <c r="H29" s="386">
        <f>SUMIF(84:84,G29,85:85)-SUMIF(84:84,C29,85:85)+100</f>
        <v>100</v>
      </c>
      <c r="I29" s="604"/>
      <c r="J29" s="386">
        <f>SUMIF(84:84,I29,85:85)-SUMIF(84:84,C29,85:85)+100</f>
        <v>100</v>
      </c>
      <c r="K29" s="561"/>
      <c r="L29" s="2718"/>
      <c r="M29" s="2712"/>
      <c r="N29" s="2712"/>
      <c r="O29" s="2770"/>
      <c r="P29" s="3759"/>
      <c r="Q29" s="1350" t="str">
        <f t="shared" si="11"/>
        <v>有无电梯</v>
      </c>
      <c r="R29" s="704" t="s">
        <v>14</v>
      </c>
      <c r="S29" s="705">
        <f t="shared" si="12"/>
        <v>100</v>
      </c>
      <c r="T29" s="704" t="s">
        <v>14</v>
      </c>
      <c r="U29" s="705">
        <f t="shared" si="13"/>
        <v>100</v>
      </c>
      <c r="V29" s="704" t="s">
        <v>14</v>
      </c>
      <c r="W29" s="705">
        <f t="shared" si="14"/>
        <v>100</v>
      </c>
      <c r="X29" s="1353"/>
      <c r="Y29" s="3759"/>
      <c r="Z29" s="1354" t="str">
        <f t="shared" si="15"/>
        <v>有无电梯</v>
      </c>
      <c r="AA29" s="1351">
        <f t="shared" si="3"/>
        <v>1</v>
      </c>
      <c r="AB29" s="1351">
        <f t="shared" si="4"/>
        <v>1</v>
      </c>
      <c r="AC29" s="1351">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759"/>
      <c r="Q30" s="1350" t="str">
        <f t="shared" si="11"/>
        <v>建筑面积</v>
      </c>
      <c r="R30" s="704" t="s">
        <v>14</v>
      </c>
      <c r="S30" s="705" t="e">
        <f t="shared" si="12"/>
        <v>#N/A</v>
      </c>
      <c r="T30" s="704" t="s">
        <v>14</v>
      </c>
      <c r="U30" s="705" t="e">
        <f t="shared" si="13"/>
        <v>#N/A</v>
      </c>
      <c r="V30" s="704" t="s">
        <v>14</v>
      </c>
      <c r="W30" s="705" t="e">
        <f t="shared" si="14"/>
        <v>#N/A</v>
      </c>
      <c r="X30" s="1353"/>
      <c r="Y30" s="3759"/>
      <c r="Z30" s="1354" t="str">
        <f t="shared" si="15"/>
        <v>建筑面积</v>
      </c>
      <c r="AA30" s="1351" t="e">
        <f t="shared" si="3"/>
        <v>#N/A</v>
      </c>
      <c r="AB30" s="1351" t="e">
        <f t="shared" si="4"/>
        <v>#N/A</v>
      </c>
      <c r="AC30" s="1351" t="e">
        <f t="shared" si="5"/>
        <v>#N/A</v>
      </c>
    </row>
    <row r="31" spans="1:29" s="108" customFormat="1" ht="15">
      <c r="A31" s="424"/>
      <c r="B31" s="375" t="s">
        <v>1860</v>
      </c>
      <c r="C31" s="604"/>
      <c r="D31" s="127">
        <v>100</v>
      </c>
      <c r="E31" s="604"/>
      <c r="F31" s="412">
        <f>SUMIF(89:89,E31,90:90)-SUMIF(89:89,C31,90:90)+100</f>
        <v>100</v>
      </c>
      <c r="G31" s="604"/>
      <c r="H31" s="386">
        <f>SUMIF(89:89,G31,90:90)-SUMIF(89:89,C31,90:90)+100</f>
        <v>100</v>
      </c>
      <c r="I31" s="604"/>
      <c r="J31" s="386">
        <f>SUMIF(89:89,I31,90:90)-SUMIF(89:89,C31,90:90)+100</f>
        <v>100</v>
      </c>
      <c r="K31" s="561"/>
      <c r="L31" s="2713"/>
      <c r="M31" s="2714"/>
      <c r="N31" s="2714"/>
      <c r="O31" s="2768"/>
      <c r="P31" s="3759"/>
      <c r="Q31" s="1341" t="str">
        <f t="shared" si="11"/>
        <v>是否封闭</v>
      </c>
      <c r="R31" s="700" t="s">
        <v>14</v>
      </c>
      <c r="S31" s="701">
        <f t="shared" si="12"/>
        <v>100</v>
      </c>
      <c r="T31" s="700" t="s">
        <v>14</v>
      </c>
      <c r="U31" s="701">
        <f t="shared" si="13"/>
        <v>100</v>
      </c>
      <c r="V31" s="700" t="s">
        <v>14</v>
      </c>
      <c r="W31" s="701">
        <f t="shared" si="14"/>
        <v>100</v>
      </c>
      <c r="X31" s="702"/>
      <c r="Y31" s="3759"/>
      <c r="Z31" s="52" t="str">
        <f t="shared" si="15"/>
        <v>是否封闭</v>
      </c>
      <c r="AA31" s="703">
        <f t="shared" si="3"/>
        <v>1</v>
      </c>
      <c r="AB31" s="703">
        <f t="shared" si="4"/>
        <v>1</v>
      </c>
      <c r="AC31" s="703">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759" t="s">
        <v>1694</v>
      </c>
      <c r="Q32" s="1350">
        <f t="shared" si="11"/>
        <v>111</v>
      </c>
      <c r="R32" s="704" t="s">
        <v>14</v>
      </c>
      <c r="S32" s="705">
        <f t="shared" si="12"/>
        <v>100</v>
      </c>
      <c r="T32" s="704" t="s">
        <v>14</v>
      </c>
      <c r="U32" s="705">
        <f t="shared" si="13"/>
        <v>100</v>
      </c>
      <c r="V32" s="704" t="s">
        <v>14</v>
      </c>
      <c r="W32" s="705">
        <f t="shared" si="14"/>
        <v>100</v>
      </c>
      <c r="X32" s="1353"/>
      <c r="Y32" s="3759" t="s">
        <v>1694</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759"/>
      <c r="Q33" s="1350">
        <f t="shared" si="11"/>
        <v>111</v>
      </c>
      <c r="R33" s="704" t="s">
        <v>14</v>
      </c>
      <c r="S33" s="705">
        <f t="shared" si="12"/>
        <v>100</v>
      </c>
      <c r="T33" s="704" t="s">
        <v>14</v>
      </c>
      <c r="U33" s="705">
        <f t="shared" si="13"/>
        <v>100</v>
      </c>
      <c r="V33" s="704" t="s">
        <v>14</v>
      </c>
      <c r="W33" s="705">
        <f t="shared" si="14"/>
        <v>100</v>
      </c>
      <c r="X33" s="1353"/>
      <c r="Y33" s="3759"/>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18"/>
      <c r="M34" s="2712"/>
      <c r="N34" s="2712"/>
      <c r="O34" s="2770"/>
      <c r="P34" s="3759"/>
      <c r="Q34" s="1350">
        <f t="shared" si="11"/>
        <v>111</v>
      </c>
      <c r="R34" s="704" t="s">
        <v>14</v>
      </c>
      <c r="S34" s="705">
        <f t="shared" si="12"/>
        <v>100</v>
      </c>
      <c r="T34" s="704" t="s">
        <v>14</v>
      </c>
      <c r="U34" s="705">
        <f t="shared" si="13"/>
        <v>100</v>
      </c>
      <c r="V34" s="704" t="s">
        <v>14</v>
      </c>
      <c r="W34" s="705">
        <f t="shared" si="14"/>
        <v>100</v>
      </c>
      <c r="X34" s="1353"/>
      <c r="Y34" s="3759"/>
      <c r="Z34" s="1354">
        <f t="shared" si="15"/>
        <v>111</v>
      </c>
      <c r="AA34" s="1351">
        <f t="shared" si="3"/>
        <v>1</v>
      </c>
      <c r="AB34" s="1351">
        <f t="shared" si="4"/>
        <v>1</v>
      </c>
      <c r="AC34" s="1351">
        <f t="shared" si="5"/>
        <v>1</v>
      </c>
    </row>
    <row r="35" spans="1:30" ht="15">
      <c r="A35" s="430" t="s">
        <v>1706</v>
      </c>
      <c r="B35" s="431"/>
      <c r="C35" s="1152" t="s">
        <v>0</v>
      </c>
      <c r="D35" s="1153"/>
      <c r="E35" s="1154"/>
      <c r="F35" s="1155"/>
      <c r="G35" s="1156"/>
      <c r="H35" s="1157"/>
      <c r="I35" s="1154"/>
      <c r="J35" s="1157"/>
      <c r="K35" s="713"/>
      <c r="L35" s="2720"/>
      <c r="M35" s="2721"/>
      <c r="N35" s="2712"/>
      <c r="O35" s="2721"/>
      <c r="P35" s="3761" t="str">
        <f>A35</f>
        <v>成交单价（元/平方米）</v>
      </c>
      <c r="Q35" s="3761"/>
      <c r="R35" s="3762">
        <f>E35</f>
        <v>0</v>
      </c>
      <c r="S35" s="3762"/>
      <c r="T35" s="3762">
        <f>G35</f>
        <v>0</v>
      </c>
      <c r="U35" s="3762"/>
      <c r="V35" s="3762">
        <f>I35</f>
        <v>0</v>
      </c>
      <c r="W35" s="3762"/>
      <c r="X35" s="689"/>
      <c r="Y35" s="711"/>
      <c r="Z35" s="689"/>
      <c r="AA35" s="689"/>
      <c r="AB35" s="689"/>
      <c r="AC35" s="689"/>
    </row>
    <row r="36" spans="1:30" ht="15.75" thickBot="1">
      <c r="A36" s="437" t="s">
        <v>1791</v>
      </c>
      <c r="B36" s="438"/>
      <c r="C36" s="1158" t="e">
        <f>R37</f>
        <v>#DIV/0!</v>
      </c>
      <c r="D36" s="2315" t="s">
        <v>2135</v>
      </c>
      <c r="E36" s="1159" t="e">
        <f>R36</f>
        <v>#DIV/0!</v>
      </c>
      <c r="F36" s="2316"/>
      <c r="G36" s="1158" t="e">
        <f>T36</f>
        <v>#DIV/0!</v>
      </c>
      <c r="H36" s="2316"/>
      <c r="I36" s="1159" t="e">
        <f>V36</f>
        <v>#DIV/0!</v>
      </c>
      <c r="J36" s="2316"/>
      <c r="K36" s="2318">
        <f>F36+H36+J36</f>
        <v>0</v>
      </c>
      <c r="L36" s="2720"/>
      <c r="M36" s="2721"/>
      <c r="N36" s="2712"/>
      <c r="O36" s="2721"/>
      <c r="P36" s="3761" t="str">
        <f>A36</f>
        <v>比较价值（元/平方米）</v>
      </c>
      <c r="Q36" s="3761"/>
      <c r="R36" s="3762" t="e">
        <f>IF(F1="售价",ROUND(PRODUCT(R35,AA7:AA34),0),ROUND(PRODUCT(R35,AA7:AA34),1))</f>
        <v>#DIV/0!</v>
      </c>
      <c r="S36" s="3762"/>
      <c r="T36" s="3762" t="e">
        <f>IF(F1="售价",ROUND(PRODUCT(T35,AB7:AB34),0),ROUND(PRODUCT(T35,AB7:AB34),1))</f>
        <v>#DIV/0!</v>
      </c>
      <c r="U36" s="3762"/>
      <c r="V36" s="3762" t="e">
        <f>IF(F1="售价",ROUND(PRODUCT(V35,AC7:AC34),0),ROUND(PRODUCT(V35,AC7:AC34),1))</f>
        <v>#DIV/0!</v>
      </c>
      <c r="W36" s="3762"/>
      <c r="X36" s="689"/>
      <c r="Y36" s="689"/>
      <c r="Z36" s="689"/>
      <c r="AA36" s="689"/>
      <c r="AB36" s="689"/>
      <c r="AC36" s="689"/>
    </row>
    <row r="37" spans="1:30" ht="15.75" thickBot="1">
      <c r="A37" s="441" t="s">
        <v>1792</v>
      </c>
      <c r="B37" s="442"/>
      <c r="C37" s="1161" t="e">
        <f>R37</f>
        <v>#DIV/0!</v>
      </c>
      <c r="D37" s="1161"/>
      <c r="E37" s="1161"/>
      <c r="F37" s="1161"/>
      <c r="G37" s="1161"/>
      <c r="H37" s="1161"/>
      <c r="I37" s="1161"/>
      <c r="J37" s="1161"/>
      <c r="K37" s="714"/>
      <c r="L37" s="2720"/>
      <c r="M37" s="2721"/>
      <c r="N37" s="2721"/>
      <c r="O37" s="2721"/>
      <c r="P37" s="3794" t="str">
        <f>A37</f>
        <v>估价对象XX用房的比较价值（楼面单价，元/平方米）</v>
      </c>
      <c r="Q37" s="3795"/>
      <c r="R37" s="3798" t="e">
        <f>IF(F1="售价",ROUND(IF(D36="简单平均",AVERAGE(R36:W36),R36*F36+T36*H36+V36*J36),0),ROUND(IF(D36="简单平均",AVERAGE(R36:V36),R36*F36+T36*H36+V36*J36),1))</f>
        <v>#DIV/0!</v>
      </c>
      <c r="S37" s="3798"/>
      <c r="T37" s="3798"/>
      <c r="U37" s="3798"/>
      <c r="V37" s="3798"/>
      <c r="W37" s="3798"/>
      <c r="X37" s="689"/>
      <c r="Y37" s="689"/>
      <c r="Z37" s="689"/>
      <c r="AA37" s="689"/>
      <c r="AB37" s="689"/>
      <c r="AC37" s="689"/>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3" t="s">
        <v>1796</v>
      </c>
      <c r="B45" s="689"/>
      <c r="C45" s="694"/>
      <c r="D45" s="694"/>
      <c r="E45" s="694"/>
      <c r="F45" s="695"/>
      <c r="G45" s="695"/>
      <c r="H45" s="694"/>
      <c r="I45" s="694"/>
      <c r="J45" s="694"/>
      <c r="K45" s="696"/>
      <c r="L45" s="697"/>
      <c r="M45" s="694"/>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1677</v>
      </c>
      <c r="B46" s="455"/>
      <c r="C46" s="1182" t="str">
        <f>YEAR(C7)&amp;"-"&amp;MONTH(C7)</f>
        <v>2024-7</v>
      </c>
      <c r="D46" s="1183">
        <f>EDATE(C46,-1)</f>
        <v>45444</v>
      </c>
      <c r="E46" s="1183">
        <f t="shared" ref="E46:O46" si="16">EDATE(D46,-1)</f>
        <v>45413</v>
      </c>
      <c r="F46" s="1183">
        <f t="shared" si="16"/>
        <v>45383</v>
      </c>
      <c r="G46" s="1183">
        <f t="shared" si="16"/>
        <v>45352</v>
      </c>
      <c r="H46" s="1183">
        <f t="shared" si="16"/>
        <v>45323</v>
      </c>
      <c r="I46" s="1183">
        <f t="shared" si="16"/>
        <v>45292</v>
      </c>
      <c r="J46" s="1183">
        <f t="shared" si="16"/>
        <v>45261</v>
      </c>
      <c r="K46" s="1183">
        <f t="shared" si="16"/>
        <v>45231</v>
      </c>
      <c r="L46" s="1183">
        <f t="shared" si="16"/>
        <v>45200</v>
      </c>
      <c r="M46" s="1183">
        <f t="shared" si="16"/>
        <v>45170</v>
      </c>
      <c r="N46" s="1183">
        <f t="shared" si="16"/>
        <v>45139</v>
      </c>
      <c r="O46" s="1183">
        <f t="shared" si="16"/>
        <v>45108</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1">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1714</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1679</v>
      </c>
      <c r="B49" s="459"/>
      <c r="C49" s="471" t="s">
        <v>1774</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6">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1717</v>
      </c>
      <c r="B51" s="477" t="s">
        <v>1683</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1686</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7">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1861</v>
      </c>
      <c r="C63" s="527" t="s">
        <v>1719</v>
      </c>
      <c r="D63" s="527" t="s">
        <v>1720</v>
      </c>
      <c r="E63" s="527" t="s">
        <v>1721</v>
      </c>
      <c r="F63" s="527" t="s">
        <v>1722</v>
      </c>
      <c r="G63" s="527" t="s">
        <v>1723</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1811</v>
      </c>
      <c r="C65" s="607" t="s">
        <v>1797</v>
      </c>
      <c r="D65" s="607" t="s">
        <v>1798</v>
      </c>
      <c r="E65" s="607" t="s">
        <v>1799</v>
      </c>
      <c r="F65" s="607" t="s">
        <v>1800</v>
      </c>
      <c r="G65" s="607" t="s">
        <v>1801</v>
      </c>
      <c r="H65" s="488"/>
      <c r="I65" s="488"/>
      <c r="J65" s="488"/>
      <c r="K65" s="488"/>
      <c r="L65" s="488"/>
      <c r="M65" s="1127"/>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1731</v>
      </c>
      <c r="C67" s="527" t="s">
        <v>1719</v>
      </c>
      <c r="D67" s="527" t="s">
        <v>1720</v>
      </c>
      <c r="E67" s="527" t="s">
        <v>1721</v>
      </c>
      <c r="F67" s="527" t="s">
        <v>1722</v>
      </c>
      <c r="G67" s="527" t="s">
        <v>1723</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1850</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1692</v>
      </c>
      <c r="B77" s="477" t="s">
        <v>1738</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7"/>
      <c r="J80" s="607"/>
      <c r="K80" s="615"/>
      <c r="L80" s="616"/>
      <c r="M80" s="617"/>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1854</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1862</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1864</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3">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5"/>
      <c r="B98" s="935"/>
      <c r="C98" s="935"/>
      <c r="D98" s="935"/>
      <c r="E98" s="935"/>
      <c r="F98" s="935"/>
      <c r="G98" s="935"/>
      <c r="H98" s="935"/>
      <c r="I98" s="935"/>
      <c r="J98" s="935"/>
      <c r="K98" s="936"/>
      <c r="L98" s="937"/>
      <c r="M98" s="935"/>
      <c r="N98" s="2721"/>
      <c r="O98" s="2721"/>
      <c r="P98" s="2721"/>
      <c r="Q98" s="2721"/>
      <c r="R98" s="2721"/>
      <c r="S98" s="2721"/>
      <c r="T98" s="2721"/>
      <c r="U98" s="2721"/>
      <c r="V98" s="2721"/>
      <c r="W98" s="2721"/>
      <c r="X98" s="2721"/>
      <c r="Y98" s="2721"/>
      <c r="Z98" s="2721"/>
      <c r="AA98" s="2721"/>
      <c r="AB98" s="2721"/>
      <c r="AC98" s="2721"/>
      <c r="AD98" s="2721"/>
    </row>
    <row r="99" spans="1:30">
      <c r="A99" s="935"/>
      <c r="B99" s="935"/>
      <c r="C99" s="935"/>
      <c r="D99" s="935"/>
      <c r="E99" s="935"/>
      <c r="F99" s="935"/>
      <c r="G99" s="935"/>
      <c r="H99" s="935"/>
      <c r="I99" s="935"/>
      <c r="J99" s="935"/>
      <c r="K99" s="936"/>
      <c r="L99" s="937"/>
      <c r="M99" s="935"/>
      <c r="N99" s="2721"/>
      <c r="O99" s="2721"/>
      <c r="P99" s="2721"/>
      <c r="Q99" s="2721"/>
      <c r="R99" s="2721"/>
      <c r="S99" s="2721"/>
      <c r="T99" s="2721"/>
      <c r="U99" s="2721"/>
      <c r="V99" s="2721"/>
      <c r="W99" s="2721"/>
      <c r="X99" s="2721"/>
      <c r="Y99" s="2721"/>
      <c r="Z99" s="2721"/>
      <c r="AA99" s="2721"/>
      <c r="AB99" s="2721"/>
      <c r="AC99" s="2721"/>
      <c r="AD99" s="2721"/>
    </row>
    <row r="100" spans="1:30">
      <c r="A100" s="935"/>
      <c r="B100" s="935"/>
      <c r="C100" s="935"/>
      <c r="D100" s="935"/>
      <c r="E100" s="935"/>
      <c r="F100" s="935"/>
      <c r="G100" s="935"/>
      <c r="H100" s="935"/>
      <c r="I100" s="935"/>
      <c r="J100" s="935"/>
      <c r="K100" s="936"/>
      <c r="L100" s="937"/>
      <c r="M100" s="935"/>
      <c r="N100" s="2721"/>
      <c r="O100" s="2721"/>
      <c r="P100" s="2721"/>
      <c r="Q100" s="2721"/>
      <c r="R100" s="2721"/>
      <c r="S100" s="2721"/>
      <c r="T100" s="2721"/>
      <c r="U100" s="2721"/>
      <c r="V100" s="2721"/>
      <c r="W100" s="2721"/>
      <c r="X100" s="2721"/>
      <c r="Y100" s="2721"/>
      <c r="Z100" s="2721"/>
      <c r="AA100" s="2721"/>
      <c r="AB100" s="2721"/>
      <c r="AC100" s="2721"/>
      <c r="AD100" s="2721"/>
    </row>
    <row r="101" spans="1:30">
      <c r="A101" s="935"/>
      <c r="B101" s="935"/>
      <c r="C101" s="935"/>
      <c r="D101" s="935"/>
      <c r="E101" s="935"/>
      <c r="F101" s="935"/>
      <c r="G101" s="935"/>
      <c r="H101" s="935"/>
      <c r="I101" s="935"/>
      <c r="J101" s="935"/>
      <c r="K101" s="936"/>
      <c r="L101" s="937"/>
      <c r="M101" s="935"/>
      <c r="N101" s="2721"/>
      <c r="O101" s="2721"/>
      <c r="P101" s="2721"/>
      <c r="Q101" s="2721"/>
      <c r="R101" s="2721"/>
      <c r="S101" s="2721"/>
      <c r="T101" s="2721"/>
      <c r="U101" s="2721"/>
      <c r="V101" s="2721"/>
      <c r="W101" s="2721"/>
      <c r="X101" s="2721"/>
      <c r="Y101" s="2721"/>
      <c r="Z101" s="2721"/>
      <c r="AA101" s="2721"/>
      <c r="AB101" s="2721"/>
      <c r="AC101" s="2721"/>
      <c r="AD101" s="2721"/>
    </row>
    <row r="102" spans="1:30">
      <c r="A102" s="935"/>
      <c r="B102" s="935"/>
      <c r="C102" s="935"/>
      <c r="D102" s="935"/>
      <c r="E102" s="935"/>
      <c r="F102" s="935"/>
      <c r="G102" s="935"/>
      <c r="H102" s="935"/>
      <c r="I102" s="935"/>
      <c r="J102" s="935"/>
      <c r="K102" s="936"/>
      <c r="L102" s="937"/>
      <c r="M102" s="935"/>
      <c r="N102" s="2721"/>
      <c r="O102" s="2721"/>
      <c r="P102" s="2721"/>
      <c r="Q102" s="2721"/>
      <c r="R102" s="2721"/>
      <c r="S102" s="2721"/>
      <c r="T102" s="2721"/>
      <c r="U102" s="2721"/>
      <c r="V102" s="2721"/>
      <c r="W102" s="2721"/>
      <c r="X102" s="2721"/>
      <c r="Y102" s="2721"/>
      <c r="Z102" s="2721"/>
      <c r="AA102" s="2721"/>
      <c r="AB102" s="2721"/>
      <c r="AC102" s="2721"/>
      <c r="AD102" s="2721"/>
    </row>
    <row r="103" spans="1:30">
      <c r="A103" s="935"/>
      <c r="B103" s="935"/>
      <c r="C103" s="935"/>
      <c r="D103" s="935"/>
      <c r="E103" s="935"/>
      <c r="F103" s="935"/>
      <c r="G103" s="935"/>
      <c r="H103" s="935"/>
      <c r="I103" s="935"/>
      <c r="J103" s="935"/>
      <c r="K103" s="936"/>
      <c r="L103" s="937"/>
      <c r="M103" s="935"/>
      <c r="N103" s="935"/>
      <c r="O103" s="935"/>
      <c r="P103" s="2721"/>
      <c r="Q103" s="2721"/>
      <c r="R103" s="2721"/>
      <c r="S103" s="2721"/>
      <c r="T103" s="2721"/>
      <c r="U103" s="2721"/>
      <c r="V103" s="2721"/>
      <c r="W103" s="2721"/>
      <c r="X103" s="2721"/>
      <c r="Y103" s="2721"/>
      <c r="Z103" s="2721"/>
      <c r="AA103" s="2721"/>
      <c r="AB103" s="2721"/>
      <c r="AC103" s="2721"/>
      <c r="AD103" s="2721"/>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96" priority="18" stopIfTrue="1" operator="containsText" text="超过">
      <formula>NOT(ISERROR(SEARCH("超过",F40)))</formula>
    </cfRule>
  </conditionalFormatting>
  <conditionalFormatting sqref="J42">
    <cfRule type="containsText" dxfId="95" priority="17" stopIfTrue="1" operator="containsText" text="超过">
      <formula>NOT(ISERROR(SEARCH("超过",J42)))</formula>
    </cfRule>
  </conditionalFormatting>
  <conditionalFormatting sqref="H42">
    <cfRule type="containsText" dxfId="94" priority="16" stopIfTrue="1" operator="containsText" text="超过">
      <formula>NOT(ISERROR(SEARCH("超过",H42)))</formula>
    </cfRule>
  </conditionalFormatting>
  <conditionalFormatting sqref="F42">
    <cfRule type="containsText" dxfId="93" priority="15" stopIfTrue="1" operator="containsText" text="超过">
      <formula>NOT(ISERROR(SEARCH("超过",F42)))</formula>
    </cfRule>
  </conditionalFormatting>
  <conditionalFormatting sqref="F41 H41 J41">
    <cfRule type="containsText" dxfId="92" priority="14" stopIfTrue="1" operator="containsText" text="超过">
      <formula>NOT(ISERROR(SEARCH("超过",F41)))</formula>
    </cfRule>
  </conditionalFormatting>
  <conditionalFormatting sqref="E40">
    <cfRule type="expression" dxfId="91" priority="13" stopIfTrue="1">
      <formula>$F$40="超过30%"</formula>
    </cfRule>
  </conditionalFormatting>
  <conditionalFormatting sqref="G42">
    <cfRule type="expression" dxfId="90" priority="12" stopIfTrue="1">
      <formula>$H$54+$H$42="超过30%"</formula>
    </cfRule>
  </conditionalFormatting>
  <conditionalFormatting sqref="E41">
    <cfRule type="expression" dxfId="89" priority="11" stopIfTrue="1">
      <formula>$F$41="超过20%"</formula>
    </cfRule>
  </conditionalFormatting>
  <conditionalFormatting sqref="E42">
    <cfRule type="expression" dxfId="88" priority="10" stopIfTrue="1">
      <formula>$F$42="超过30%"</formula>
    </cfRule>
  </conditionalFormatting>
  <conditionalFormatting sqref="G40">
    <cfRule type="expression" dxfId="87" priority="9" stopIfTrue="1">
      <formula>$H$52+$H$40="超过30%"</formula>
    </cfRule>
  </conditionalFormatting>
  <conditionalFormatting sqref="G41">
    <cfRule type="expression" dxfId="86" priority="8" stopIfTrue="1">
      <formula>$H$53+$H$41="超过20%"</formula>
    </cfRule>
  </conditionalFormatting>
  <conditionalFormatting sqref="I40">
    <cfRule type="expression" dxfId="85" priority="7" stopIfTrue="1">
      <formula>$J$40="超过30%"</formula>
    </cfRule>
  </conditionalFormatting>
  <conditionalFormatting sqref="I41">
    <cfRule type="expression" dxfId="84" priority="6" stopIfTrue="1">
      <formula>$J$41="超过20%"</formula>
    </cfRule>
  </conditionalFormatting>
  <conditionalFormatting sqref="I42">
    <cfRule type="expression" dxfId="83" priority="5" stopIfTrue="1">
      <formula>$J$42="超过30%"</formula>
    </cfRule>
  </conditionalFormatting>
  <conditionalFormatting sqref="F36">
    <cfRule type="expression" dxfId="82" priority="4">
      <formula>$D$36="简单平均"</formula>
    </cfRule>
  </conditionalFormatting>
  <conditionalFormatting sqref="H36">
    <cfRule type="expression" dxfId="81" priority="3">
      <formula>$D$36="简单平均"</formula>
    </cfRule>
  </conditionalFormatting>
  <conditionalFormatting sqref="J36">
    <cfRule type="expression" dxfId="80" priority="2">
      <formula>$D$36="简单平均"</formula>
    </cfRule>
  </conditionalFormatting>
  <conditionalFormatting sqref="F7:F34 H7:H34 J7:J34">
    <cfRule type="cellIs" dxfId="7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2" sqref="E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5"/>
      <c r="E1" s="685"/>
      <c r="F1" s="684" t="s">
        <v>1765</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1460</v>
      </c>
      <c r="B2" s="618" t="e">
        <f>F65</f>
        <v>#DIV/0!</v>
      </c>
      <c r="C2" s="906"/>
      <c r="D2" s="906"/>
      <c r="E2" s="907"/>
      <c r="F2" s="908"/>
      <c r="G2" s="907"/>
      <c r="H2" s="907"/>
      <c r="I2" s="907"/>
      <c r="J2" s="907"/>
      <c r="K2" s="909"/>
      <c r="L2" s="2730"/>
      <c r="M2" s="2731"/>
      <c r="N2" s="2731"/>
      <c r="O2" s="2731"/>
      <c r="P2" s="698"/>
      <c r="Q2" s="698"/>
      <c r="R2" s="698"/>
      <c r="S2" s="698"/>
      <c r="T2" s="698"/>
      <c r="U2" s="698"/>
      <c r="V2" s="698"/>
      <c r="W2" s="698"/>
      <c r="X2" s="698"/>
      <c r="Y2" s="698"/>
      <c r="Z2" s="698"/>
      <c r="AA2" s="698"/>
      <c r="AB2" s="698"/>
      <c r="AC2" s="699"/>
      <c r="AD2" s="351"/>
    </row>
    <row r="3" spans="1:30" s="352" customFormat="1" ht="28.5" customHeight="1" thickBot="1">
      <c r="A3" s="203" t="s">
        <v>1462</v>
      </c>
      <c r="B3" s="558" t="e">
        <f>ROUND(IF(D3="",B2*10000/'数据-汇总表'!E3,B2*10000/D3),0)</f>
        <v>#DIV/0!</v>
      </c>
      <c r="C3" s="203" t="s">
        <v>1867</v>
      </c>
      <c r="D3" s="1191"/>
      <c r="E3" s="907"/>
      <c r="F3" s="908"/>
      <c r="G3" s="907"/>
      <c r="H3" s="907"/>
      <c r="I3" s="907"/>
      <c r="J3" s="907"/>
      <c r="K3" s="909"/>
      <c r="L3" s="2730"/>
      <c r="M3" s="2731"/>
      <c r="N3" s="2731"/>
      <c r="O3" s="2731"/>
      <c r="P3" s="698"/>
      <c r="Q3" s="698"/>
      <c r="R3" s="698"/>
      <c r="S3" s="698"/>
      <c r="T3" s="698"/>
      <c r="U3" s="698"/>
      <c r="V3" s="698"/>
      <c r="W3" s="698"/>
      <c r="X3" s="698"/>
      <c r="Y3" s="698"/>
      <c r="Z3" s="698"/>
      <c r="AA3" s="698"/>
      <c r="AB3" s="715"/>
      <c r="AC3" s="712"/>
    </row>
    <row r="4" spans="1:30" ht="15">
      <c r="A4" s="355" t="s">
        <v>1767</v>
      </c>
      <c r="B4" s="356"/>
      <c r="C4" s="3735" t="s">
        <v>1768</v>
      </c>
      <c r="D4" s="3736"/>
      <c r="E4" s="3737" t="s">
        <v>1769</v>
      </c>
      <c r="F4" s="3738"/>
      <c r="G4" s="3735" t="s">
        <v>1770</v>
      </c>
      <c r="H4" s="3736"/>
      <c r="I4" s="3735" t="s">
        <v>1771</v>
      </c>
      <c r="J4" s="3736"/>
      <c r="K4" s="559" t="s">
        <v>1772</v>
      </c>
      <c r="L4" s="2711"/>
      <c r="M4" s="2712"/>
      <c r="N4" s="2712"/>
      <c r="O4" s="2712"/>
      <c r="P4" s="3790" t="s">
        <v>1773</v>
      </c>
      <c r="Q4" s="3791"/>
      <c r="R4" s="3788" t="s">
        <v>1769</v>
      </c>
      <c r="S4" s="3789"/>
      <c r="T4" s="3788" t="s">
        <v>1770</v>
      </c>
      <c r="U4" s="3789"/>
      <c r="V4" s="3748" t="s">
        <v>1771</v>
      </c>
      <c r="W4" s="3748"/>
      <c r="X4" s="1353"/>
      <c r="Y4" s="3788" t="s">
        <v>1773</v>
      </c>
      <c r="Z4" s="3789"/>
      <c r="AA4" s="3787" t="s">
        <v>1769</v>
      </c>
      <c r="AB4" s="3714" t="s">
        <v>1770</v>
      </c>
      <c r="AC4" s="3787" t="s">
        <v>1771</v>
      </c>
    </row>
    <row r="5" spans="1:30" ht="15">
      <c r="A5" s="358"/>
      <c r="B5" s="359"/>
      <c r="C5" s="3724" t="s">
        <v>1671</v>
      </c>
      <c r="D5" s="3725"/>
      <c r="E5" s="3722" t="s">
        <v>1672</v>
      </c>
      <c r="F5" s="3723"/>
      <c r="G5" s="3724" t="s">
        <v>1673</v>
      </c>
      <c r="H5" s="3725"/>
      <c r="I5" s="3724" t="s">
        <v>1674</v>
      </c>
      <c r="J5" s="3725"/>
      <c r="K5" s="559"/>
      <c r="L5" s="2711"/>
      <c r="M5" s="2712"/>
      <c r="N5" s="2712"/>
      <c r="O5" s="2712"/>
      <c r="P5" s="3792"/>
      <c r="Q5" s="3742"/>
      <c r="R5" s="3720"/>
      <c r="S5" s="3721"/>
      <c r="T5" s="3720"/>
      <c r="U5" s="3721"/>
      <c r="V5" s="3748"/>
      <c r="W5" s="3748"/>
      <c r="X5" s="1353"/>
      <c r="Y5" s="3720"/>
      <c r="Z5" s="3721"/>
      <c r="AA5" s="3714"/>
      <c r="AB5" s="3714"/>
      <c r="AC5" s="3714"/>
    </row>
    <row r="6" spans="1:30" ht="15.75" thickBot="1">
      <c r="A6" s="360"/>
      <c r="B6" s="361"/>
      <c r="C6" s="3726" t="s">
        <v>1675</v>
      </c>
      <c r="D6" s="3727"/>
      <c r="E6" s="3729" t="s">
        <v>1675</v>
      </c>
      <c r="F6" s="3730"/>
      <c r="G6" s="3726" t="s">
        <v>1675</v>
      </c>
      <c r="H6" s="3727"/>
      <c r="I6" s="3726" t="s">
        <v>1675</v>
      </c>
      <c r="J6" s="3727"/>
      <c r="K6" s="559" t="s">
        <v>1676</v>
      </c>
      <c r="L6" s="2711"/>
      <c r="M6" s="2712"/>
      <c r="N6" s="2712"/>
      <c r="O6" s="2712"/>
      <c r="P6" s="3793"/>
      <c r="Q6" s="3744"/>
      <c r="R6" s="3720"/>
      <c r="S6" s="3721"/>
      <c r="T6" s="3745"/>
      <c r="U6" s="3746"/>
      <c r="V6" s="3748"/>
      <c r="W6" s="3748"/>
      <c r="X6" s="1353"/>
      <c r="Y6" s="3745"/>
      <c r="Z6" s="3746"/>
      <c r="AA6" s="3715"/>
      <c r="AB6" s="3715"/>
      <c r="AC6" s="3715"/>
    </row>
    <row r="7" spans="1:30" s="108" customFormat="1" ht="15.75" thickBot="1">
      <c r="A7" s="362" t="s">
        <v>1677</v>
      </c>
      <c r="B7" s="363"/>
      <c r="C7" s="364">
        <f>'数据-取费表'!B2</f>
        <v>45498</v>
      </c>
      <c r="D7" s="365">
        <v>100</v>
      </c>
      <c r="E7" s="366"/>
      <c r="F7" s="367">
        <f>SUMIF(69:69,YEAR(E7)&amp;"-"&amp;INT((MONTH(E7)+2)/3),70:70)</f>
        <v>0</v>
      </c>
      <c r="G7" s="1972"/>
      <c r="H7" s="365">
        <f>SUMIF(69:69,YEAR(G7)&amp;"-"&amp;INT((MONTH(G7)+2)/3),70:70)</f>
        <v>0</v>
      </c>
      <c r="I7" s="1972"/>
      <c r="J7" s="365">
        <f>SUMIF(69:69,YEAR(I7)&amp;"-"&amp;INT((MONTH(I7)+2)/3),70:70)</f>
        <v>0</v>
      </c>
      <c r="K7" s="560"/>
      <c r="L7" s="2713"/>
      <c r="M7" s="2714"/>
      <c r="N7" s="2714"/>
      <c r="O7" s="2714"/>
      <c r="P7" s="3716" t="s">
        <v>1678</v>
      </c>
      <c r="Q7" s="3751"/>
      <c r="R7" s="700" t="s">
        <v>14</v>
      </c>
      <c r="S7" s="701">
        <f t="shared" ref="S7:S15" si="0">F7</f>
        <v>0</v>
      </c>
      <c r="T7" s="700" t="s">
        <v>14</v>
      </c>
      <c r="U7" s="701">
        <f t="shared" ref="U7:U15" si="1">H7</f>
        <v>0</v>
      </c>
      <c r="V7" s="700" t="s">
        <v>14</v>
      </c>
      <c r="W7" s="701">
        <f t="shared" ref="W7:W15" si="2">J7</f>
        <v>0</v>
      </c>
      <c r="X7" s="702"/>
      <c r="Y7" s="3716" t="s">
        <v>1678</v>
      </c>
      <c r="Z7" s="3717"/>
      <c r="AA7" s="703" t="e">
        <f>D7/F7</f>
        <v>#DIV/0!</v>
      </c>
      <c r="AB7" s="703" t="e">
        <f>D7/H7</f>
        <v>#DIV/0!</v>
      </c>
      <c r="AC7" s="703"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716" t="s">
        <v>1681</v>
      </c>
      <c r="Q8" s="3717"/>
      <c r="R8" s="700" t="s">
        <v>14</v>
      </c>
      <c r="S8" s="701">
        <f t="shared" si="0"/>
        <v>0</v>
      </c>
      <c r="T8" s="700" t="s">
        <v>14</v>
      </c>
      <c r="U8" s="701">
        <f t="shared" si="1"/>
        <v>0</v>
      </c>
      <c r="V8" s="700" t="s">
        <v>14</v>
      </c>
      <c r="W8" s="701">
        <f t="shared" si="2"/>
        <v>0</v>
      </c>
      <c r="X8" s="702"/>
      <c r="Y8" s="3716" t="s">
        <v>1681</v>
      </c>
      <c r="Z8" s="3717"/>
      <c r="AA8" s="703" t="e">
        <f t="shared" ref="AA8:AA45" si="3">D8/F8</f>
        <v>#DIV/0!</v>
      </c>
      <c r="AB8" s="703" t="e">
        <f t="shared" ref="AB8:AB45" si="4">D8/H8</f>
        <v>#DIV/0!</v>
      </c>
      <c r="AC8" s="703" t="e">
        <f t="shared" ref="AC8:AC45" si="5">D8/J8</f>
        <v>#DIV/0!</v>
      </c>
    </row>
    <row r="9" spans="1:30" s="108" customFormat="1">
      <c r="A9" s="369" t="s">
        <v>1682</v>
      </c>
      <c r="B9" s="63" t="s">
        <v>1683</v>
      </c>
      <c r="C9" s="1975"/>
      <c r="D9" s="126">
        <v>100</v>
      </c>
      <c r="E9" s="1975"/>
      <c r="F9" s="126">
        <f>SUMIF(74:74,E9,75:75)-SUMIF(74:74,C9,75:75)+100</f>
        <v>100</v>
      </c>
      <c r="G9" s="1975"/>
      <c r="H9" s="126">
        <f>SUMIF(74:74,G9,75:75)-SUMIF(74:74,C9,75:75)+100</f>
        <v>100</v>
      </c>
      <c r="I9" s="1975"/>
      <c r="J9" s="126">
        <f>SUMIF(74:74,I9,75:75)-SUMIF(74:74,C9,75:75)+100</f>
        <v>100</v>
      </c>
      <c r="K9" s="560"/>
      <c r="L9" s="2713"/>
      <c r="M9" s="2714"/>
      <c r="N9" s="2714"/>
      <c r="O9" s="2768"/>
      <c r="P9" s="3761" t="s">
        <v>1684</v>
      </c>
      <c r="Q9" s="1341" t="str">
        <f t="shared" ref="Q9:Q15" si="6">B9</f>
        <v>用途</v>
      </c>
      <c r="R9" s="700" t="s">
        <v>14</v>
      </c>
      <c r="S9" s="701">
        <f t="shared" si="0"/>
        <v>100</v>
      </c>
      <c r="T9" s="700" t="s">
        <v>14</v>
      </c>
      <c r="U9" s="701">
        <f t="shared" si="1"/>
        <v>100</v>
      </c>
      <c r="V9" s="700" t="s">
        <v>14</v>
      </c>
      <c r="W9" s="701">
        <f t="shared" si="2"/>
        <v>100</v>
      </c>
      <c r="X9" s="702"/>
      <c r="Y9" s="3681" t="s">
        <v>1685</v>
      </c>
      <c r="Z9" s="52" t="str">
        <f t="shared" ref="Z9:Z15" si="7">Q9</f>
        <v>用途</v>
      </c>
      <c r="AA9" s="703">
        <f t="shared" si="3"/>
        <v>1</v>
      </c>
      <c r="AB9" s="703">
        <f t="shared" si="4"/>
        <v>1</v>
      </c>
      <c r="AC9" s="703">
        <f t="shared" si="5"/>
        <v>1</v>
      </c>
    </row>
    <row r="10" spans="1:30" s="378" customFormat="1" ht="27">
      <c r="A10" s="374"/>
      <c r="B10" s="375" t="s">
        <v>1686</v>
      </c>
      <c r="C10" s="383"/>
      <c r="D10" s="127">
        <v>100</v>
      </c>
      <c r="E10" s="416"/>
      <c r="F10" s="127">
        <f>ROUND(100/'数据-取费表'!G16,0)</f>
        <v>132</v>
      </c>
      <c r="G10" s="414"/>
      <c r="H10" s="127">
        <f>ROUND(100/'数据-取费表'!G16,0)</f>
        <v>132</v>
      </c>
      <c r="I10" s="414"/>
      <c r="J10" s="127">
        <f>ROUND(100/'数据-取费表'!G16,0)</f>
        <v>132</v>
      </c>
      <c r="K10" s="619"/>
      <c r="L10" s="2715"/>
      <c r="M10" s="2716"/>
      <c r="N10" s="2716"/>
      <c r="O10" s="2769"/>
      <c r="P10" s="3761"/>
      <c r="Q10" s="1341" t="str">
        <f t="shared" si="6"/>
        <v>土地使用年限（年）</v>
      </c>
      <c r="R10" s="700" t="s">
        <v>14</v>
      </c>
      <c r="S10" s="701">
        <f t="shared" si="0"/>
        <v>132</v>
      </c>
      <c r="T10" s="700" t="s">
        <v>14</v>
      </c>
      <c r="U10" s="701">
        <f t="shared" si="1"/>
        <v>132</v>
      </c>
      <c r="V10" s="700" t="s">
        <v>14</v>
      </c>
      <c r="W10" s="701">
        <f t="shared" si="2"/>
        <v>132</v>
      </c>
      <c r="X10" s="702"/>
      <c r="Y10" s="3681"/>
      <c r="Z10" s="52" t="str">
        <f t="shared" si="7"/>
        <v>土地使用年限（年）</v>
      </c>
      <c r="AA10" s="703">
        <f t="shared" si="3"/>
        <v>0.75757575757575757</v>
      </c>
      <c r="AB10" s="703">
        <f t="shared" si="4"/>
        <v>0.75757575757575757</v>
      </c>
      <c r="AC10" s="703">
        <f t="shared" si="5"/>
        <v>0.75757575757575757</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17"/>
      <c r="M11" s="2712"/>
      <c r="N11" s="2712"/>
      <c r="O11" s="2770"/>
      <c r="P11" s="3761"/>
      <c r="Q11" s="1341" t="str">
        <f t="shared" si="6"/>
        <v>容积率</v>
      </c>
      <c r="R11" s="700" t="s">
        <v>14</v>
      </c>
      <c r="S11" s="701" t="e">
        <f t="shared" si="0"/>
        <v>#N/A</v>
      </c>
      <c r="T11" s="700" t="s">
        <v>14</v>
      </c>
      <c r="U11" s="701" t="e">
        <f t="shared" si="1"/>
        <v>#N/A</v>
      </c>
      <c r="V11" s="700" t="s">
        <v>14</v>
      </c>
      <c r="W11" s="701" t="e">
        <f t="shared" si="2"/>
        <v>#N/A</v>
      </c>
      <c r="X11" s="702"/>
      <c r="Y11" s="3681"/>
      <c r="Z11" s="52" t="str">
        <f t="shared" si="7"/>
        <v>容积率</v>
      </c>
      <c r="AA11" s="703" t="e">
        <f t="shared" si="3"/>
        <v>#N/A</v>
      </c>
      <c r="AB11" s="703" t="e">
        <f t="shared" si="4"/>
        <v>#N/A</v>
      </c>
      <c r="AC11" s="703" t="e">
        <f t="shared" si="5"/>
        <v>#N/A</v>
      </c>
    </row>
    <row r="12" spans="1:30" s="108" customFormat="1" ht="15">
      <c r="A12" s="382"/>
      <c r="B12" s="1891" t="s">
        <v>1868</v>
      </c>
      <c r="C12" s="383"/>
      <c r="D12" s="384">
        <v>100</v>
      </c>
      <c r="E12" s="416"/>
      <c r="F12" s="127">
        <f>SUMIF(81:81,E12,82:82)-SUMIF(81:81,C12,82:82)+100</f>
        <v>100</v>
      </c>
      <c r="G12" s="414"/>
      <c r="H12" s="127">
        <f>SUMIF(81:81,G12,82:82)-SUMIF(81:81,C12,82:82)+100</f>
        <v>100</v>
      </c>
      <c r="I12" s="416"/>
      <c r="J12" s="127">
        <f>SUMIF(81:81,I12,82:82)-SUMIF(81:81,C12,82:82)+100</f>
        <v>100</v>
      </c>
      <c r="K12" s="619"/>
      <c r="L12" s="2713"/>
      <c r="M12" s="2714"/>
      <c r="N12" s="2714"/>
      <c r="O12" s="2768"/>
      <c r="P12" s="3761"/>
      <c r="Q12" s="1341" t="str">
        <f t="shared" si="6"/>
        <v>配建</v>
      </c>
      <c r="R12" s="700" t="s">
        <v>14</v>
      </c>
      <c r="S12" s="701">
        <f t="shared" si="0"/>
        <v>100</v>
      </c>
      <c r="T12" s="700" t="s">
        <v>14</v>
      </c>
      <c r="U12" s="701">
        <f t="shared" si="1"/>
        <v>100</v>
      </c>
      <c r="V12" s="700" t="s">
        <v>14</v>
      </c>
      <c r="W12" s="701">
        <f t="shared" si="2"/>
        <v>100</v>
      </c>
      <c r="X12" s="702"/>
      <c r="Y12" s="3681"/>
      <c r="Z12" s="52" t="str">
        <f t="shared" si="7"/>
        <v>配建</v>
      </c>
      <c r="AA12" s="703">
        <f>D12/F12</f>
        <v>1</v>
      </c>
      <c r="AB12" s="703">
        <f>D12/H12</f>
        <v>1</v>
      </c>
      <c r="AC12" s="703">
        <f>D12/J12</f>
        <v>1</v>
      </c>
    </row>
    <row r="13" spans="1:30" ht="15">
      <c r="A13" s="379"/>
      <c r="B13" s="1891">
        <v>111</v>
      </c>
      <c r="C13" s="385"/>
      <c r="D13" s="386">
        <v>100</v>
      </c>
      <c r="E13" s="498"/>
      <c r="F13" s="127">
        <f>SUMIF(83:83,E13,84:84)-SUMIF(83:83,C13,84:84)+100</f>
        <v>100</v>
      </c>
      <c r="G13" s="621"/>
      <c r="H13" s="386">
        <f>SUMIF(83:83,G13,84:84)-SUMIF(83:83,C13,84:84)+100</f>
        <v>100</v>
      </c>
      <c r="I13" s="621"/>
      <c r="J13" s="386">
        <f>SUMIF(83:83,I13,84:84)-SUMIF(83:83,C13,84:84)+100</f>
        <v>100</v>
      </c>
      <c r="K13" s="619"/>
      <c r="L13" s="2718"/>
      <c r="M13" s="2712"/>
      <c r="N13" s="2712"/>
      <c r="O13" s="2770"/>
      <c r="P13" s="3761"/>
      <c r="Q13" s="1341">
        <f t="shared" si="6"/>
        <v>111</v>
      </c>
      <c r="R13" s="700" t="s">
        <v>14</v>
      </c>
      <c r="S13" s="701">
        <f t="shared" si="0"/>
        <v>100</v>
      </c>
      <c r="T13" s="700" t="s">
        <v>14</v>
      </c>
      <c r="U13" s="701">
        <f t="shared" si="1"/>
        <v>100</v>
      </c>
      <c r="V13" s="700" t="s">
        <v>14</v>
      </c>
      <c r="W13" s="701">
        <f t="shared" si="2"/>
        <v>100</v>
      </c>
      <c r="X13" s="702"/>
      <c r="Y13" s="3681"/>
      <c r="Z13" s="52">
        <f t="shared" si="7"/>
        <v>111</v>
      </c>
      <c r="AA13" s="703">
        <f>D13/F13</f>
        <v>1</v>
      </c>
      <c r="AB13" s="703">
        <f>D13/H13</f>
        <v>1</v>
      </c>
      <c r="AC13" s="703">
        <f>D13/J13</f>
        <v>1</v>
      </c>
    </row>
    <row r="14" spans="1:30" ht="15.75" thickBot="1">
      <c r="A14" s="387"/>
      <c r="B14" s="1893">
        <v>111</v>
      </c>
      <c r="C14" s="388"/>
      <c r="D14" s="389">
        <v>100</v>
      </c>
      <c r="E14" s="498"/>
      <c r="F14" s="389">
        <f>SUMIF(85:85,E14,86:86)-SUMIF(85:85,C14,86:86)+100</f>
        <v>100</v>
      </c>
      <c r="G14" s="621"/>
      <c r="H14" s="389">
        <f>SUMIF(85:85,G14,86:86)-SUMIF(85:85,C14,86:86)+100</f>
        <v>100</v>
      </c>
      <c r="I14" s="621"/>
      <c r="J14" s="389">
        <f>SUMIF(85:85,I14,86:86)-SUMIF(85:85,C14,86:86)+100</f>
        <v>100</v>
      </c>
      <c r="K14" s="619"/>
      <c r="L14" s="2718"/>
      <c r="M14" s="2712"/>
      <c r="N14" s="2712"/>
      <c r="O14" s="2770"/>
      <c r="P14" s="3761"/>
      <c r="Q14" s="1341">
        <f t="shared" si="6"/>
        <v>111</v>
      </c>
      <c r="R14" s="700" t="s">
        <v>14</v>
      </c>
      <c r="S14" s="701">
        <f t="shared" si="0"/>
        <v>100</v>
      </c>
      <c r="T14" s="700" t="s">
        <v>14</v>
      </c>
      <c r="U14" s="701">
        <f t="shared" si="1"/>
        <v>100</v>
      </c>
      <c r="V14" s="700" t="s">
        <v>14</v>
      </c>
      <c r="W14" s="701">
        <f t="shared" si="2"/>
        <v>100</v>
      </c>
      <c r="X14" s="702"/>
      <c r="Y14" s="3681"/>
      <c r="Z14" s="52">
        <f t="shared" si="7"/>
        <v>111</v>
      </c>
      <c r="AA14" s="703">
        <f>D14/F14</f>
        <v>1</v>
      </c>
      <c r="AB14" s="703">
        <f>D14/H14</f>
        <v>1</v>
      </c>
      <c r="AC14" s="703">
        <f>D14/J14</f>
        <v>1</v>
      </c>
    </row>
    <row r="15" spans="1:30" ht="15">
      <c r="A15" s="391" t="s">
        <v>1688</v>
      </c>
      <c r="B15" s="61" t="s">
        <v>1255</v>
      </c>
      <c r="C15" s="1894">
        <f>估价对象房地状况!C15</f>
        <v>0</v>
      </c>
      <c r="D15" s="392">
        <v>100</v>
      </c>
      <c r="E15" s="393"/>
      <c r="F15" s="392">
        <f>SUMIF(87:87,E16,88:88)-SUMIF(87:87,C16,88:88)+100</f>
        <v>100</v>
      </c>
      <c r="G15" s="393"/>
      <c r="H15" s="392">
        <f>SUMIF(87:87,G16,88:88)-SUMIF(87:87,C16,88:88)+100</f>
        <v>100</v>
      </c>
      <c r="I15" s="395"/>
      <c r="J15" s="392">
        <f>SUMIF(87:87,I16,88:88)-SUMIF(87:87,C16,88:88)+100</f>
        <v>100</v>
      </c>
      <c r="K15" s="620"/>
      <c r="L15" s="2718"/>
      <c r="M15" s="2712"/>
      <c r="N15" s="2712"/>
      <c r="O15" s="2770"/>
      <c r="P15" s="3754" t="s">
        <v>1689</v>
      </c>
      <c r="Q15" s="1350" t="str">
        <f t="shared" si="6"/>
        <v>居住社区成熟度</v>
      </c>
      <c r="R15" s="704" t="s">
        <v>14</v>
      </c>
      <c r="S15" s="705">
        <f t="shared" si="0"/>
        <v>100</v>
      </c>
      <c r="T15" s="704" t="s">
        <v>14</v>
      </c>
      <c r="U15" s="705">
        <f t="shared" si="1"/>
        <v>100</v>
      </c>
      <c r="V15" s="704" t="s">
        <v>14</v>
      </c>
      <c r="W15" s="705">
        <f t="shared" si="2"/>
        <v>100</v>
      </c>
      <c r="X15" s="1353"/>
      <c r="Y15" s="3754" t="s">
        <v>1689</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19"/>
      <c r="L16" s="2718"/>
      <c r="M16" s="2712"/>
      <c r="N16" s="2712"/>
      <c r="O16" s="2770"/>
      <c r="P16" s="3755"/>
      <c r="Q16" s="1350"/>
      <c r="R16" s="704"/>
      <c r="S16" s="705"/>
      <c r="T16" s="704"/>
      <c r="U16" s="705"/>
      <c r="V16" s="704"/>
      <c r="W16" s="705"/>
      <c r="X16" s="1353"/>
      <c r="Y16" s="3755"/>
      <c r="Z16" s="1354"/>
      <c r="AA16" s="1351">
        <v>1</v>
      </c>
      <c r="AB16" s="1351">
        <v>1</v>
      </c>
      <c r="AC16" s="1351">
        <v>1</v>
      </c>
    </row>
    <row r="17" spans="1:29" ht="114">
      <c r="A17" s="379"/>
      <c r="B17" s="402" t="s">
        <v>1775</v>
      </c>
      <c r="C17" s="1953" t="str">
        <f>估价对象房地状况!C16</f>
        <v>估价对象位于西直门商圈，周边商业氛围成熟，有凯德MALL、华联购物中心等，人流量较大，商业繁华度较好</v>
      </c>
      <c r="D17" s="401">
        <v>100</v>
      </c>
      <c r="E17" s="403"/>
      <c r="F17" s="401">
        <f>SUMIF(89:89,E18,90:90)-SUMIF(89:89,C18,90:90)+100</f>
        <v>100</v>
      </c>
      <c r="G17" s="403"/>
      <c r="H17" s="406">
        <f>SUMIF(89:89,G18,90:90)-SUMIF(89:89,C18,90:90)+100</f>
        <v>100</v>
      </c>
      <c r="I17" s="405"/>
      <c r="J17" s="406">
        <f>SUMIF(89:89,I18,90:90)-SUMIF(89:89,C18,90:90)+100</f>
        <v>100</v>
      </c>
      <c r="K17" s="620"/>
      <c r="L17" s="2718"/>
      <c r="M17" s="2712"/>
      <c r="N17" s="2712"/>
      <c r="O17" s="2770"/>
      <c r="P17" s="3755"/>
      <c r="Q17" s="1350" t="str">
        <f>B17</f>
        <v>商业繁华度</v>
      </c>
      <c r="R17" s="704" t="s">
        <v>14</v>
      </c>
      <c r="S17" s="705">
        <f>F17</f>
        <v>100</v>
      </c>
      <c r="T17" s="704" t="s">
        <v>14</v>
      </c>
      <c r="U17" s="705">
        <f>H17</f>
        <v>100</v>
      </c>
      <c r="V17" s="704" t="s">
        <v>14</v>
      </c>
      <c r="W17" s="705">
        <f>J17</f>
        <v>100</v>
      </c>
      <c r="X17" s="1353"/>
      <c r="Y17" s="3755"/>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19"/>
      <c r="L18" s="2718"/>
      <c r="M18" s="2712"/>
      <c r="N18" s="2712"/>
      <c r="O18" s="2770"/>
      <c r="P18" s="3755"/>
      <c r="Q18" s="1350"/>
      <c r="R18" s="704"/>
      <c r="S18" s="705"/>
      <c r="T18" s="704"/>
      <c r="U18" s="705"/>
      <c r="V18" s="704"/>
      <c r="W18" s="705"/>
      <c r="X18" s="1353"/>
      <c r="Y18" s="3755"/>
      <c r="Z18" s="1354"/>
      <c r="AA18" s="1351">
        <v>1</v>
      </c>
      <c r="AB18" s="1351">
        <v>1</v>
      </c>
      <c r="AC18" s="1351">
        <v>1</v>
      </c>
    </row>
    <row r="19" spans="1:29" ht="99.75">
      <c r="A19" s="379"/>
      <c r="B19" s="402" t="s">
        <v>1809</v>
      </c>
      <c r="C19" s="1953" t="str">
        <f>估价对象房地状况!C17</f>
        <v>估价对象周边办公楼项目较多，有金泰鑫侨大厦、阳光大厦、德宝大厦，入驻率较高，办公集聚程度较好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18"/>
      <c r="M19" s="2712"/>
      <c r="N19" s="2712"/>
      <c r="O19" s="2770"/>
      <c r="P19" s="3755"/>
      <c r="Q19" s="1350" t="str">
        <f>B19</f>
        <v>办公集聚程度</v>
      </c>
      <c r="R19" s="704" t="s">
        <v>14</v>
      </c>
      <c r="S19" s="705">
        <f>F19</f>
        <v>100</v>
      </c>
      <c r="T19" s="704" t="s">
        <v>14</v>
      </c>
      <c r="U19" s="705">
        <f>H19</f>
        <v>100</v>
      </c>
      <c r="V19" s="704" t="s">
        <v>14</v>
      </c>
      <c r="W19" s="705">
        <f>J19</f>
        <v>100</v>
      </c>
      <c r="X19" s="1353"/>
      <c r="Y19" s="3755"/>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19"/>
      <c r="L20" s="2718"/>
      <c r="M20" s="2712"/>
      <c r="N20" s="2712"/>
      <c r="O20" s="2770"/>
      <c r="P20" s="3755"/>
      <c r="Q20" s="1350"/>
      <c r="R20" s="704"/>
      <c r="S20" s="705"/>
      <c r="T20" s="704"/>
      <c r="U20" s="705"/>
      <c r="V20" s="704"/>
      <c r="W20" s="705"/>
      <c r="X20" s="1353"/>
      <c r="Y20" s="3755"/>
      <c r="Z20" s="1354"/>
      <c r="AA20" s="1351">
        <v>1</v>
      </c>
      <c r="AB20" s="1351">
        <v>1</v>
      </c>
      <c r="AC20" s="1351">
        <v>1</v>
      </c>
    </row>
    <row r="21" spans="1:29" ht="142.5">
      <c r="A21" s="379"/>
      <c r="B21" s="402" t="s">
        <v>1831</v>
      </c>
      <c r="C21" s="1898" t="str">
        <f>估价对象房地状况!C18</f>
        <v>估价对象周边道路状况较好、有7、16、105等公交线路及地铁2、4号线经过，公共交通通达情况较好、停车便捷程度一般，综合评价交通便捷度较好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18"/>
      <c r="M21" s="2712"/>
      <c r="N21" s="2712"/>
      <c r="O21" s="2770"/>
      <c r="P21" s="3755"/>
      <c r="Q21" s="1350" t="str">
        <f>B21</f>
        <v>交通便捷度</v>
      </c>
      <c r="R21" s="704" t="s">
        <v>14</v>
      </c>
      <c r="S21" s="705">
        <f>F21</f>
        <v>100</v>
      </c>
      <c r="T21" s="704" t="s">
        <v>14</v>
      </c>
      <c r="U21" s="705">
        <f>H21</f>
        <v>100</v>
      </c>
      <c r="V21" s="704" t="s">
        <v>14</v>
      </c>
      <c r="W21" s="705">
        <f>J21</f>
        <v>100</v>
      </c>
      <c r="X21" s="1353"/>
      <c r="Y21" s="3755"/>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19"/>
      <c r="L22" s="2718"/>
      <c r="M22" s="2712"/>
      <c r="N22" s="2712"/>
      <c r="O22" s="2770"/>
      <c r="P22" s="3755"/>
      <c r="Q22" s="1350"/>
      <c r="R22" s="704"/>
      <c r="S22" s="705"/>
      <c r="T22" s="704"/>
      <c r="U22" s="705"/>
      <c r="V22" s="704"/>
      <c r="W22" s="705"/>
      <c r="X22" s="1353"/>
      <c r="Y22" s="3755"/>
      <c r="Z22" s="1354"/>
      <c r="AA22" s="1351">
        <v>1</v>
      </c>
      <c r="AB22" s="1351">
        <v>1</v>
      </c>
      <c r="AC22" s="1351">
        <v>1</v>
      </c>
    </row>
    <row r="23" spans="1:29" ht="15">
      <c r="A23" s="358"/>
      <c r="B23" s="402" t="s">
        <v>1869</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18"/>
      <c r="M23" s="2712"/>
      <c r="N23" s="2712"/>
      <c r="O23" s="2770"/>
      <c r="P23" s="3755"/>
      <c r="Q23" s="1350" t="str">
        <f t="shared" ref="Q23:Q37" si="8">B23</f>
        <v>区域土地利用方向</v>
      </c>
      <c r="R23" s="704" t="s">
        <v>14</v>
      </c>
      <c r="S23" s="705">
        <f>F23</f>
        <v>100</v>
      </c>
      <c r="T23" s="704" t="s">
        <v>14</v>
      </c>
      <c r="U23" s="705">
        <f>H23</f>
        <v>100</v>
      </c>
      <c r="V23" s="704" t="s">
        <v>14</v>
      </c>
      <c r="W23" s="705">
        <f>J23</f>
        <v>100</v>
      </c>
      <c r="X23" s="1353"/>
      <c r="Y23" s="3755"/>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9"/>
      <c r="L24" s="2718"/>
      <c r="M24" s="2712"/>
      <c r="N24" s="2712"/>
      <c r="O24" s="2770"/>
      <c r="P24" s="3755"/>
      <c r="Q24" s="1350"/>
      <c r="R24" s="704"/>
      <c r="S24" s="705"/>
      <c r="T24" s="704"/>
      <c r="U24" s="705"/>
      <c r="V24" s="704"/>
      <c r="W24" s="705"/>
      <c r="X24" s="1353"/>
      <c r="Y24" s="3755"/>
      <c r="Z24" s="1354"/>
      <c r="AA24" s="1351"/>
      <c r="AB24" s="1351"/>
      <c r="AC24" s="1351"/>
    </row>
    <row r="25" spans="1:29" ht="99.75">
      <c r="A25" s="358"/>
      <c r="B25" s="1129" t="s">
        <v>1870</v>
      </c>
      <c r="C25" s="1953" t="str">
        <f>估价对象房地状况!C20</f>
        <v>区域自然环境：北京动物园、官园公园；人文环境：北京天文馆、北京建筑大学；综合评价环境状况较好</v>
      </c>
      <c r="D25" s="401">
        <v>100</v>
      </c>
      <c r="E25" s="403"/>
      <c r="F25" s="401">
        <f>SUMIF(97:97,E26,98:98)-SUMIF(97:97,C26,98:98)+100</f>
        <v>100</v>
      </c>
      <c r="G25" s="403"/>
      <c r="H25" s="401">
        <f>SUMIF(97:97,G26,98:98)-SUMIF(97:97,C26,98:98)+100</f>
        <v>100</v>
      </c>
      <c r="I25" s="405"/>
      <c r="J25" s="401">
        <f>SUMIF(97:97,I26,98:98)-SUMIF(97:97,C26,98:98)+100</f>
        <v>100</v>
      </c>
      <c r="K25" s="620"/>
      <c r="L25" s="2718"/>
      <c r="M25" s="2712"/>
      <c r="N25" s="2712"/>
      <c r="O25" s="2770"/>
      <c r="P25" s="3755"/>
      <c r="Q25" s="1350" t="str">
        <f t="shared" si="8"/>
        <v>自然及人文环境状况</v>
      </c>
      <c r="R25" s="704" t="s">
        <v>14</v>
      </c>
      <c r="S25" s="705">
        <f>F25</f>
        <v>100</v>
      </c>
      <c r="T25" s="704" t="s">
        <v>14</v>
      </c>
      <c r="U25" s="705">
        <f>H25</f>
        <v>100</v>
      </c>
      <c r="V25" s="704" t="s">
        <v>14</v>
      </c>
      <c r="W25" s="705">
        <f>J25</f>
        <v>100</v>
      </c>
      <c r="X25" s="1353"/>
      <c r="Y25" s="3755"/>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19"/>
      <c r="L26" s="2718"/>
      <c r="M26" s="2712"/>
      <c r="N26" s="2712"/>
      <c r="O26" s="2770"/>
      <c r="P26" s="3755"/>
      <c r="Q26" s="1350"/>
      <c r="R26" s="704"/>
      <c r="S26" s="705"/>
      <c r="T26" s="704"/>
      <c r="U26" s="705"/>
      <c r="V26" s="704"/>
      <c r="W26" s="705"/>
      <c r="X26" s="1353"/>
      <c r="Y26" s="3755"/>
      <c r="Z26" s="1354"/>
      <c r="AA26" s="1351">
        <v>1</v>
      </c>
      <c r="AB26" s="1351">
        <v>1</v>
      </c>
      <c r="AC26" s="1351">
        <v>1</v>
      </c>
    </row>
    <row r="27" spans="1:29" s="108" customFormat="1" ht="42.75">
      <c r="A27" s="596"/>
      <c r="B27" s="1129" t="s">
        <v>1776</v>
      </c>
      <c r="C27" s="1898" t="str">
        <f>估价对象房地状况!C21</f>
        <v>估价对象所在区域公共配套设施齐备情况较好</v>
      </c>
      <c r="D27" s="401">
        <v>100</v>
      </c>
      <c r="E27" s="403"/>
      <c r="F27" s="401">
        <f>SUMIF(99:99,E28,100:100)-SUMIF(99:99,C28,100:100)+100</f>
        <v>100</v>
      </c>
      <c r="G27" s="403"/>
      <c r="H27" s="401">
        <f>SUMIF(99:99,G28,100:100)-SUMIF(99:99,C28,100:100)+100</f>
        <v>100</v>
      </c>
      <c r="I27" s="405"/>
      <c r="J27" s="401">
        <f>SUMIF(99:99,I28,100:100)-SUMIF(99:99,C28,100:100)+100</f>
        <v>100</v>
      </c>
      <c r="K27" s="620"/>
      <c r="L27" s="2713"/>
      <c r="M27" s="2714"/>
      <c r="N27" s="2714"/>
      <c r="O27" s="2768"/>
      <c r="P27" s="3755"/>
      <c r="Q27" s="1341" t="str">
        <f t="shared" si="8"/>
        <v>公共配套设施</v>
      </c>
      <c r="R27" s="700" t="s">
        <v>14</v>
      </c>
      <c r="S27" s="701">
        <f>F27</f>
        <v>100</v>
      </c>
      <c r="T27" s="700" t="s">
        <v>14</v>
      </c>
      <c r="U27" s="701">
        <f>H27</f>
        <v>100</v>
      </c>
      <c r="V27" s="700" t="s">
        <v>14</v>
      </c>
      <c r="W27" s="701">
        <f>J27</f>
        <v>100</v>
      </c>
      <c r="X27" s="702"/>
      <c r="Y27" s="3755"/>
      <c r="Z27" s="52" t="str">
        <f>Q27</f>
        <v>公共配套设施</v>
      </c>
      <c r="AA27" s="1351">
        <f>D27/F27</f>
        <v>1</v>
      </c>
      <c r="AB27" s="1351">
        <f>D27/H27</f>
        <v>1</v>
      </c>
      <c r="AC27" s="1351">
        <f>D27/J27</f>
        <v>1</v>
      </c>
    </row>
    <row r="28" spans="1:29" s="108" customFormat="1" ht="15">
      <c r="A28" s="596"/>
      <c r="B28" s="407"/>
      <c r="C28" s="1976"/>
      <c r="D28" s="399"/>
      <c r="E28" s="1902"/>
      <c r="F28" s="399"/>
      <c r="G28" s="1902"/>
      <c r="H28" s="399"/>
      <c r="I28" s="398"/>
      <c r="J28" s="399"/>
      <c r="K28" s="619"/>
      <c r="L28" s="2713"/>
      <c r="M28" s="2714"/>
      <c r="N28" s="2714"/>
      <c r="O28" s="2768"/>
      <c r="P28" s="3755"/>
      <c r="Q28" s="1341"/>
      <c r="R28" s="700"/>
      <c r="S28" s="701"/>
      <c r="T28" s="700"/>
      <c r="U28" s="701"/>
      <c r="V28" s="700"/>
      <c r="W28" s="701"/>
      <c r="X28" s="702"/>
      <c r="Y28" s="3755"/>
      <c r="Z28" s="52"/>
      <c r="AA28" s="1351">
        <v>1</v>
      </c>
      <c r="AB28" s="1351">
        <v>1</v>
      </c>
      <c r="AC28" s="1351">
        <v>1</v>
      </c>
    </row>
    <row r="29" spans="1:29" s="108" customFormat="1" ht="42.75">
      <c r="A29" s="596"/>
      <c r="B29" s="1129" t="s">
        <v>1777</v>
      </c>
      <c r="C29" s="1898" t="str">
        <f>估价对象房地状况!C22</f>
        <v>估价对象所在区域基础设施水平七通</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3"/>
      <c r="M29" s="2714"/>
      <c r="N29" s="2714"/>
      <c r="O29" s="2768"/>
      <c r="P29" s="3755"/>
      <c r="Q29" s="1341" t="str">
        <f t="shared" ref="Q29" si="9">B29</f>
        <v>基础设施水平</v>
      </c>
      <c r="R29" s="700" t="s">
        <v>14</v>
      </c>
      <c r="S29" s="701">
        <f>F29</f>
        <v>100</v>
      </c>
      <c r="T29" s="700" t="s">
        <v>14</v>
      </c>
      <c r="U29" s="701">
        <f>H29</f>
        <v>100</v>
      </c>
      <c r="V29" s="700" t="s">
        <v>14</v>
      </c>
      <c r="W29" s="701">
        <f>J29</f>
        <v>100</v>
      </c>
      <c r="X29" s="702"/>
      <c r="Y29" s="3755"/>
      <c r="Z29" s="52" t="str">
        <f>Q29</f>
        <v>基础设施水平</v>
      </c>
      <c r="AA29" s="1351">
        <f>D29/F29</f>
        <v>1</v>
      </c>
      <c r="AB29" s="1351">
        <f>D29/H29</f>
        <v>1</v>
      </c>
      <c r="AC29" s="1351">
        <f>D29/J29</f>
        <v>1</v>
      </c>
    </row>
    <row r="30" spans="1:29" s="108" customFormat="1" ht="15">
      <c r="A30" s="596"/>
      <c r="B30" s="407"/>
      <c r="C30" s="1976"/>
      <c r="D30" s="399"/>
      <c r="E30" s="1977"/>
      <c r="F30" s="399"/>
      <c r="G30" s="1977"/>
      <c r="H30" s="399"/>
      <c r="I30" s="1977"/>
      <c r="J30" s="399"/>
      <c r="K30" s="619"/>
      <c r="L30" s="2713"/>
      <c r="M30" s="2714"/>
      <c r="N30" s="2714"/>
      <c r="O30" s="2768"/>
      <c r="P30" s="3755"/>
      <c r="Q30" s="1341"/>
      <c r="R30" s="700"/>
      <c r="S30" s="701"/>
      <c r="T30" s="700"/>
      <c r="U30" s="701"/>
      <c r="V30" s="700"/>
      <c r="W30" s="701"/>
      <c r="X30" s="702"/>
      <c r="Y30" s="3755"/>
      <c r="Z30" s="52"/>
      <c r="AA30" s="1351">
        <v>1</v>
      </c>
      <c r="AB30" s="1351">
        <v>1</v>
      </c>
      <c r="AC30" s="1351">
        <v>1</v>
      </c>
    </row>
    <row r="31" spans="1:29" ht="15">
      <c r="A31" s="379"/>
      <c r="B31" s="407" t="s">
        <v>1778</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18"/>
      <c r="M31" s="2712"/>
      <c r="N31" s="2712"/>
      <c r="O31" s="2770"/>
      <c r="P31" s="3755"/>
      <c r="Q31" s="1350" t="str">
        <f t="shared" si="8"/>
        <v>临街状况</v>
      </c>
      <c r="R31" s="704" t="s">
        <v>14</v>
      </c>
      <c r="S31" s="705">
        <f t="shared" ref="S31:S45" si="10">F31</f>
        <v>100</v>
      </c>
      <c r="T31" s="704" t="s">
        <v>14</v>
      </c>
      <c r="U31" s="705">
        <f t="shared" ref="U31:U45" si="11">H31</f>
        <v>100</v>
      </c>
      <c r="V31" s="704" t="s">
        <v>14</v>
      </c>
      <c r="W31" s="705">
        <f t="shared" ref="W31:W45" si="12">J31</f>
        <v>100</v>
      </c>
      <c r="X31" s="1353"/>
      <c r="Y31" s="3755"/>
      <c r="Z31" s="1354" t="str">
        <f t="shared" ref="Z31:Z45" si="13">Q31</f>
        <v>临街状况</v>
      </c>
      <c r="AA31" s="1351">
        <f t="shared" si="3"/>
        <v>1</v>
      </c>
      <c r="AB31" s="1351">
        <f t="shared" si="4"/>
        <v>1</v>
      </c>
      <c r="AC31" s="1351">
        <f t="shared" si="5"/>
        <v>1</v>
      </c>
    </row>
    <row r="32" spans="1:29" ht="27">
      <c r="A32" s="379"/>
      <c r="B32" s="1129"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18"/>
      <c r="M32" s="2712"/>
      <c r="N32" s="2712"/>
      <c r="O32" s="2770"/>
      <c r="P32" s="3755"/>
      <c r="Q32" s="1350" t="str">
        <f t="shared" si="8"/>
        <v>毗邻道路的类型与等级</v>
      </c>
      <c r="R32" s="704" t="s">
        <v>14</v>
      </c>
      <c r="S32" s="705">
        <f t="shared" si="10"/>
        <v>100</v>
      </c>
      <c r="T32" s="704" t="s">
        <v>14</v>
      </c>
      <c r="U32" s="705">
        <f t="shared" si="11"/>
        <v>100</v>
      </c>
      <c r="V32" s="704" t="s">
        <v>14</v>
      </c>
      <c r="W32" s="705">
        <f t="shared" si="12"/>
        <v>100</v>
      </c>
      <c r="X32" s="1353"/>
      <c r="Y32" s="3755"/>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18"/>
      <c r="M33" s="2712"/>
      <c r="N33" s="2712"/>
      <c r="O33" s="2770"/>
      <c r="P33" s="3755"/>
      <c r="Q33" s="1350"/>
      <c r="R33" s="704"/>
      <c r="S33" s="705"/>
      <c r="T33" s="704"/>
      <c r="U33" s="705"/>
      <c r="V33" s="704"/>
      <c r="W33" s="705"/>
      <c r="X33" s="1353"/>
      <c r="Y33" s="3755"/>
      <c r="Z33" s="1354"/>
      <c r="AA33" s="1351">
        <v>1</v>
      </c>
      <c r="AB33" s="1351">
        <v>1</v>
      </c>
      <c r="AC33" s="1351">
        <v>1</v>
      </c>
    </row>
    <row r="34" spans="1:29" ht="15">
      <c r="A34" s="379"/>
      <c r="B34" s="375" t="s">
        <v>1871</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18"/>
      <c r="M34" s="2712"/>
      <c r="N34" s="2712"/>
      <c r="O34" s="2770"/>
      <c r="P34" s="3755"/>
      <c r="Q34" s="1350" t="str">
        <f t="shared" si="8"/>
        <v>土地级别</v>
      </c>
      <c r="R34" s="704" t="s">
        <v>14</v>
      </c>
      <c r="S34" s="705">
        <f t="shared" si="10"/>
        <v>100</v>
      </c>
      <c r="T34" s="704" t="s">
        <v>14</v>
      </c>
      <c r="U34" s="705">
        <f t="shared" si="11"/>
        <v>100</v>
      </c>
      <c r="V34" s="704" t="s">
        <v>14</v>
      </c>
      <c r="W34" s="705">
        <f t="shared" si="12"/>
        <v>100</v>
      </c>
      <c r="X34" s="1353"/>
      <c r="Y34" s="3755"/>
      <c r="Z34" s="1354" t="str">
        <f t="shared" si="13"/>
        <v>土地级别</v>
      </c>
      <c r="AA34" s="1351">
        <f t="shared" si="3"/>
        <v>1</v>
      </c>
      <c r="AB34" s="1351">
        <f t="shared" si="4"/>
        <v>1</v>
      </c>
      <c r="AC34" s="1351">
        <f t="shared" si="5"/>
        <v>1</v>
      </c>
    </row>
    <row r="35" spans="1:29" ht="15">
      <c r="A35" s="358"/>
      <c r="B35" s="1131">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18"/>
      <c r="M35" s="2712"/>
      <c r="N35" s="2712"/>
      <c r="O35" s="2770"/>
      <c r="P35" s="3755"/>
      <c r="Q35" s="1350">
        <f t="shared" si="8"/>
        <v>111</v>
      </c>
      <c r="R35" s="704" t="s">
        <v>14</v>
      </c>
      <c r="S35" s="705">
        <f t="shared" si="10"/>
        <v>100</v>
      </c>
      <c r="T35" s="704" t="s">
        <v>14</v>
      </c>
      <c r="U35" s="705">
        <f t="shared" si="11"/>
        <v>100</v>
      </c>
      <c r="V35" s="704" t="s">
        <v>14</v>
      </c>
      <c r="W35" s="705">
        <f t="shared" si="12"/>
        <v>100</v>
      </c>
      <c r="X35" s="1353"/>
      <c r="Y35" s="3755"/>
      <c r="Z35" s="1354">
        <f t="shared" si="13"/>
        <v>111</v>
      </c>
      <c r="AA35" s="1351">
        <f t="shared" si="3"/>
        <v>1</v>
      </c>
      <c r="AB35" s="1351">
        <f t="shared" si="4"/>
        <v>1</v>
      </c>
      <c r="AC35" s="1351">
        <f t="shared" si="5"/>
        <v>1</v>
      </c>
    </row>
    <row r="36" spans="1:29" ht="15">
      <c r="A36" s="622"/>
      <c r="B36" s="1132">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18"/>
      <c r="M36" s="2712"/>
      <c r="N36" s="2712"/>
      <c r="O36" s="2770"/>
      <c r="P36" s="3797" t="s">
        <v>1694</v>
      </c>
      <c r="Q36" s="1350">
        <f t="shared" si="8"/>
        <v>111</v>
      </c>
      <c r="R36" s="704" t="s">
        <v>14</v>
      </c>
      <c r="S36" s="705">
        <f t="shared" si="10"/>
        <v>100</v>
      </c>
      <c r="T36" s="704" t="s">
        <v>14</v>
      </c>
      <c r="U36" s="705">
        <f t="shared" si="11"/>
        <v>100</v>
      </c>
      <c r="V36" s="704" t="s">
        <v>14</v>
      </c>
      <c r="W36" s="705">
        <f t="shared" si="12"/>
        <v>100</v>
      </c>
      <c r="X36" s="1353"/>
      <c r="Y36" s="3759" t="s">
        <v>1694</v>
      </c>
      <c r="Z36" s="1354">
        <f t="shared" si="13"/>
        <v>111</v>
      </c>
      <c r="AA36" s="1351">
        <f t="shared" si="3"/>
        <v>1</v>
      </c>
      <c r="AB36" s="1351">
        <f t="shared" si="4"/>
        <v>1</v>
      </c>
      <c r="AC36" s="1351">
        <f t="shared" si="5"/>
        <v>1</v>
      </c>
    </row>
    <row r="37" spans="1:29" s="422" customFormat="1" ht="15.75" thickBot="1">
      <c r="A37" s="623"/>
      <c r="B37" s="1133">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7"/>
      <c r="M37" s="2719"/>
      <c r="N37" s="2719"/>
      <c r="O37" s="2771"/>
      <c r="P37" s="3759"/>
      <c r="Q37" s="1350">
        <f t="shared" si="8"/>
        <v>111</v>
      </c>
      <c r="R37" s="707" t="s">
        <v>14</v>
      </c>
      <c r="S37" s="708">
        <f t="shared" si="10"/>
        <v>100</v>
      </c>
      <c r="T37" s="707" t="s">
        <v>14</v>
      </c>
      <c r="U37" s="708">
        <f t="shared" si="11"/>
        <v>100</v>
      </c>
      <c r="V37" s="707" t="s">
        <v>14</v>
      </c>
      <c r="W37" s="708">
        <f t="shared" si="12"/>
        <v>100</v>
      </c>
      <c r="X37" s="709"/>
      <c r="Y37" s="3759"/>
      <c r="Z37" s="710">
        <f t="shared" si="13"/>
        <v>111</v>
      </c>
      <c r="AA37" s="1351">
        <f t="shared" si="3"/>
        <v>1</v>
      </c>
      <c r="AB37" s="1351">
        <f t="shared" si="4"/>
        <v>1</v>
      </c>
      <c r="AC37" s="1351">
        <f t="shared" si="5"/>
        <v>1</v>
      </c>
    </row>
    <row r="38" spans="1:29" ht="15">
      <c r="A38" s="423" t="s">
        <v>1692</v>
      </c>
      <c r="B38" s="407" t="s">
        <v>1872</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18"/>
      <c r="M38" s="2712"/>
      <c r="N38" s="2712"/>
      <c r="O38" s="2770"/>
      <c r="P38" s="3759"/>
      <c r="Q38" s="1350" t="str">
        <f>B38</f>
        <v>宗地面积</v>
      </c>
      <c r="R38" s="704" t="s">
        <v>14</v>
      </c>
      <c r="S38" s="705" t="e">
        <f t="shared" si="10"/>
        <v>#N/A</v>
      </c>
      <c r="T38" s="704" t="s">
        <v>14</v>
      </c>
      <c r="U38" s="705" t="e">
        <f t="shared" si="11"/>
        <v>#N/A</v>
      </c>
      <c r="V38" s="704" t="s">
        <v>14</v>
      </c>
      <c r="W38" s="705" t="e">
        <f t="shared" si="12"/>
        <v>#N/A</v>
      </c>
      <c r="X38" s="1353"/>
      <c r="Y38" s="3759"/>
      <c r="Z38" s="1354" t="str">
        <f t="shared" si="13"/>
        <v>宗地面积</v>
      </c>
      <c r="AA38" s="1351" t="e">
        <f t="shared" si="3"/>
        <v>#N/A</v>
      </c>
      <c r="AB38" s="1351" t="e">
        <f t="shared" si="4"/>
        <v>#N/A</v>
      </c>
      <c r="AC38" s="1351" t="e">
        <f t="shared" si="5"/>
        <v>#N/A</v>
      </c>
    </row>
    <row r="39" spans="1:29" ht="15">
      <c r="A39" s="423"/>
      <c r="B39" s="375" t="s">
        <v>1873</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8"/>
      <c r="M39" s="2712"/>
      <c r="N39" s="2712"/>
      <c r="O39" s="2770"/>
      <c r="P39" s="3759"/>
      <c r="Q39" s="1350" t="str">
        <f t="shared" ref="Q39:Q45" si="14">B39</f>
        <v>宗地形状</v>
      </c>
      <c r="R39" s="704" t="s">
        <v>14</v>
      </c>
      <c r="S39" s="705">
        <f t="shared" si="10"/>
        <v>100</v>
      </c>
      <c r="T39" s="704" t="s">
        <v>14</v>
      </c>
      <c r="U39" s="705">
        <f t="shared" si="11"/>
        <v>100</v>
      </c>
      <c r="V39" s="704" t="s">
        <v>14</v>
      </c>
      <c r="W39" s="705">
        <f t="shared" si="12"/>
        <v>100</v>
      </c>
      <c r="X39" s="1353"/>
      <c r="Y39" s="3759"/>
      <c r="Z39" s="1354" t="str">
        <f t="shared" si="13"/>
        <v>宗地形状</v>
      </c>
      <c r="AA39" s="1351">
        <f t="shared" si="3"/>
        <v>1</v>
      </c>
      <c r="AB39" s="1351">
        <f t="shared" si="4"/>
        <v>1</v>
      </c>
      <c r="AC39" s="1351">
        <f t="shared" si="5"/>
        <v>1</v>
      </c>
    </row>
    <row r="40" spans="1:29" ht="15">
      <c r="A40" s="423"/>
      <c r="B40" s="375" t="s">
        <v>1874</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8"/>
      <c r="M40" s="2712"/>
      <c r="N40" s="2712"/>
      <c r="O40" s="2770"/>
      <c r="P40" s="3759"/>
      <c r="Q40" s="1350" t="str">
        <f t="shared" si="14"/>
        <v>临街宽度及深度</v>
      </c>
      <c r="R40" s="704" t="s">
        <v>14</v>
      </c>
      <c r="S40" s="705">
        <f t="shared" si="10"/>
        <v>100</v>
      </c>
      <c r="T40" s="704" t="s">
        <v>14</v>
      </c>
      <c r="U40" s="705">
        <f t="shared" si="11"/>
        <v>100</v>
      </c>
      <c r="V40" s="704" t="s">
        <v>14</v>
      </c>
      <c r="W40" s="705">
        <f t="shared" si="12"/>
        <v>100</v>
      </c>
      <c r="X40" s="1353"/>
      <c r="Y40" s="3759"/>
      <c r="Z40" s="1354" t="str">
        <f t="shared" si="13"/>
        <v>临街宽度及深度</v>
      </c>
      <c r="AA40" s="1351">
        <f t="shared" si="3"/>
        <v>1</v>
      </c>
      <c r="AB40" s="1351">
        <f t="shared" si="4"/>
        <v>1</v>
      </c>
      <c r="AC40" s="1351">
        <f t="shared" si="5"/>
        <v>1</v>
      </c>
    </row>
    <row r="41" spans="1:29" s="108" customFormat="1" ht="15">
      <c r="A41" s="424"/>
      <c r="B41" s="375" t="s">
        <v>1875</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3"/>
      <c r="M41" s="2714"/>
      <c r="N41" s="2714"/>
      <c r="O41" s="2768"/>
      <c r="P41" s="3759"/>
      <c r="Q41" s="1350" t="str">
        <f t="shared" si="14"/>
        <v>宗地开发程度</v>
      </c>
      <c r="R41" s="700" t="s">
        <v>14</v>
      </c>
      <c r="S41" s="701">
        <f t="shared" si="10"/>
        <v>100</v>
      </c>
      <c r="T41" s="700" t="s">
        <v>14</v>
      </c>
      <c r="U41" s="701">
        <f t="shared" si="11"/>
        <v>100</v>
      </c>
      <c r="V41" s="700" t="s">
        <v>14</v>
      </c>
      <c r="W41" s="701">
        <f t="shared" si="12"/>
        <v>100</v>
      </c>
      <c r="X41" s="702"/>
      <c r="Y41" s="3759"/>
      <c r="Z41" s="52" t="str">
        <f t="shared" si="13"/>
        <v>宗地开发程度</v>
      </c>
      <c r="AA41" s="703">
        <f t="shared" si="3"/>
        <v>1</v>
      </c>
      <c r="AB41" s="703">
        <f t="shared" si="4"/>
        <v>1</v>
      </c>
      <c r="AC41" s="703">
        <f t="shared" si="5"/>
        <v>1</v>
      </c>
    </row>
    <row r="42" spans="1:29" ht="15">
      <c r="A42" s="423"/>
      <c r="B42" s="375" t="s">
        <v>1876</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18"/>
      <c r="M42" s="2712"/>
      <c r="N42" s="2712"/>
      <c r="O42" s="2770"/>
      <c r="P42" s="3759" t="s">
        <v>1694</v>
      </c>
      <c r="Q42" s="1350" t="str">
        <f t="shared" si="14"/>
        <v>工程地质条件</v>
      </c>
      <c r="R42" s="704" t="s">
        <v>14</v>
      </c>
      <c r="S42" s="705">
        <f t="shared" si="10"/>
        <v>100</v>
      </c>
      <c r="T42" s="704" t="s">
        <v>14</v>
      </c>
      <c r="U42" s="705">
        <f t="shared" si="11"/>
        <v>100</v>
      </c>
      <c r="V42" s="704" t="s">
        <v>14</v>
      </c>
      <c r="W42" s="705">
        <f t="shared" si="12"/>
        <v>100</v>
      </c>
      <c r="X42" s="1353"/>
      <c r="Y42" s="3759" t="s">
        <v>1694</v>
      </c>
      <c r="Z42" s="1354" t="str">
        <f t="shared" si="13"/>
        <v>工程地质条件</v>
      </c>
      <c r="AA42" s="1351">
        <f t="shared" si="3"/>
        <v>1</v>
      </c>
      <c r="AB42" s="1351">
        <f t="shared" si="4"/>
        <v>1</v>
      </c>
      <c r="AC42" s="1351">
        <f t="shared" si="5"/>
        <v>1</v>
      </c>
    </row>
    <row r="43" spans="1:29" ht="15">
      <c r="A43" s="423"/>
      <c r="B43" s="1132">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18"/>
      <c r="M43" s="2712"/>
      <c r="N43" s="2712"/>
      <c r="O43" s="2770"/>
      <c r="P43" s="3759"/>
      <c r="Q43" s="1350">
        <f t="shared" si="14"/>
        <v>111</v>
      </c>
      <c r="R43" s="704" t="s">
        <v>14</v>
      </c>
      <c r="S43" s="705">
        <f t="shared" si="10"/>
        <v>100</v>
      </c>
      <c r="T43" s="704" t="s">
        <v>14</v>
      </c>
      <c r="U43" s="705">
        <f t="shared" si="11"/>
        <v>100</v>
      </c>
      <c r="V43" s="704" t="s">
        <v>14</v>
      </c>
      <c r="W43" s="705">
        <f t="shared" si="12"/>
        <v>100</v>
      </c>
      <c r="X43" s="1353"/>
      <c r="Y43" s="3759"/>
      <c r="Z43" s="1354">
        <f t="shared" si="13"/>
        <v>111</v>
      </c>
      <c r="AA43" s="1351">
        <f t="shared" si="3"/>
        <v>1</v>
      </c>
      <c r="AB43" s="1351">
        <f t="shared" si="4"/>
        <v>1</v>
      </c>
      <c r="AC43" s="1351">
        <f t="shared" si="5"/>
        <v>1</v>
      </c>
    </row>
    <row r="44" spans="1:29" ht="15">
      <c r="A44" s="423"/>
      <c r="B44" s="1132">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18"/>
      <c r="M44" s="2712"/>
      <c r="N44" s="2712"/>
      <c r="O44" s="2770"/>
      <c r="P44" s="3759"/>
      <c r="Q44" s="1350">
        <f t="shared" si="14"/>
        <v>111</v>
      </c>
      <c r="R44" s="704" t="s">
        <v>14</v>
      </c>
      <c r="S44" s="705">
        <f t="shared" si="10"/>
        <v>100</v>
      </c>
      <c r="T44" s="704" t="s">
        <v>14</v>
      </c>
      <c r="U44" s="705">
        <f t="shared" si="11"/>
        <v>100</v>
      </c>
      <c r="V44" s="704" t="s">
        <v>14</v>
      </c>
      <c r="W44" s="705">
        <f t="shared" si="12"/>
        <v>100</v>
      </c>
      <c r="X44" s="1353"/>
      <c r="Y44" s="3759"/>
      <c r="Z44" s="1354">
        <f t="shared" si="13"/>
        <v>111</v>
      </c>
      <c r="AA44" s="1351">
        <f t="shared" si="3"/>
        <v>1</v>
      </c>
      <c r="AB44" s="1351">
        <f t="shared" si="4"/>
        <v>1</v>
      </c>
      <c r="AC44" s="1351">
        <f t="shared" si="5"/>
        <v>1</v>
      </c>
    </row>
    <row r="45" spans="1:29" s="422" customFormat="1" ht="15.75" thickBot="1">
      <c r="A45" s="419"/>
      <c r="B45" s="1132">
        <v>111</v>
      </c>
      <c r="C45" s="1979"/>
      <c r="D45" s="627">
        <v>100</v>
      </c>
      <c r="E45" s="621"/>
      <c r="F45" s="389">
        <f>SUMIF(130:130,E45,131:131)-SUMIF(130:130,C45,131:131)+100</f>
        <v>100</v>
      </c>
      <c r="G45" s="621"/>
      <c r="H45" s="389">
        <f>SUMIF(130:130,G45,131:131)-SUMIF(130:130,C45,131:131)+100</f>
        <v>100</v>
      </c>
      <c r="I45" s="621"/>
      <c r="J45" s="389">
        <f>SUMIF(130:130,I45,131:131)-SUMIF(130:130,C45,131:131)+100</f>
        <v>100</v>
      </c>
      <c r="K45" s="628"/>
      <c r="L45" s="2717"/>
      <c r="M45" s="2719"/>
      <c r="N45" s="2719"/>
      <c r="O45" s="2771"/>
      <c r="P45" s="3759"/>
      <c r="Q45" s="1350">
        <f t="shared" si="14"/>
        <v>111</v>
      </c>
      <c r="R45" s="707" t="s">
        <v>14</v>
      </c>
      <c r="S45" s="708">
        <f t="shared" si="10"/>
        <v>100</v>
      </c>
      <c r="T45" s="707" t="s">
        <v>14</v>
      </c>
      <c r="U45" s="708">
        <f t="shared" si="11"/>
        <v>100</v>
      </c>
      <c r="V45" s="707" t="s">
        <v>14</v>
      </c>
      <c r="W45" s="708">
        <f t="shared" si="12"/>
        <v>100</v>
      </c>
      <c r="X45" s="709"/>
      <c r="Y45" s="3759"/>
      <c r="Z45" s="710">
        <f t="shared" si="13"/>
        <v>111</v>
      </c>
      <c r="AA45" s="1351">
        <f t="shared" si="3"/>
        <v>1</v>
      </c>
      <c r="AB45" s="1351">
        <f t="shared" si="4"/>
        <v>1</v>
      </c>
      <c r="AC45" s="1351">
        <f t="shared" si="5"/>
        <v>1</v>
      </c>
    </row>
    <row r="46" spans="1:29" ht="15">
      <c r="A46" s="430" t="s">
        <v>1842</v>
      </c>
      <c r="B46" s="1980" t="s">
        <v>1877</v>
      </c>
      <c r="C46" s="629" t="s">
        <v>0</v>
      </c>
      <c r="D46" s="432"/>
      <c r="E46" s="433"/>
      <c r="F46" s="434"/>
      <c r="G46" s="435"/>
      <c r="H46" s="436"/>
      <c r="I46" s="433"/>
      <c r="J46" s="436"/>
      <c r="K46" s="713"/>
      <c r="L46" s="2720"/>
      <c r="M46" s="2721"/>
      <c r="N46" s="2712"/>
      <c r="O46" s="2721"/>
      <c r="P46" s="3761" t="str">
        <f>A46</f>
        <v>成交单价</v>
      </c>
      <c r="Q46" s="3761"/>
      <c r="R46" s="3748">
        <f>E46</f>
        <v>0</v>
      </c>
      <c r="S46" s="3748"/>
      <c r="T46" s="3748">
        <f>G46</f>
        <v>0</v>
      </c>
      <c r="U46" s="3748"/>
      <c r="V46" s="3748">
        <f>I46</f>
        <v>0</v>
      </c>
      <c r="W46" s="3748"/>
      <c r="X46" s="689"/>
      <c r="Y46" s="711"/>
      <c r="Z46" s="689"/>
      <c r="AA46" s="689"/>
      <c r="AB46" s="689"/>
      <c r="AC46" s="689"/>
    </row>
    <row r="47" spans="1:29" ht="15.75" thickBot="1">
      <c r="A47" s="437" t="s">
        <v>1791</v>
      </c>
      <c r="B47" s="630"/>
      <c r="C47" s="440" t="e">
        <f>R48</f>
        <v>#DIV/0!</v>
      </c>
      <c r="D47" s="2315" t="s">
        <v>2135</v>
      </c>
      <c r="E47" s="440" t="e">
        <f>R47</f>
        <v>#DIV/0!</v>
      </c>
      <c r="F47" s="2316"/>
      <c r="G47" s="439" t="e">
        <f>T47</f>
        <v>#DIV/0!</v>
      </c>
      <c r="H47" s="2316"/>
      <c r="I47" s="440" t="e">
        <f>V47</f>
        <v>#DIV/0!</v>
      </c>
      <c r="J47" s="2316"/>
      <c r="K47" s="2318">
        <f>F47+H47+J47</f>
        <v>0</v>
      </c>
      <c r="L47" s="2720"/>
      <c r="M47" s="2721"/>
      <c r="N47" s="2721"/>
      <c r="O47" s="2721"/>
      <c r="P47" s="3761" t="str">
        <f>A47</f>
        <v>比较价值（元/平方米）</v>
      </c>
      <c r="Q47" s="3761"/>
      <c r="R47" s="3799" t="e">
        <f>ROUND(PRODUCT(R46,AA7:AA45),0)</f>
        <v>#DIV/0!</v>
      </c>
      <c r="S47" s="3799"/>
      <c r="T47" s="3799" t="e">
        <f>ROUND(PRODUCT(T46,AB7:AB45),0)</f>
        <v>#DIV/0!</v>
      </c>
      <c r="U47" s="3799"/>
      <c r="V47" s="3799" t="e">
        <f>ROUND(PRODUCT(V46,AC7:AC45),0)</f>
        <v>#DIV/0!</v>
      </c>
      <c r="W47" s="3799"/>
      <c r="X47" s="689"/>
      <c r="Y47" s="689"/>
      <c r="Z47" s="689"/>
      <c r="AA47" s="689"/>
      <c r="AB47" s="689"/>
      <c r="AC47" s="689"/>
    </row>
    <row r="48" spans="1:29" ht="15.75" thickBot="1">
      <c r="A48" s="441" t="s">
        <v>1878</v>
      </c>
      <c r="B48" s="442"/>
      <c r="C48" s="443" t="e">
        <f>R48</f>
        <v>#DIV/0!</v>
      </c>
      <c r="D48" s="443"/>
      <c r="E48" s="443"/>
      <c r="F48" s="443"/>
      <c r="G48" s="443"/>
      <c r="H48" s="443"/>
      <c r="I48" s="443"/>
      <c r="J48" s="443"/>
      <c r="K48" s="714"/>
      <c r="L48" s="2720"/>
      <c r="M48" s="2721"/>
      <c r="N48" s="2721"/>
      <c r="O48" s="2721"/>
      <c r="P48" s="3794" t="str">
        <f>A48</f>
        <v>估价对象XX用房的比较价值（楼面单价，元/平方米）</v>
      </c>
      <c r="Q48" s="3795"/>
      <c r="R48" s="3800" t="e">
        <f>ROUND(IF(D47="简单平均",AVERAGE(R47:W47),R47*F47+T47*H47+V47*J47),0)</f>
        <v>#DIV/0!</v>
      </c>
      <c r="S48" s="3800"/>
      <c r="T48" s="3800"/>
      <c r="U48" s="3800"/>
      <c r="V48" s="3800"/>
      <c r="W48" s="3800"/>
      <c r="X48" s="689"/>
      <c r="Y48" s="689"/>
      <c r="Z48" s="689"/>
      <c r="AA48" s="689"/>
      <c r="AB48" s="689"/>
      <c r="AC48" s="689"/>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2"/>
      <c r="D54" s="690"/>
      <c r="E54" s="690"/>
      <c r="F54" s="690"/>
      <c r="G54" s="690"/>
      <c r="H54" s="690"/>
      <c r="I54" s="690"/>
      <c r="J54" s="690"/>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1" t="s">
        <v>1879</v>
      </c>
      <c r="B55" s="632" t="s">
        <v>1880</v>
      </c>
      <c r="C55" s="1981" t="s">
        <v>1881</v>
      </c>
      <c r="D55" s="1982" t="s">
        <v>1882</v>
      </c>
      <c r="E55" s="633" t="s">
        <v>1883</v>
      </c>
      <c r="F55" s="889" t="s">
        <v>1884</v>
      </c>
      <c r="G55" s="3735" t="s">
        <v>1885</v>
      </c>
      <c r="H55" s="3801"/>
      <c r="I55" s="135" t="s">
        <v>1886</v>
      </c>
      <c r="J55" s="1983">
        <f>项目基本情况!F35</f>
        <v>0</v>
      </c>
      <c r="K55" s="1984" t="s">
        <v>1887</v>
      </c>
      <c r="L55" s="2722"/>
      <c r="M55" s="2721"/>
      <c r="N55" s="2721"/>
      <c r="O55" s="2721"/>
      <c r="P55" s="2721"/>
      <c r="Q55" s="2721"/>
      <c r="R55" s="2721"/>
      <c r="S55" s="2721"/>
      <c r="T55" s="2721"/>
      <c r="U55" s="2721"/>
      <c r="V55" s="2721"/>
      <c r="W55" s="2721"/>
      <c r="X55" s="2721"/>
      <c r="Y55" s="2721"/>
      <c r="Z55" s="2721"/>
      <c r="AA55" s="2721"/>
      <c r="AB55" s="2721"/>
      <c r="AC55" s="2721"/>
    </row>
    <row r="56" spans="1:29" s="639" customFormat="1">
      <c r="A56" s="635" t="s">
        <v>1888</v>
      </c>
      <c r="B56" s="636" t="e">
        <f>C48</f>
        <v>#DIV/0!</v>
      </c>
      <c r="C56" s="637">
        <v>1</v>
      </c>
      <c r="D56" s="943">
        <v>1</v>
      </c>
      <c r="E56" s="637">
        <f>'数据-汇总表'!E8+'数据-汇总表'!E9</f>
        <v>616.89</v>
      </c>
      <c r="F56" s="885" t="e">
        <f t="shared" ref="F56:F64" si="15">ROUND(B56*E56/10000,0)</f>
        <v>#DIV/0!</v>
      </c>
      <c r="G56" s="3731"/>
      <c r="H56" s="3761"/>
      <c r="I56" s="890">
        <v>1</v>
      </c>
      <c r="J56" s="893">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39" customFormat="1">
      <c r="A57" s="640" t="s">
        <v>1889</v>
      </c>
      <c r="B57" s="218" t="e">
        <f>ROUND($C$48*C57*D57,0)</f>
        <v>#DIV/0!</v>
      </c>
      <c r="C57" s="171">
        <f t="shared" ref="C57:C64" si="16">IF($C$55="北京市系数",I57,J57)</f>
        <v>0</v>
      </c>
      <c r="D57" s="944">
        <v>0.25</v>
      </c>
      <c r="E57" s="641"/>
      <c r="F57" s="885" t="e">
        <f t="shared" si="15"/>
        <v>#DIV/0!</v>
      </c>
      <c r="G57" s="3002" t="s">
        <v>1890</v>
      </c>
      <c r="H57" s="886">
        <f>项目基本情况!B37</f>
        <v>0</v>
      </c>
      <c r="I57" s="890">
        <f>SUMIF(修正!A57:A68,H57,修正!B57:B68)</f>
        <v>0</v>
      </c>
      <c r="J57" s="894"/>
      <c r="K57" s="2721"/>
      <c r="L57" s="2778"/>
      <c r="M57" s="2778"/>
      <c r="N57" s="2778"/>
      <c r="O57" s="2778"/>
      <c r="P57" s="2778"/>
      <c r="Q57" s="2778"/>
      <c r="R57" s="2778"/>
      <c r="S57" s="2778"/>
      <c r="T57" s="2778"/>
      <c r="U57" s="2778"/>
      <c r="V57" s="2778"/>
      <c r="W57" s="2778"/>
      <c r="X57" s="2778"/>
      <c r="Y57" s="2778"/>
      <c r="Z57" s="2778"/>
      <c r="AA57" s="2778"/>
      <c r="AB57" s="2778"/>
      <c r="AC57" s="2778"/>
    </row>
    <row r="58" spans="1:29" s="639" customFormat="1">
      <c r="A58" s="640" t="s">
        <v>1891</v>
      </c>
      <c r="B58" s="218" t="e">
        <f t="shared" ref="B58:B64" si="17">ROUND($C$48*C58*D58,0)</f>
        <v>#DIV/0!</v>
      </c>
      <c r="C58" s="171">
        <f t="shared" si="16"/>
        <v>0</v>
      </c>
      <c r="D58" s="944">
        <v>0.25</v>
      </c>
      <c r="E58" s="641"/>
      <c r="F58" s="885" t="e">
        <f t="shared" si="15"/>
        <v>#DIV/0!</v>
      </c>
      <c r="G58" s="3003"/>
      <c r="H58" s="886">
        <f>项目基本情况!B37</f>
        <v>0</v>
      </c>
      <c r="I58" s="890">
        <f>SUMIF(修正!A57:A68,H58,修正!C57:C68)</f>
        <v>0</v>
      </c>
      <c r="J58" s="894"/>
      <c r="K58" s="2724"/>
      <c r="L58" s="2778"/>
      <c r="M58" s="2778"/>
      <c r="N58" s="2778"/>
      <c r="O58" s="2778"/>
      <c r="P58" s="2778"/>
      <c r="Q58" s="2778"/>
      <c r="R58" s="2778"/>
      <c r="S58" s="2778"/>
      <c r="T58" s="2778"/>
      <c r="U58" s="2778"/>
      <c r="V58" s="2778"/>
      <c r="W58" s="2778"/>
      <c r="X58" s="2778"/>
      <c r="Y58" s="2778"/>
      <c r="Z58" s="2778"/>
      <c r="AA58" s="2778"/>
      <c r="AB58" s="2778"/>
      <c r="AC58" s="2778"/>
    </row>
    <row r="59" spans="1:29" s="639" customFormat="1">
      <c r="A59" s="640" t="s">
        <v>1892</v>
      </c>
      <c r="B59" s="218" t="e">
        <f t="shared" si="17"/>
        <v>#DIV/0!</v>
      </c>
      <c r="C59" s="171">
        <f t="shared" si="16"/>
        <v>0</v>
      </c>
      <c r="D59" s="944">
        <v>0.25</v>
      </c>
      <c r="E59" s="641"/>
      <c r="F59" s="885" t="e">
        <f t="shared" si="15"/>
        <v>#DIV/0!</v>
      </c>
      <c r="G59" s="3003"/>
      <c r="H59" s="886">
        <f>项目基本情况!B37</f>
        <v>0</v>
      </c>
      <c r="I59" s="890">
        <f>SUMIF(修正!A57:A68,H59,修正!D57:D68)</f>
        <v>0</v>
      </c>
      <c r="J59" s="894"/>
      <c r="K59" s="2721"/>
      <c r="L59" s="2778"/>
      <c r="M59" s="2778"/>
      <c r="N59" s="2778"/>
      <c r="O59" s="2778"/>
      <c r="P59" s="2778"/>
      <c r="Q59" s="2778"/>
      <c r="R59" s="2778"/>
      <c r="S59" s="2778"/>
      <c r="T59" s="2778"/>
      <c r="U59" s="2778"/>
      <c r="V59" s="2778"/>
      <c r="W59" s="2778"/>
      <c r="X59" s="2778"/>
      <c r="Y59" s="2778"/>
      <c r="Z59" s="2778"/>
      <c r="AA59" s="2778"/>
      <c r="AB59" s="2778"/>
      <c r="AC59" s="2778"/>
    </row>
    <row r="60" spans="1:29" s="639" customFormat="1">
      <c r="A60" s="640" t="s">
        <v>1893</v>
      </c>
      <c r="B60" s="218" t="e">
        <f t="shared" si="17"/>
        <v>#DIV/0!</v>
      </c>
      <c r="C60" s="171">
        <f t="shared" si="16"/>
        <v>0</v>
      </c>
      <c r="D60" s="944">
        <v>0.25</v>
      </c>
      <c r="E60" s="217">
        <f>'数据-汇总表'!E11</f>
        <v>0</v>
      </c>
      <c r="F60" s="885" t="e">
        <f t="shared" si="15"/>
        <v>#DIV/0!</v>
      </c>
      <c r="G60" s="1985" t="s">
        <v>1894</v>
      </c>
      <c r="H60" s="886">
        <f>项目基本情况!C37</f>
        <v>0</v>
      </c>
      <c r="I60" s="890">
        <f>SUMIF(修正!A57:A68,H60,修正!E57:E68)</f>
        <v>0</v>
      </c>
      <c r="J60" s="894"/>
      <c r="K60" s="2721"/>
      <c r="L60" s="2778"/>
      <c r="M60" s="2778"/>
      <c r="N60" s="2778"/>
      <c r="O60" s="2778"/>
      <c r="P60" s="2778"/>
      <c r="Q60" s="2778"/>
      <c r="R60" s="2778"/>
      <c r="S60" s="2778"/>
      <c r="T60" s="2778"/>
      <c r="U60" s="2778"/>
      <c r="V60" s="2778"/>
      <c r="W60" s="2778"/>
      <c r="X60" s="2778"/>
      <c r="Y60" s="2778"/>
      <c r="Z60" s="2778"/>
      <c r="AA60" s="2778"/>
      <c r="AB60" s="2778"/>
      <c r="AC60" s="2778"/>
    </row>
    <row r="61" spans="1:29" s="639" customFormat="1">
      <c r="A61" s="640" t="s">
        <v>1895</v>
      </c>
      <c r="B61" s="218" t="e">
        <f t="shared" si="17"/>
        <v>#DIV/0!</v>
      </c>
      <c r="C61" s="171">
        <f t="shared" si="16"/>
        <v>0</v>
      </c>
      <c r="D61" s="944">
        <v>0.25</v>
      </c>
      <c r="E61" s="217">
        <f>'数据-汇总表'!E12</f>
        <v>0</v>
      </c>
      <c r="F61" s="885" t="e">
        <f t="shared" si="15"/>
        <v>#DIV/0!</v>
      </c>
      <c r="G61" s="891" t="s">
        <v>1896</v>
      </c>
      <c r="H61" s="886">
        <f>IF(G61="商业",项目基本情况!B37,IF(G61="办公",项目基本情况!C37,IF(G61="住宅",项目基本情况!D37,项目基本情况!E37)))</f>
        <v>0</v>
      </c>
      <c r="I61" s="890">
        <f>SUMIF(修正!A57:A68,H61,修正!F57:F68)</f>
        <v>0</v>
      </c>
      <c r="J61" s="894"/>
      <c r="K61" s="2724"/>
      <c r="L61" s="2778"/>
      <c r="M61" s="2778"/>
      <c r="N61" s="2778"/>
      <c r="O61" s="2778"/>
      <c r="P61" s="2778"/>
      <c r="Q61" s="2778"/>
      <c r="R61" s="2778"/>
      <c r="S61" s="2778"/>
      <c r="T61" s="2778"/>
      <c r="U61" s="2778"/>
      <c r="V61" s="2778"/>
      <c r="W61" s="2778"/>
      <c r="X61" s="2778"/>
      <c r="Y61" s="2778"/>
      <c r="Z61" s="2778"/>
      <c r="AA61" s="2778"/>
      <c r="AB61" s="2778"/>
      <c r="AC61" s="2778"/>
    </row>
    <row r="62" spans="1:29" s="639" customFormat="1">
      <c r="A62" s="640" t="s">
        <v>1897</v>
      </c>
      <c r="B62" s="218" t="e">
        <f t="shared" si="17"/>
        <v>#DIV/0!</v>
      </c>
      <c r="C62" s="171">
        <f t="shared" si="16"/>
        <v>0</v>
      </c>
      <c r="D62" s="944">
        <v>0.25</v>
      </c>
      <c r="E62" s="217">
        <f>'数据-汇总表'!E13</f>
        <v>0</v>
      </c>
      <c r="F62" s="885" t="e">
        <f t="shared" si="15"/>
        <v>#DIV/0!</v>
      </c>
      <c r="G62" s="891" t="s">
        <v>1898</v>
      </c>
      <c r="H62" s="886">
        <f>IF(G62="商业",项目基本情况!B37,IF(G62="办公",项目基本情况!C37,IF(G62="住宅",项目基本情况!D37,项目基本情况!E37)))</f>
        <v>0</v>
      </c>
      <c r="I62" s="890">
        <f>SUMIF(修正!A57:A68,H62,修正!G57:G68)</f>
        <v>0</v>
      </c>
      <c r="J62" s="894"/>
      <c r="K62" s="2721"/>
      <c r="L62" s="2778"/>
      <c r="M62" s="2778"/>
      <c r="N62" s="2778"/>
      <c r="O62" s="2778"/>
      <c r="P62" s="2778"/>
      <c r="Q62" s="2778"/>
      <c r="R62" s="2778"/>
      <c r="S62" s="2778"/>
      <c r="T62" s="2778"/>
      <c r="U62" s="2778"/>
      <c r="V62" s="2778"/>
      <c r="W62" s="2778"/>
      <c r="X62" s="2778"/>
      <c r="Y62" s="2778"/>
      <c r="Z62" s="2778"/>
      <c r="AA62" s="2778"/>
      <c r="AB62" s="2778"/>
      <c r="AC62" s="2778"/>
    </row>
    <row r="63" spans="1:29" s="639" customFormat="1">
      <c r="A63" s="640" t="s">
        <v>1899</v>
      </c>
      <c r="B63" s="218" t="e">
        <f t="shared" si="17"/>
        <v>#DIV/0!</v>
      </c>
      <c r="C63" s="171">
        <f t="shared" si="16"/>
        <v>0</v>
      </c>
      <c r="D63" s="944">
        <v>0.25</v>
      </c>
      <c r="E63" s="217">
        <f>'数据-汇总表'!E14</f>
        <v>0</v>
      </c>
      <c r="F63" s="885" t="e">
        <f t="shared" si="15"/>
        <v>#DIV/0!</v>
      </c>
      <c r="G63" s="1985" t="s">
        <v>1890</v>
      </c>
      <c r="H63" s="886">
        <f>项目基本情况!B37</f>
        <v>0</v>
      </c>
      <c r="I63" s="890">
        <f>SUMIF(修正!A57:A68,H63,修正!G57:G68)</f>
        <v>0</v>
      </c>
      <c r="J63" s="894"/>
      <c r="K63" s="2724"/>
      <c r="L63" s="2778"/>
      <c r="M63" s="2778"/>
      <c r="N63" s="2778"/>
      <c r="O63" s="2778"/>
      <c r="P63" s="2778"/>
      <c r="Q63" s="2778"/>
      <c r="R63" s="2778"/>
      <c r="S63" s="2778"/>
      <c r="T63" s="2778"/>
      <c r="U63" s="2778"/>
      <c r="V63" s="2778"/>
      <c r="W63" s="2778"/>
      <c r="X63" s="2778"/>
      <c r="Y63" s="2778"/>
      <c r="Z63" s="2778"/>
      <c r="AA63" s="2778"/>
      <c r="AB63" s="2778"/>
      <c r="AC63" s="2778"/>
    </row>
    <row r="64" spans="1:29" s="639" customFormat="1" ht="15" thickBot="1">
      <c r="A64" s="640" t="s">
        <v>1900</v>
      </c>
      <c r="B64" s="218" t="e">
        <f t="shared" si="17"/>
        <v>#DIV/0!</v>
      </c>
      <c r="C64" s="171">
        <f t="shared" si="16"/>
        <v>0</v>
      </c>
      <c r="D64" s="944">
        <v>0.25</v>
      </c>
      <c r="E64" s="217">
        <f>'数据-汇总表'!E15</f>
        <v>0</v>
      </c>
      <c r="F64" s="885" t="e">
        <f t="shared" si="15"/>
        <v>#DIV/0!</v>
      </c>
      <c r="G64" s="1986" t="s">
        <v>1894</v>
      </c>
      <c r="H64" s="896">
        <f>项目基本情况!C37</f>
        <v>0</v>
      </c>
      <c r="I64" s="892">
        <f>SUMIF(修正!A57:A68,H64,修正!G57:G68)</f>
        <v>0</v>
      </c>
      <c r="J64" s="895"/>
      <c r="K64" s="2721"/>
      <c r="L64" s="2778"/>
      <c r="M64" s="2778"/>
      <c r="N64" s="2778"/>
      <c r="O64" s="2778"/>
      <c r="P64" s="2778"/>
      <c r="Q64" s="2778"/>
      <c r="R64" s="2778"/>
      <c r="S64" s="2778"/>
      <c r="T64" s="2778"/>
      <c r="U64" s="2778"/>
      <c r="V64" s="2778"/>
      <c r="W64" s="2778"/>
      <c r="X64" s="2778"/>
      <c r="Y64" s="2778"/>
      <c r="Z64" s="2778"/>
      <c r="AA64" s="2778"/>
      <c r="AB64" s="2778"/>
      <c r="AC64" s="2778"/>
    </row>
    <row r="65" spans="1:29" s="639" customFormat="1" ht="13.5" thickBot="1">
      <c r="A65" s="642" t="s">
        <v>1901</v>
      </c>
      <c r="B65" s="643" t="s">
        <v>22</v>
      </c>
      <c r="C65" s="643" t="s">
        <v>23</v>
      </c>
      <c r="D65" s="643" t="s">
        <v>392</v>
      </c>
      <c r="E65" s="643">
        <f>IF(B46="楼面地价",SUM(E56:E64),'数据-汇总表'!D3)</f>
        <v>616.89</v>
      </c>
      <c r="F65" s="644" t="e">
        <f>IF(B46="楼面地价",SUM(F56:F64),ROUND(C48*E65/10000,0))</f>
        <v>#DIV/0!</v>
      </c>
      <c r="G65" s="716"/>
      <c r="H65" s="716"/>
      <c r="I65" s="716"/>
      <c r="J65" s="716"/>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9"/>
      <c r="B66" s="691"/>
      <c r="C66" s="692"/>
      <c r="D66" s="689"/>
      <c r="E66" s="689"/>
      <c r="F66" s="689"/>
      <c r="G66" s="689"/>
      <c r="H66" s="689"/>
      <c r="I66" s="689"/>
      <c r="J66" s="926"/>
      <c r="K66" s="887"/>
      <c r="L66" s="888"/>
      <c r="M66" s="926"/>
      <c r="N66" s="926"/>
      <c r="O66" s="926"/>
      <c r="P66" s="2721"/>
      <c r="Q66" s="2721"/>
      <c r="R66" s="2721"/>
      <c r="S66" s="2721"/>
      <c r="T66" s="2721"/>
      <c r="U66" s="2721"/>
      <c r="V66" s="2721"/>
      <c r="W66" s="2721"/>
      <c r="X66" s="2721"/>
      <c r="Y66" s="2721"/>
      <c r="Z66" s="2721"/>
      <c r="AA66" s="2721"/>
      <c r="AB66" s="2721"/>
      <c r="AC66" s="2721"/>
    </row>
    <row r="67" spans="1:29">
      <c r="A67" s="689"/>
      <c r="B67" s="691"/>
      <c r="C67" s="691" t="str">
        <f>YEAR(C7)&amp;"-"&amp;MONTH(C7)&amp;"-1"</f>
        <v>2024-7-1</v>
      </c>
      <c r="D67" s="691">
        <f>EDATE(C67,-3)</f>
        <v>45383</v>
      </c>
      <c r="E67" s="691">
        <f>EDATE(D67,-3)</f>
        <v>45292</v>
      </c>
      <c r="F67" s="691">
        <f t="shared" ref="F67:O67" si="18">EDATE(E67,-3)</f>
        <v>45200</v>
      </c>
      <c r="G67" s="691">
        <f t="shared" si="18"/>
        <v>45108</v>
      </c>
      <c r="H67" s="691">
        <f t="shared" si="18"/>
        <v>45017</v>
      </c>
      <c r="I67" s="691">
        <f t="shared" si="18"/>
        <v>44927</v>
      </c>
      <c r="J67" s="691">
        <f t="shared" si="18"/>
        <v>44835</v>
      </c>
      <c r="K67" s="691">
        <f t="shared" si="18"/>
        <v>44743</v>
      </c>
      <c r="L67" s="691">
        <f t="shared" si="18"/>
        <v>44652</v>
      </c>
      <c r="M67" s="691">
        <f t="shared" si="18"/>
        <v>44562</v>
      </c>
      <c r="N67" s="691">
        <f t="shared" si="18"/>
        <v>44470</v>
      </c>
      <c r="O67" s="691">
        <f t="shared" si="18"/>
        <v>44378</v>
      </c>
      <c r="P67" s="2721"/>
      <c r="Q67" s="2721"/>
      <c r="R67" s="2721"/>
      <c r="S67" s="2721"/>
      <c r="T67" s="2721"/>
      <c r="U67" s="2721"/>
      <c r="V67" s="2721"/>
      <c r="W67" s="2721"/>
      <c r="X67" s="2721"/>
      <c r="Y67" s="2721"/>
      <c r="Z67" s="2721"/>
      <c r="AA67" s="2721"/>
      <c r="AB67" s="2721"/>
      <c r="AC67" s="2721"/>
    </row>
    <row r="68" spans="1:29" ht="21.75" thickBot="1">
      <c r="A68" s="693" t="s">
        <v>1796</v>
      </c>
      <c r="B68" s="689"/>
      <c r="C68" s="694"/>
      <c r="D68" s="694"/>
      <c r="E68" s="694"/>
      <c r="F68" s="695"/>
      <c r="G68" s="695"/>
      <c r="H68" s="694"/>
      <c r="I68" s="694"/>
      <c r="J68" s="939"/>
      <c r="K68" s="940"/>
      <c r="L68" s="941"/>
      <c r="M68" s="939"/>
      <c r="N68" s="2765"/>
      <c r="O68" s="2765"/>
      <c r="P68" s="2765"/>
      <c r="Q68" s="2735"/>
      <c r="R68" s="2721"/>
      <c r="S68" s="2721"/>
      <c r="T68" s="2721"/>
      <c r="U68" s="2721"/>
      <c r="V68" s="2721"/>
      <c r="W68" s="2721"/>
      <c r="X68" s="2721"/>
      <c r="Y68" s="2721"/>
      <c r="Z68" s="2721"/>
      <c r="AA68" s="2721"/>
      <c r="AB68" s="2721"/>
      <c r="AC68" s="2721"/>
    </row>
    <row r="69" spans="1:29" s="457" customFormat="1" ht="15">
      <c r="A69" s="1987" t="s">
        <v>1902</v>
      </c>
      <c r="B69" s="1107"/>
      <c r="C69" s="1180" t="str">
        <f>YEAR(C67)&amp;"-"&amp;ROUNDUP(MONTH(C67)/3,0)</f>
        <v>2024-3</v>
      </c>
      <c r="D69" s="1180" t="str">
        <f>YEAR(D67)&amp;"-"&amp;ROUNDUP(MONTH(D67)/3,0)</f>
        <v>2024-2</v>
      </c>
      <c r="E69" s="1180" t="str">
        <f t="shared" ref="E69:O69" si="19">YEAR(E67)&amp;"-"&amp;ROUNDUP(MONTH(E67)/3,0)</f>
        <v>2024-1</v>
      </c>
      <c r="F69" s="1180" t="str">
        <f t="shared" si="19"/>
        <v>2023-4</v>
      </c>
      <c r="G69" s="1180" t="str">
        <f t="shared" si="19"/>
        <v>2023-3</v>
      </c>
      <c r="H69" s="1180" t="str">
        <f t="shared" si="19"/>
        <v>2023-2</v>
      </c>
      <c r="I69" s="1180" t="str">
        <f t="shared" si="19"/>
        <v>2023-1</v>
      </c>
      <c r="J69" s="1180" t="str">
        <f t="shared" si="19"/>
        <v>2022-4</v>
      </c>
      <c r="K69" s="1180" t="str">
        <f t="shared" si="19"/>
        <v>2022-3</v>
      </c>
      <c r="L69" s="1180" t="str">
        <f t="shared" si="19"/>
        <v>2022-2</v>
      </c>
      <c r="M69" s="1180" t="str">
        <f t="shared" si="19"/>
        <v>2022-1</v>
      </c>
      <c r="N69" s="1180" t="str">
        <f t="shared" si="19"/>
        <v>2021-4</v>
      </c>
      <c r="O69" s="1180" t="str">
        <f t="shared" si="19"/>
        <v>2021-3</v>
      </c>
      <c r="P69" s="2772"/>
      <c r="Q69" s="2737"/>
      <c r="R69" s="2737"/>
      <c r="S69" s="2737"/>
      <c r="T69" s="2737"/>
      <c r="U69" s="2737"/>
      <c r="V69" s="2737"/>
      <c r="W69" s="2737"/>
      <c r="X69" s="2737"/>
      <c r="Y69" s="2737"/>
      <c r="Z69" s="2737"/>
      <c r="AA69" s="2737"/>
      <c r="AB69" s="2737"/>
      <c r="AC69" s="2737"/>
    </row>
    <row r="70" spans="1:29" s="108" customFormat="1" ht="30" customHeight="1">
      <c r="A70" s="1988"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5"/>
      <c r="Q70" s="2657"/>
      <c r="R70" s="2657"/>
      <c r="S70" s="2657"/>
      <c r="T70" s="2657"/>
      <c r="U70" s="2657"/>
      <c r="V70" s="2657"/>
      <c r="W70" s="2657"/>
      <c r="X70" s="2657"/>
      <c r="Y70" s="2657"/>
      <c r="Z70" s="2657"/>
      <c r="AA70" s="2657"/>
      <c r="AB70" s="2657"/>
      <c r="AC70" s="2657"/>
    </row>
    <row r="71" spans="1:29" s="108" customFormat="1" ht="15.75" thickBot="1">
      <c r="A71" s="464" t="s">
        <v>1714</v>
      </c>
      <c r="B71" s="465"/>
      <c r="C71" s="466"/>
      <c r="D71" s="467"/>
      <c r="E71" s="467"/>
      <c r="F71" s="467"/>
      <c r="G71" s="467"/>
      <c r="H71" s="467"/>
      <c r="I71" s="467"/>
      <c r="J71" s="467"/>
      <c r="K71" s="467"/>
      <c r="L71" s="467"/>
      <c r="M71" s="468"/>
      <c r="N71" s="467"/>
      <c r="O71" s="942"/>
      <c r="P71" s="2735"/>
      <c r="Q71" s="2735"/>
      <c r="R71" s="2657"/>
      <c r="S71" s="2657"/>
      <c r="T71" s="2657"/>
      <c r="U71" s="2657"/>
      <c r="V71" s="2657"/>
      <c r="W71" s="2657"/>
      <c r="X71" s="2657"/>
      <c r="Y71" s="2657"/>
      <c r="Z71" s="2657"/>
      <c r="AA71" s="2657"/>
      <c r="AB71" s="2657"/>
      <c r="AC71" s="2657"/>
    </row>
    <row r="72" spans="1:29" s="108" customFormat="1" ht="15">
      <c r="A72" s="470" t="s">
        <v>1679</v>
      </c>
      <c r="B72" s="459"/>
      <c r="C72" s="471" t="s">
        <v>1774</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6">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1717</v>
      </c>
      <c r="B74" s="477" t="s">
        <v>1683</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1686</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1688</v>
      </c>
      <c r="B87" s="477" t="s">
        <v>1718</v>
      </c>
      <c r="C87" s="522" t="s">
        <v>1719</v>
      </c>
      <c r="D87" s="522" t="s">
        <v>1720</v>
      </c>
      <c r="E87" s="522" t="s">
        <v>1721</v>
      </c>
      <c r="F87" s="522" t="s">
        <v>1722</v>
      </c>
      <c r="G87" s="522" t="s">
        <v>1723</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1904</v>
      </c>
      <c r="C89" s="527" t="s">
        <v>1719</v>
      </c>
      <c r="D89" s="527" t="s">
        <v>1720</v>
      </c>
      <c r="E89" s="527" t="s">
        <v>1721</v>
      </c>
      <c r="F89" s="527" t="s">
        <v>1722</v>
      </c>
      <c r="G89" s="527" t="s">
        <v>1723</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1819</v>
      </c>
      <c r="C91" s="527" t="s">
        <v>1719</v>
      </c>
      <c r="D91" s="527" t="s">
        <v>1720</v>
      </c>
      <c r="E91" s="527" t="s">
        <v>1721</v>
      </c>
      <c r="F91" s="527" t="s">
        <v>1722</v>
      </c>
      <c r="G91" s="527" t="s">
        <v>1723</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1724</v>
      </c>
      <c r="C93" s="527" t="s">
        <v>1719</v>
      </c>
      <c r="D93" s="527" t="s">
        <v>1720</v>
      </c>
      <c r="E93" s="527" t="s">
        <v>1721</v>
      </c>
      <c r="F93" s="527" t="s">
        <v>1722</v>
      </c>
      <c r="G93" s="527" t="s">
        <v>1723</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1905</v>
      </c>
      <c r="C95" s="527" t="s">
        <v>1719</v>
      </c>
      <c r="D95" s="527" t="s">
        <v>1720</v>
      </c>
      <c r="E95" s="527" t="s">
        <v>1721</v>
      </c>
      <c r="F95" s="527" t="s">
        <v>1722</v>
      </c>
      <c r="G95" s="527" t="s">
        <v>1723</v>
      </c>
      <c r="H95" s="527"/>
      <c r="I95" s="527"/>
      <c r="J95" s="527"/>
      <c r="K95" s="527"/>
      <c r="L95" s="645"/>
      <c r="M95" s="569"/>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69"/>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1777</v>
      </c>
      <c r="C101" s="607" t="s">
        <v>1797</v>
      </c>
      <c r="D101" s="607" t="s">
        <v>1798</v>
      </c>
      <c r="E101" s="607" t="s">
        <v>1799</v>
      </c>
      <c r="F101" s="607" t="s">
        <v>1800</v>
      </c>
      <c r="G101" s="607" t="s">
        <v>1801</v>
      </c>
      <c r="H101" s="549"/>
      <c r="I101" s="549"/>
      <c r="J101" s="549"/>
      <c r="K101" s="549"/>
      <c r="L101" s="549"/>
      <c r="M101" s="1130"/>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1813</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1871</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2"/>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4"/>
      <c r="E114" s="624"/>
      <c r="F114" s="624"/>
      <c r="G114" s="624"/>
      <c r="H114" s="624"/>
      <c r="I114" s="624"/>
      <c r="J114" s="624"/>
      <c r="K114" s="624"/>
      <c r="L114" s="624"/>
      <c r="M114" s="646"/>
      <c r="N114" s="2750"/>
      <c r="O114" s="2750"/>
      <c r="P114" s="2775"/>
      <c r="Q114" s="2742"/>
      <c r="R114" s="2743"/>
      <c r="S114" s="2743"/>
      <c r="T114" s="2743"/>
      <c r="U114" s="2743"/>
      <c r="V114" s="2743"/>
      <c r="W114" s="2743"/>
      <c r="X114" s="2743"/>
      <c r="Y114" s="2743"/>
      <c r="Z114" s="2743"/>
      <c r="AA114" s="2743"/>
      <c r="AB114" s="2743"/>
      <c r="AC114" s="2743"/>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1912</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1913</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1914</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1915</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7"/>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78" priority="18" stopIfTrue="1" operator="containsText" text="超过">
      <formula>NOT(ISERROR(SEARCH("超过",F51)))</formula>
    </cfRule>
  </conditionalFormatting>
  <conditionalFormatting sqref="J53">
    <cfRule type="containsText" dxfId="77" priority="17" stopIfTrue="1" operator="containsText" text="超过">
      <formula>NOT(ISERROR(SEARCH("超过",J53)))</formula>
    </cfRule>
  </conditionalFormatting>
  <conditionalFormatting sqref="H53">
    <cfRule type="containsText" dxfId="76" priority="16" stopIfTrue="1" operator="containsText" text="超过">
      <formula>NOT(ISERROR(SEARCH("超过",H53)))</formula>
    </cfRule>
  </conditionalFormatting>
  <conditionalFormatting sqref="F53">
    <cfRule type="containsText" dxfId="75" priority="15" stopIfTrue="1" operator="containsText" text="超过">
      <formula>NOT(ISERROR(SEARCH("超过",F53)))</formula>
    </cfRule>
  </conditionalFormatting>
  <conditionalFormatting sqref="F52 H52 J52">
    <cfRule type="containsText" dxfId="74" priority="14" stopIfTrue="1" operator="containsText" text="超过">
      <formula>NOT(ISERROR(SEARCH("超过",F52)))</formula>
    </cfRule>
  </conditionalFormatting>
  <conditionalFormatting sqref="E51">
    <cfRule type="expression" dxfId="73" priority="13" stopIfTrue="1">
      <formula>$F$51="超过30%"</formula>
    </cfRule>
  </conditionalFormatting>
  <conditionalFormatting sqref="G53">
    <cfRule type="expression" dxfId="72" priority="12" stopIfTrue="1">
      <formula>$H$53="超过30%"</formula>
    </cfRule>
  </conditionalFormatting>
  <conditionalFormatting sqref="E52">
    <cfRule type="expression" dxfId="71" priority="11" stopIfTrue="1">
      <formula>$F$52="超过20%"</formula>
    </cfRule>
  </conditionalFormatting>
  <conditionalFormatting sqref="E53">
    <cfRule type="expression" dxfId="70" priority="10" stopIfTrue="1">
      <formula>$F$53="超过30%"</formula>
    </cfRule>
  </conditionalFormatting>
  <conditionalFormatting sqref="G51">
    <cfRule type="expression" dxfId="69" priority="9" stopIfTrue="1">
      <formula>$H$53+$H$51="超过30%"</formula>
    </cfRule>
  </conditionalFormatting>
  <conditionalFormatting sqref="G52">
    <cfRule type="expression" dxfId="68" priority="8" stopIfTrue="1">
      <formula>$H$52="超过20%"</formula>
    </cfRule>
  </conditionalFormatting>
  <conditionalFormatting sqref="I51">
    <cfRule type="expression" dxfId="67" priority="7" stopIfTrue="1">
      <formula>$J$51="超过30%"</formula>
    </cfRule>
  </conditionalFormatting>
  <conditionalFormatting sqref="I52">
    <cfRule type="expression" dxfId="66" priority="6" stopIfTrue="1">
      <formula>$J$52="超过20%"</formula>
    </cfRule>
  </conditionalFormatting>
  <conditionalFormatting sqref="I53">
    <cfRule type="expression" dxfId="65" priority="5" stopIfTrue="1">
      <formula>$J$53="超过30%"</formula>
    </cfRule>
  </conditionalFormatting>
  <conditionalFormatting sqref="F47">
    <cfRule type="expression" dxfId="64" priority="4">
      <formula>$D$47="简单平均"</formula>
    </cfRule>
  </conditionalFormatting>
  <conditionalFormatting sqref="H47">
    <cfRule type="expression" dxfId="63" priority="3">
      <formula>$D$47="简单平均"</formula>
    </cfRule>
  </conditionalFormatting>
  <conditionalFormatting sqref="J47">
    <cfRule type="expression" dxfId="62" priority="2">
      <formula>$D$47="简单平均"</formula>
    </cfRule>
  </conditionalFormatting>
  <conditionalFormatting sqref="F7:F45 H7:H45 J7:J45">
    <cfRule type="cellIs" dxfId="61"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5"/>
      <c r="E1" s="685"/>
      <c r="F1" s="684" t="s">
        <v>1765</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1460</v>
      </c>
      <c r="B2" s="618" t="e">
        <f>F61</f>
        <v>#DIV/0!</v>
      </c>
      <c r="C2" s="907"/>
      <c r="D2" s="907"/>
      <c r="E2" s="907"/>
      <c r="F2" s="908"/>
      <c r="G2" s="907"/>
      <c r="H2" s="907"/>
      <c r="I2" s="907"/>
      <c r="J2" s="907"/>
      <c r="K2" s="909"/>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1462</v>
      </c>
      <c r="B3" s="558" t="e">
        <f>ROUND(IF(D3="",B2*10000/'数据-汇总表'!E3,B2*10000/D3),0)</f>
        <v>#DIV/0!</v>
      </c>
      <c r="C3" s="203" t="s">
        <v>1867</v>
      </c>
      <c r="D3" s="1191"/>
      <c r="E3" s="907"/>
      <c r="F3" s="908"/>
      <c r="G3" s="907"/>
      <c r="H3" s="907"/>
      <c r="I3" s="907"/>
      <c r="J3" s="907"/>
      <c r="K3" s="909"/>
      <c r="L3" s="2730"/>
      <c r="M3" s="2731"/>
      <c r="N3" s="2731"/>
      <c r="O3" s="2731"/>
      <c r="P3" s="698"/>
      <c r="Q3" s="698"/>
      <c r="R3" s="698"/>
      <c r="S3" s="698"/>
      <c r="T3" s="698"/>
      <c r="U3" s="698"/>
      <c r="V3" s="698"/>
      <c r="W3" s="698"/>
      <c r="X3" s="698"/>
      <c r="Y3" s="698"/>
      <c r="Z3" s="698"/>
      <c r="AA3" s="698"/>
      <c r="AB3" s="715"/>
      <c r="AC3" s="712"/>
    </row>
    <row r="4" spans="1:29" ht="15">
      <c r="A4" s="355" t="s">
        <v>1767</v>
      </c>
      <c r="B4" s="356"/>
      <c r="C4" s="3735" t="s">
        <v>1768</v>
      </c>
      <c r="D4" s="3736"/>
      <c r="E4" s="3737" t="s">
        <v>1769</v>
      </c>
      <c r="F4" s="3738"/>
      <c r="G4" s="3735" t="s">
        <v>1770</v>
      </c>
      <c r="H4" s="3736"/>
      <c r="I4" s="3735" t="s">
        <v>1771</v>
      </c>
      <c r="J4" s="3736"/>
      <c r="K4" s="559" t="s">
        <v>1772</v>
      </c>
      <c r="L4" s="2711"/>
      <c r="M4" s="2712"/>
      <c r="N4" s="2712"/>
      <c r="O4" s="2712"/>
      <c r="P4" s="3790" t="s">
        <v>1773</v>
      </c>
      <c r="Q4" s="3791"/>
      <c r="R4" s="3788" t="s">
        <v>1769</v>
      </c>
      <c r="S4" s="3789"/>
      <c r="T4" s="3788" t="s">
        <v>1770</v>
      </c>
      <c r="U4" s="3789"/>
      <c r="V4" s="3748" t="s">
        <v>1771</v>
      </c>
      <c r="W4" s="3748"/>
      <c r="X4" s="1353"/>
      <c r="Y4" s="3788" t="s">
        <v>1773</v>
      </c>
      <c r="Z4" s="3789"/>
      <c r="AA4" s="3787" t="s">
        <v>1769</v>
      </c>
      <c r="AB4" s="3714" t="s">
        <v>1770</v>
      </c>
      <c r="AC4" s="3787" t="s">
        <v>1771</v>
      </c>
    </row>
    <row r="5" spans="1:29" ht="15">
      <c r="A5" s="358"/>
      <c r="B5" s="359"/>
      <c r="C5" s="3724" t="s">
        <v>1671</v>
      </c>
      <c r="D5" s="3725"/>
      <c r="E5" s="3722" t="s">
        <v>1672</v>
      </c>
      <c r="F5" s="3723"/>
      <c r="G5" s="3724" t="s">
        <v>1673</v>
      </c>
      <c r="H5" s="3725"/>
      <c r="I5" s="3724" t="s">
        <v>1674</v>
      </c>
      <c r="J5" s="3725"/>
      <c r="K5" s="559"/>
      <c r="L5" s="2711"/>
      <c r="M5" s="2712"/>
      <c r="N5" s="2712"/>
      <c r="O5" s="2712"/>
      <c r="P5" s="3792"/>
      <c r="Q5" s="3742"/>
      <c r="R5" s="3720"/>
      <c r="S5" s="3721"/>
      <c r="T5" s="3720"/>
      <c r="U5" s="3721"/>
      <c r="V5" s="3748"/>
      <c r="W5" s="3748"/>
      <c r="X5" s="1353"/>
      <c r="Y5" s="3720"/>
      <c r="Z5" s="3721"/>
      <c r="AA5" s="3714"/>
      <c r="AB5" s="3714"/>
      <c r="AC5" s="3714"/>
    </row>
    <row r="6" spans="1:29" ht="15.75" thickBot="1">
      <c r="A6" s="360"/>
      <c r="B6" s="361"/>
      <c r="C6" s="3802" t="s">
        <v>1917</v>
      </c>
      <c r="D6" s="3803"/>
      <c r="E6" s="3804" t="s">
        <v>1917</v>
      </c>
      <c r="F6" s="3805"/>
      <c r="G6" s="3802" t="s">
        <v>1917</v>
      </c>
      <c r="H6" s="3803"/>
      <c r="I6" s="3802" t="s">
        <v>1917</v>
      </c>
      <c r="J6" s="3803"/>
      <c r="K6" s="559" t="s">
        <v>1676</v>
      </c>
      <c r="L6" s="2711"/>
      <c r="M6" s="2712"/>
      <c r="N6" s="2712"/>
      <c r="O6" s="2712"/>
      <c r="P6" s="3793"/>
      <c r="Q6" s="3744"/>
      <c r="R6" s="3720"/>
      <c r="S6" s="3721"/>
      <c r="T6" s="3745"/>
      <c r="U6" s="3746"/>
      <c r="V6" s="3748"/>
      <c r="W6" s="3748"/>
      <c r="X6" s="1353"/>
      <c r="Y6" s="3745"/>
      <c r="Z6" s="3746"/>
      <c r="AA6" s="3715"/>
      <c r="AB6" s="3715"/>
      <c r="AC6" s="3715"/>
    </row>
    <row r="7" spans="1:29" s="108" customFormat="1" ht="15.75" thickBot="1">
      <c r="A7" s="362" t="s">
        <v>1677</v>
      </c>
      <c r="B7" s="363"/>
      <c r="C7" s="364">
        <f>'数据-取费表'!B2</f>
        <v>45498</v>
      </c>
      <c r="D7" s="365">
        <v>100</v>
      </c>
      <c r="E7" s="366"/>
      <c r="F7" s="367">
        <f>SUMIF(65:65,YEAR(E7)&amp;"-"&amp;INT((MONTH(E7)+2)/3),66:66)</f>
        <v>0</v>
      </c>
      <c r="G7" s="1972"/>
      <c r="H7" s="365">
        <f>SUMIF(65:65,YEAR(G7)&amp;"-"&amp;INT((MONTH(G7)+2)/3),66:66)</f>
        <v>0</v>
      </c>
      <c r="I7" s="1972"/>
      <c r="J7" s="365">
        <f>SUMIF(65:65,YEAR(I7)&amp;"-"&amp;INT((MONTH(I7)+2)/3),66:66)</f>
        <v>0</v>
      </c>
      <c r="K7" s="560"/>
      <c r="L7" s="2713"/>
      <c r="M7" s="2714"/>
      <c r="N7" s="2714"/>
      <c r="O7" s="2714"/>
      <c r="P7" s="3716" t="s">
        <v>1678</v>
      </c>
      <c r="Q7" s="3751"/>
      <c r="R7" s="700" t="s">
        <v>14</v>
      </c>
      <c r="S7" s="701">
        <f t="shared" ref="S7:S15" si="0">F7</f>
        <v>0</v>
      </c>
      <c r="T7" s="700" t="s">
        <v>14</v>
      </c>
      <c r="U7" s="701">
        <f t="shared" ref="U7:U15" si="1">H7</f>
        <v>0</v>
      </c>
      <c r="V7" s="700" t="s">
        <v>14</v>
      </c>
      <c r="W7" s="701">
        <f t="shared" ref="W7:W15" si="2">J7</f>
        <v>0</v>
      </c>
      <c r="X7" s="702"/>
      <c r="Y7" s="3716" t="s">
        <v>1678</v>
      </c>
      <c r="Z7" s="3717"/>
      <c r="AA7" s="703" t="e">
        <f>D7/F7</f>
        <v>#DIV/0!</v>
      </c>
      <c r="AB7" s="703" t="e">
        <f>D7/H7</f>
        <v>#DIV/0!</v>
      </c>
      <c r="AC7" s="703"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716" t="s">
        <v>1681</v>
      </c>
      <c r="Q8" s="3717"/>
      <c r="R8" s="700" t="s">
        <v>14</v>
      </c>
      <c r="S8" s="701">
        <f t="shared" si="0"/>
        <v>0</v>
      </c>
      <c r="T8" s="700" t="s">
        <v>14</v>
      </c>
      <c r="U8" s="701">
        <f t="shared" si="1"/>
        <v>0</v>
      </c>
      <c r="V8" s="700" t="s">
        <v>14</v>
      </c>
      <c r="W8" s="701">
        <f t="shared" si="2"/>
        <v>0</v>
      </c>
      <c r="X8" s="702"/>
      <c r="Y8" s="3716" t="s">
        <v>1681</v>
      </c>
      <c r="Z8" s="3717"/>
      <c r="AA8" s="703" t="e">
        <f t="shared" ref="AA8:AA40" si="3">D8/F8</f>
        <v>#DIV/0!</v>
      </c>
      <c r="AB8" s="703" t="e">
        <f t="shared" ref="AB8:AB40" si="4">D8/H8</f>
        <v>#DIV/0!</v>
      </c>
      <c r="AC8" s="703" t="e">
        <f t="shared" ref="AC8:AC40" si="5">D8/J8</f>
        <v>#DIV/0!</v>
      </c>
    </row>
    <row r="9" spans="1:29" s="108" customFormat="1">
      <c r="A9" s="369" t="s">
        <v>1682</v>
      </c>
      <c r="B9" s="63" t="s">
        <v>1683</v>
      </c>
      <c r="C9" s="1975"/>
      <c r="D9" s="126">
        <v>100</v>
      </c>
      <c r="E9" s="1975"/>
      <c r="F9" s="126">
        <f>SUMIF(70:70,E9,71:71)-SUMIF(70:70,C9,71:71)+100</f>
        <v>100</v>
      </c>
      <c r="G9" s="1975"/>
      <c r="H9" s="126">
        <f>SUMIF(70:70,G9,71:71)-SUMIF(70:70,C9,71:71)+100</f>
        <v>100</v>
      </c>
      <c r="I9" s="1975"/>
      <c r="J9" s="126">
        <f>SUMIF(70:70,I9,71:71)-SUMIF(70:70,C9,71:71)+100</f>
        <v>100</v>
      </c>
      <c r="K9" s="560"/>
      <c r="L9" s="2713"/>
      <c r="M9" s="2714"/>
      <c r="N9" s="2714"/>
      <c r="O9" s="2768"/>
      <c r="P9" s="3761" t="s">
        <v>1684</v>
      </c>
      <c r="Q9" s="1341" t="str">
        <f t="shared" ref="Q9:Q15" si="6">B9</f>
        <v>用途</v>
      </c>
      <c r="R9" s="700" t="s">
        <v>14</v>
      </c>
      <c r="S9" s="701">
        <f t="shared" si="0"/>
        <v>100</v>
      </c>
      <c r="T9" s="700" t="s">
        <v>14</v>
      </c>
      <c r="U9" s="701">
        <f t="shared" si="1"/>
        <v>100</v>
      </c>
      <c r="V9" s="700" t="s">
        <v>14</v>
      </c>
      <c r="W9" s="701">
        <f t="shared" si="2"/>
        <v>100</v>
      </c>
      <c r="X9" s="702"/>
      <c r="Y9" s="3681" t="s">
        <v>1685</v>
      </c>
      <c r="Z9" s="52" t="str">
        <f t="shared" ref="Z9:Z15" si="7">Q9</f>
        <v>用途</v>
      </c>
      <c r="AA9" s="703">
        <f t="shared" si="3"/>
        <v>1</v>
      </c>
      <c r="AB9" s="703">
        <f t="shared" si="4"/>
        <v>1</v>
      </c>
      <c r="AC9" s="703">
        <f t="shared" si="5"/>
        <v>1</v>
      </c>
    </row>
    <row r="10" spans="1:29" s="378" customFormat="1" ht="27">
      <c r="A10" s="374"/>
      <c r="B10" s="375" t="s">
        <v>1686</v>
      </c>
      <c r="C10" s="383"/>
      <c r="D10" s="127">
        <v>100</v>
      </c>
      <c r="E10" s="383"/>
      <c r="F10" s="127">
        <f>ROUND(100/'数据-取费表'!G16,0)</f>
        <v>132</v>
      </c>
      <c r="G10" s="383"/>
      <c r="H10" s="127">
        <f>ROUND(100/'数据-取费表'!G16,0)</f>
        <v>132</v>
      </c>
      <c r="I10" s="383"/>
      <c r="J10" s="127">
        <f>ROUND(100/'数据-取费表'!G16,0)</f>
        <v>132</v>
      </c>
      <c r="K10" s="619"/>
      <c r="L10" s="2715"/>
      <c r="M10" s="2716"/>
      <c r="N10" s="2716"/>
      <c r="O10" s="2769"/>
      <c r="P10" s="3761"/>
      <c r="Q10" s="1341" t="str">
        <f t="shared" si="6"/>
        <v>土地使用年限（年）</v>
      </c>
      <c r="R10" s="700" t="s">
        <v>14</v>
      </c>
      <c r="S10" s="701">
        <f t="shared" si="0"/>
        <v>132</v>
      </c>
      <c r="T10" s="700" t="s">
        <v>14</v>
      </c>
      <c r="U10" s="701">
        <f t="shared" si="1"/>
        <v>132</v>
      </c>
      <c r="V10" s="700" t="s">
        <v>14</v>
      </c>
      <c r="W10" s="701">
        <f t="shared" si="2"/>
        <v>132</v>
      </c>
      <c r="X10" s="702"/>
      <c r="Y10" s="3681"/>
      <c r="Z10" s="52" t="str">
        <f t="shared" si="7"/>
        <v>土地使用年限（年）</v>
      </c>
      <c r="AA10" s="703">
        <f t="shared" si="3"/>
        <v>0.75757575757575757</v>
      </c>
      <c r="AB10" s="703">
        <f t="shared" si="4"/>
        <v>0.75757575757575757</v>
      </c>
      <c r="AC10" s="703">
        <f t="shared" si="5"/>
        <v>0.75757575757575757</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17"/>
      <c r="M11" s="2712"/>
      <c r="N11" s="2712"/>
      <c r="O11" s="2770"/>
      <c r="P11" s="3761"/>
      <c r="Q11" s="1341" t="str">
        <f t="shared" si="6"/>
        <v>容积率</v>
      </c>
      <c r="R11" s="700" t="s">
        <v>14</v>
      </c>
      <c r="S11" s="701" t="e">
        <f t="shared" si="0"/>
        <v>#N/A</v>
      </c>
      <c r="T11" s="700" t="s">
        <v>14</v>
      </c>
      <c r="U11" s="701" t="e">
        <f t="shared" si="1"/>
        <v>#N/A</v>
      </c>
      <c r="V11" s="700" t="s">
        <v>14</v>
      </c>
      <c r="W11" s="701" t="e">
        <f t="shared" si="2"/>
        <v>#N/A</v>
      </c>
      <c r="X11" s="702"/>
      <c r="Y11" s="3681"/>
      <c r="Z11" s="52" t="str">
        <f t="shared" si="7"/>
        <v>容积率</v>
      </c>
      <c r="AA11" s="703" t="e">
        <f t="shared" si="3"/>
        <v>#N/A</v>
      </c>
      <c r="AB11" s="703" t="e">
        <f t="shared" si="4"/>
        <v>#N/A</v>
      </c>
      <c r="AC11" s="703" t="e">
        <f t="shared" si="5"/>
        <v>#N/A</v>
      </c>
    </row>
    <row r="12" spans="1:29" s="108" customFormat="1" ht="15">
      <c r="A12" s="382"/>
      <c r="B12" s="1891">
        <v>111</v>
      </c>
      <c r="C12" s="383"/>
      <c r="D12" s="384">
        <v>100</v>
      </c>
      <c r="E12" s="498"/>
      <c r="F12" s="127">
        <f>SUMIF(77:77,E12,78:78)-SUMIF(77:77,C12,78:78)+100</f>
        <v>100</v>
      </c>
      <c r="G12" s="621"/>
      <c r="H12" s="127">
        <f>SUMIF(77:77,G12,78:78)-SUMIF(77:77,C12,78:78)+100</f>
        <v>100</v>
      </c>
      <c r="I12" s="498"/>
      <c r="J12" s="127">
        <f>SUMIF(77:77,I12,78:78)-SUMIF(77:77,C12,78:78)+100</f>
        <v>100</v>
      </c>
      <c r="K12" s="619"/>
      <c r="L12" s="2713"/>
      <c r="M12" s="2714"/>
      <c r="N12" s="2714"/>
      <c r="O12" s="2768"/>
      <c r="P12" s="3761"/>
      <c r="Q12" s="1341">
        <f t="shared" si="6"/>
        <v>111</v>
      </c>
      <c r="R12" s="700" t="s">
        <v>14</v>
      </c>
      <c r="S12" s="701">
        <f t="shared" si="0"/>
        <v>100</v>
      </c>
      <c r="T12" s="700" t="s">
        <v>14</v>
      </c>
      <c r="U12" s="701">
        <f t="shared" si="1"/>
        <v>100</v>
      </c>
      <c r="V12" s="700" t="s">
        <v>14</v>
      </c>
      <c r="W12" s="701">
        <f t="shared" si="2"/>
        <v>100</v>
      </c>
      <c r="X12" s="702"/>
      <c r="Y12" s="3681"/>
      <c r="Z12" s="52">
        <f t="shared" si="7"/>
        <v>111</v>
      </c>
      <c r="AA12" s="703">
        <f>D12/F12</f>
        <v>1</v>
      </c>
      <c r="AB12" s="703">
        <f>D12/H12</f>
        <v>1</v>
      </c>
      <c r="AC12" s="703">
        <f>D12/J12</f>
        <v>1</v>
      </c>
    </row>
    <row r="13" spans="1:29" ht="15">
      <c r="A13" s="379"/>
      <c r="B13" s="1891">
        <v>111</v>
      </c>
      <c r="C13" s="385"/>
      <c r="D13" s="386">
        <v>100</v>
      </c>
      <c r="E13" s="498"/>
      <c r="F13" s="127">
        <f>SUMIF(79:79,E13,80:80)-SUMIF(79:79,C13,80:80)+100</f>
        <v>100</v>
      </c>
      <c r="G13" s="621"/>
      <c r="H13" s="386">
        <f>SUMIF(79:79,G13,80:80)-SUMIF(79:79,C13,80:80)+100</f>
        <v>100</v>
      </c>
      <c r="I13" s="498"/>
      <c r="J13" s="386">
        <f>SUMIF(79:79,I13,80:80)-SUMIF(79:79,C13,80:80)+100</f>
        <v>100</v>
      </c>
      <c r="K13" s="619"/>
      <c r="L13" s="2718"/>
      <c r="M13" s="2712"/>
      <c r="N13" s="2712"/>
      <c r="O13" s="2770"/>
      <c r="P13" s="3761"/>
      <c r="Q13" s="1341">
        <f t="shared" si="6"/>
        <v>111</v>
      </c>
      <c r="R13" s="700" t="s">
        <v>14</v>
      </c>
      <c r="S13" s="701">
        <f t="shared" si="0"/>
        <v>100</v>
      </c>
      <c r="T13" s="700" t="s">
        <v>14</v>
      </c>
      <c r="U13" s="701">
        <f t="shared" si="1"/>
        <v>100</v>
      </c>
      <c r="V13" s="700" t="s">
        <v>14</v>
      </c>
      <c r="W13" s="701">
        <f t="shared" si="2"/>
        <v>100</v>
      </c>
      <c r="X13" s="702"/>
      <c r="Y13" s="3681"/>
      <c r="Z13" s="52">
        <f t="shared" si="7"/>
        <v>111</v>
      </c>
      <c r="AA13" s="703">
        <f t="shared" si="3"/>
        <v>1</v>
      </c>
      <c r="AB13" s="703">
        <f t="shared" si="4"/>
        <v>1</v>
      </c>
      <c r="AC13" s="703">
        <f t="shared" si="5"/>
        <v>1</v>
      </c>
    </row>
    <row r="14" spans="1:29" ht="15.75" thickBot="1">
      <c r="A14" s="387"/>
      <c r="B14" s="1893">
        <v>111</v>
      </c>
      <c r="C14" s="388"/>
      <c r="D14" s="389">
        <v>100</v>
      </c>
      <c r="E14" s="498"/>
      <c r="F14" s="389">
        <f>SUMIF(81:81,E14,82:82)-SUMIF(81:81,C14,82:82)+100</f>
        <v>100</v>
      </c>
      <c r="G14" s="621"/>
      <c r="H14" s="389">
        <f>SUMIF(81:81,G14,82:82)-SUMIF(81:81,C14,82:82)+100</f>
        <v>100</v>
      </c>
      <c r="I14" s="498"/>
      <c r="J14" s="389">
        <f>SUMIF(81:81,I14,82:82)-SUMIF(81:81,C14,82:82)+100</f>
        <v>100</v>
      </c>
      <c r="K14" s="619"/>
      <c r="L14" s="2718"/>
      <c r="M14" s="2712"/>
      <c r="N14" s="2712"/>
      <c r="O14" s="2770"/>
      <c r="P14" s="3761"/>
      <c r="Q14" s="1341">
        <f t="shared" si="6"/>
        <v>111</v>
      </c>
      <c r="R14" s="700" t="s">
        <v>14</v>
      </c>
      <c r="S14" s="701">
        <f t="shared" si="0"/>
        <v>100</v>
      </c>
      <c r="T14" s="700" t="s">
        <v>14</v>
      </c>
      <c r="U14" s="701">
        <f t="shared" si="1"/>
        <v>100</v>
      </c>
      <c r="V14" s="700" t="s">
        <v>14</v>
      </c>
      <c r="W14" s="701">
        <f t="shared" si="2"/>
        <v>100</v>
      </c>
      <c r="X14" s="702"/>
      <c r="Y14" s="3681"/>
      <c r="Z14" s="52">
        <f t="shared" si="7"/>
        <v>111</v>
      </c>
      <c r="AA14" s="703">
        <f t="shared" si="3"/>
        <v>1</v>
      </c>
      <c r="AB14" s="703">
        <f t="shared" si="4"/>
        <v>1</v>
      </c>
      <c r="AC14" s="703">
        <f t="shared" si="5"/>
        <v>1</v>
      </c>
    </row>
    <row r="15" spans="1:29" ht="57">
      <c r="A15" s="391" t="s">
        <v>1688</v>
      </c>
      <c r="B15" s="576" t="s">
        <v>1918</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18"/>
      <c r="M15" s="2712"/>
      <c r="N15" s="2712"/>
      <c r="O15" s="2770"/>
      <c r="P15" s="3754" t="s">
        <v>1689</v>
      </c>
      <c r="Q15" s="1350" t="str">
        <f t="shared" si="6"/>
        <v>产业集聚程度</v>
      </c>
      <c r="R15" s="704" t="s">
        <v>14</v>
      </c>
      <c r="S15" s="705">
        <f t="shared" si="0"/>
        <v>100</v>
      </c>
      <c r="T15" s="704" t="s">
        <v>14</v>
      </c>
      <c r="U15" s="705">
        <f t="shared" si="1"/>
        <v>100</v>
      </c>
      <c r="V15" s="704" t="s">
        <v>14</v>
      </c>
      <c r="W15" s="705">
        <f t="shared" si="2"/>
        <v>100</v>
      </c>
      <c r="X15" s="1353"/>
      <c r="Y15" s="3754" t="s">
        <v>1689</v>
      </c>
      <c r="Z15" s="1354" t="str">
        <f t="shared" si="7"/>
        <v>产业集聚程度</v>
      </c>
      <c r="AA15" s="1351">
        <f t="shared" si="3"/>
        <v>1</v>
      </c>
      <c r="AB15" s="1351">
        <f t="shared" si="4"/>
        <v>1</v>
      </c>
      <c r="AC15" s="1351">
        <f t="shared" si="5"/>
        <v>1</v>
      </c>
    </row>
    <row r="16" spans="1:29" ht="15">
      <c r="A16" s="379"/>
      <c r="B16" s="577"/>
      <c r="C16" s="398"/>
      <c r="D16" s="399"/>
      <c r="E16" s="1902"/>
      <c r="F16" s="399"/>
      <c r="G16" s="1902"/>
      <c r="H16" s="401"/>
      <c r="I16" s="1902"/>
      <c r="J16" s="399"/>
      <c r="K16" s="619"/>
      <c r="L16" s="2718"/>
      <c r="M16" s="2712"/>
      <c r="N16" s="2712"/>
      <c r="O16" s="2770"/>
      <c r="P16" s="3755"/>
      <c r="Q16" s="1350"/>
      <c r="R16" s="704"/>
      <c r="S16" s="705"/>
      <c r="T16" s="704"/>
      <c r="U16" s="705"/>
      <c r="V16" s="704"/>
      <c r="W16" s="705"/>
      <c r="X16" s="1353"/>
      <c r="Y16" s="3755"/>
      <c r="Z16" s="1354"/>
      <c r="AA16" s="1351">
        <v>1</v>
      </c>
      <c r="AB16" s="1351">
        <v>1</v>
      </c>
      <c r="AC16" s="1351">
        <v>1</v>
      </c>
    </row>
    <row r="17" spans="1:29" ht="85.5">
      <c r="A17" s="379"/>
      <c r="B17" s="578" t="s">
        <v>1831</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18"/>
      <c r="M17" s="2712"/>
      <c r="N17" s="2712"/>
      <c r="O17" s="2770"/>
      <c r="P17" s="3755"/>
      <c r="Q17" s="1350" t="str">
        <f>B17</f>
        <v>交通便捷度</v>
      </c>
      <c r="R17" s="704" t="s">
        <v>14</v>
      </c>
      <c r="S17" s="705">
        <f>F17</f>
        <v>100</v>
      </c>
      <c r="T17" s="704" t="s">
        <v>14</v>
      </c>
      <c r="U17" s="705">
        <f>H17</f>
        <v>100</v>
      </c>
      <c r="V17" s="704" t="s">
        <v>14</v>
      </c>
      <c r="W17" s="705">
        <f>J17</f>
        <v>100</v>
      </c>
      <c r="X17" s="1353"/>
      <c r="Y17" s="3755"/>
      <c r="Z17" s="1354" t="str">
        <f>Q17</f>
        <v>交通便捷度</v>
      </c>
      <c r="AA17" s="1351">
        <f t="shared" si="3"/>
        <v>1</v>
      </c>
      <c r="AB17" s="1351">
        <f t="shared" si="4"/>
        <v>1</v>
      </c>
      <c r="AC17" s="1351">
        <f t="shared" si="5"/>
        <v>1</v>
      </c>
    </row>
    <row r="18" spans="1:29" ht="15">
      <c r="A18" s="379"/>
      <c r="B18" s="579"/>
      <c r="C18" s="398"/>
      <c r="D18" s="399"/>
      <c r="E18" s="1896"/>
      <c r="F18" s="399"/>
      <c r="G18" s="1896"/>
      <c r="H18" s="399"/>
      <c r="I18" s="1895"/>
      <c r="J18" s="399"/>
      <c r="K18" s="619"/>
      <c r="L18" s="2718"/>
      <c r="M18" s="2712"/>
      <c r="N18" s="2712"/>
      <c r="O18" s="2770"/>
      <c r="P18" s="3755"/>
      <c r="Q18" s="1350"/>
      <c r="R18" s="704"/>
      <c r="S18" s="705"/>
      <c r="T18" s="704"/>
      <c r="U18" s="705"/>
      <c r="V18" s="704"/>
      <c r="W18" s="705"/>
      <c r="X18" s="1353"/>
      <c r="Y18" s="3755"/>
      <c r="Z18" s="1354"/>
      <c r="AA18" s="1351">
        <v>1</v>
      </c>
      <c r="AB18" s="1351">
        <v>1</v>
      </c>
      <c r="AC18" s="1351">
        <v>1</v>
      </c>
    </row>
    <row r="19" spans="1:29" ht="15">
      <c r="A19" s="379"/>
      <c r="B19" s="578" t="s">
        <v>1869</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18"/>
      <c r="M19" s="2712"/>
      <c r="N19" s="2712"/>
      <c r="O19" s="2770"/>
      <c r="P19" s="3755"/>
      <c r="Q19" s="1350" t="str">
        <f t="shared" ref="Q19:Q33" si="8">B19</f>
        <v>区域土地利用方向</v>
      </c>
      <c r="R19" s="704" t="s">
        <v>14</v>
      </c>
      <c r="S19" s="705">
        <f>F19</f>
        <v>100</v>
      </c>
      <c r="T19" s="704" t="s">
        <v>14</v>
      </c>
      <c r="U19" s="705">
        <f>H19</f>
        <v>100</v>
      </c>
      <c r="V19" s="704" t="s">
        <v>14</v>
      </c>
      <c r="W19" s="705">
        <f>J19</f>
        <v>100</v>
      </c>
      <c r="X19" s="1353"/>
      <c r="Y19" s="3755"/>
      <c r="Z19" s="1354" t="str">
        <f>Q19</f>
        <v>区域土地利用方向</v>
      </c>
      <c r="AA19" s="1351">
        <f t="shared" si="3"/>
        <v>1</v>
      </c>
      <c r="AB19" s="1351">
        <f t="shared" si="4"/>
        <v>1</v>
      </c>
      <c r="AC19" s="1351">
        <f t="shared" si="5"/>
        <v>1</v>
      </c>
    </row>
    <row r="20" spans="1:29" ht="15">
      <c r="A20" s="358"/>
      <c r="B20" s="579"/>
      <c r="C20" s="398"/>
      <c r="D20" s="399"/>
      <c r="E20" s="1896"/>
      <c r="F20" s="399"/>
      <c r="G20" s="1896"/>
      <c r="H20" s="399"/>
      <c r="I20" s="1896"/>
      <c r="J20" s="399"/>
      <c r="K20" s="739"/>
      <c r="L20" s="2718"/>
      <c r="M20" s="2712"/>
      <c r="N20" s="2712"/>
      <c r="O20" s="2770"/>
      <c r="P20" s="3755"/>
      <c r="Q20" s="1350"/>
      <c r="R20" s="704"/>
      <c r="S20" s="705"/>
      <c r="T20" s="704"/>
      <c r="U20" s="705"/>
      <c r="V20" s="704"/>
      <c r="W20" s="705"/>
      <c r="X20" s="1353"/>
      <c r="Y20" s="3755"/>
      <c r="Z20" s="1354"/>
      <c r="AA20" s="1351"/>
      <c r="AB20" s="1351"/>
      <c r="AC20" s="1351"/>
    </row>
    <row r="21" spans="1:29" ht="71.25">
      <c r="A21" s="358"/>
      <c r="B21" s="578" t="s">
        <v>1919</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18"/>
      <c r="M21" s="2712"/>
      <c r="N21" s="2712"/>
      <c r="O21" s="2770"/>
      <c r="P21" s="3755"/>
      <c r="Q21" s="1350" t="str">
        <f t="shared" si="8"/>
        <v>环境状况</v>
      </c>
      <c r="R21" s="704" t="s">
        <v>14</v>
      </c>
      <c r="S21" s="705">
        <f>F21</f>
        <v>100</v>
      </c>
      <c r="T21" s="704" t="s">
        <v>14</v>
      </c>
      <c r="U21" s="705">
        <f>H21</f>
        <v>100</v>
      </c>
      <c r="V21" s="704" t="s">
        <v>14</v>
      </c>
      <c r="W21" s="705">
        <f>J21</f>
        <v>100</v>
      </c>
      <c r="X21" s="1353"/>
      <c r="Y21" s="3755"/>
      <c r="Z21" s="1354" t="str">
        <f>Q21</f>
        <v>环境状况</v>
      </c>
      <c r="AA21" s="1351">
        <f t="shared" si="3"/>
        <v>1</v>
      </c>
      <c r="AB21" s="1351">
        <f t="shared" si="4"/>
        <v>1</v>
      </c>
      <c r="AC21" s="1351">
        <f t="shared" si="5"/>
        <v>1</v>
      </c>
    </row>
    <row r="22" spans="1:29" ht="15">
      <c r="A22" s="358"/>
      <c r="B22" s="579"/>
      <c r="C22" s="398"/>
      <c r="D22" s="399"/>
      <c r="E22" s="1902"/>
      <c r="F22" s="399"/>
      <c r="G22" s="1902"/>
      <c r="H22" s="399"/>
      <c r="I22" s="398"/>
      <c r="J22" s="399"/>
      <c r="K22" s="619"/>
      <c r="L22" s="2718"/>
      <c r="M22" s="2712"/>
      <c r="N22" s="2712"/>
      <c r="O22" s="2770"/>
      <c r="P22" s="3755"/>
      <c r="Q22" s="1350"/>
      <c r="R22" s="704"/>
      <c r="S22" s="705"/>
      <c r="T22" s="704"/>
      <c r="U22" s="705"/>
      <c r="V22" s="704"/>
      <c r="W22" s="705"/>
      <c r="X22" s="1353"/>
      <c r="Y22" s="3755"/>
      <c r="Z22" s="1354"/>
      <c r="AA22" s="1351">
        <v>1</v>
      </c>
      <c r="AB22" s="1351">
        <v>1</v>
      </c>
      <c r="AC22" s="1351">
        <v>1</v>
      </c>
    </row>
    <row r="23" spans="1:29" s="108" customFormat="1" ht="42.75">
      <c r="A23" s="596"/>
      <c r="B23" s="580" t="s">
        <v>1776</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3"/>
      <c r="M23" s="2714"/>
      <c r="N23" s="2714"/>
      <c r="O23" s="2768"/>
      <c r="P23" s="3755"/>
      <c r="Q23" s="1341" t="str">
        <f t="shared" si="8"/>
        <v>公共配套设施</v>
      </c>
      <c r="R23" s="700" t="s">
        <v>14</v>
      </c>
      <c r="S23" s="701">
        <f>F23</f>
        <v>100</v>
      </c>
      <c r="T23" s="700" t="s">
        <v>14</v>
      </c>
      <c r="U23" s="701">
        <f>H23</f>
        <v>100</v>
      </c>
      <c r="V23" s="700" t="s">
        <v>14</v>
      </c>
      <c r="W23" s="701">
        <f>J23</f>
        <v>100</v>
      </c>
      <c r="X23" s="702"/>
      <c r="Y23" s="3755"/>
      <c r="Z23" s="52" t="str">
        <f>Q23</f>
        <v>公共配套设施</v>
      </c>
      <c r="AA23" s="1351">
        <f>D23/F23</f>
        <v>1</v>
      </c>
      <c r="AB23" s="1351">
        <f>D23/H23</f>
        <v>1</v>
      </c>
      <c r="AC23" s="1351">
        <f>D23/J23</f>
        <v>1</v>
      </c>
    </row>
    <row r="24" spans="1:29" s="108" customFormat="1" ht="15">
      <c r="A24" s="596"/>
      <c r="B24" s="579"/>
      <c r="C24" s="1976"/>
      <c r="D24" s="399"/>
      <c r="E24" s="1902"/>
      <c r="F24" s="399"/>
      <c r="G24" s="1902"/>
      <c r="H24" s="399"/>
      <c r="I24" s="398"/>
      <c r="J24" s="399"/>
      <c r="K24" s="619"/>
      <c r="L24" s="2713"/>
      <c r="M24" s="2714"/>
      <c r="N24" s="2714"/>
      <c r="O24" s="2768"/>
      <c r="P24" s="3755"/>
      <c r="Q24" s="1341"/>
      <c r="R24" s="700"/>
      <c r="S24" s="701"/>
      <c r="T24" s="700"/>
      <c r="U24" s="701"/>
      <c r="V24" s="700"/>
      <c r="W24" s="701"/>
      <c r="X24" s="702"/>
      <c r="Y24" s="3755"/>
      <c r="Z24" s="52"/>
      <c r="AA24" s="703">
        <v>1</v>
      </c>
      <c r="AB24" s="703">
        <v>1</v>
      </c>
      <c r="AC24" s="703">
        <v>1</v>
      </c>
    </row>
    <row r="25" spans="1:29" s="108" customFormat="1" ht="28.5">
      <c r="A25" s="596"/>
      <c r="B25" s="580" t="s">
        <v>1777</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3"/>
      <c r="M25" s="2714"/>
      <c r="N25" s="2714"/>
      <c r="O25" s="2768"/>
      <c r="P25" s="3755"/>
      <c r="Q25" s="1341" t="str">
        <f t="shared" ref="Q25" si="9">B25</f>
        <v>基础设施水平</v>
      </c>
      <c r="R25" s="700" t="s">
        <v>14</v>
      </c>
      <c r="S25" s="701">
        <f>F25</f>
        <v>100</v>
      </c>
      <c r="T25" s="700" t="s">
        <v>14</v>
      </c>
      <c r="U25" s="701">
        <f>H25</f>
        <v>100</v>
      </c>
      <c r="V25" s="700" t="s">
        <v>14</v>
      </c>
      <c r="W25" s="701">
        <f>J25</f>
        <v>100</v>
      </c>
      <c r="X25" s="702"/>
      <c r="Y25" s="3755"/>
      <c r="Z25" s="52" t="str">
        <f>Q25</f>
        <v>基础设施水平</v>
      </c>
      <c r="AA25" s="1351">
        <f>D25/F25</f>
        <v>1</v>
      </c>
      <c r="AB25" s="1351">
        <f>D25/H25</f>
        <v>1</v>
      </c>
      <c r="AC25" s="1351">
        <f>D25/J25</f>
        <v>1</v>
      </c>
    </row>
    <row r="26" spans="1:29" s="108" customFormat="1" ht="15">
      <c r="A26" s="596"/>
      <c r="B26" s="579"/>
      <c r="C26" s="1976"/>
      <c r="D26" s="399"/>
      <c r="E26" s="1977"/>
      <c r="F26" s="399"/>
      <c r="G26" s="1977"/>
      <c r="H26" s="399"/>
      <c r="I26" s="1977"/>
      <c r="J26" s="399"/>
      <c r="K26" s="619"/>
      <c r="L26" s="2713"/>
      <c r="M26" s="2714"/>
      <c r="N26" s="2714"/>
      <c r="O26" s="2768"/>
      <c r="P26" s="3755"/>
      <c r="Q26" s="1341"/>
      <c r="R26" s="700"/>
      <c r="S26" s="701"/>
      <c r="T26" s="700"/>
      <c r="U26" s="701"/>
      <c r="V26" s="700"/>
      <c r="W26" s="701"/>
      <c r="X26" s="702"/>
      <c r="Y26" s="3755"/>
      <c r="Z26" s="52"/>
      <c r="AA26" s="703">
        <v>1</v>
      </c>
      <c r="AB26" s="703">
        <v>1</v>
      </c>
      <c r="AC26" s="703">
        <v>1</v>
      </c>
    </row>
    <row r="27" spans="1:29" ht="15">
      <c r="A27" s="379"/>
      <c r="B27" s="579" t="s">
        <v>1778</v>
      </c>
      <c r="C27" s="565"/>
      <c r="D27" s="386">
        <v>100</v>
      </c>
      <c r="E27" s="581"/>
      <c r="F27" s="386">
        <f>SUMIF(95:95,E27,96:96)-SUMIF(95:95,C27,96:96)+100</f>
        <v>100</v>
      </c>
      <c r="G27" s="581"/>
      <c r="H27" s="386">
        <f>SUMIF(95:95,G27,96:96)-SUMIF(95:95,C27,96:96)+100</f>
        <v>100</v>
      </c>
      <c r="I27" s="581"/>
      <c r="J27" s="386">
        <f>SUMIF(95:95,I27,96:96)-SUMIF(95:95,C27,96:96)+100</f>
        <v>100</v>
      </c>
      <c r="K27" s="620"/>
      <c r="L27" s="2718"/>
      <c r="M27" s="2712"/>
      <c r="N27" s="2712"/>
      <c r="O27" s="2770"/>
      <c r="P27" s="3755"/>
      <c r="Q27" s="1350" t="str">
        <f t="shared" si="8"/>
        <v>临街状况</v>
      </c>
      <c r="R27" s="704" t="s">
        <v>14</v>
      </c>
      <c r="S27" s="705">
        <f t="shared" ref="S27:S40" si="10">F27</f>
        <v>100</v>
      </c>
      <c r="T27" s="704" t="s">
        <v>14</v>
      </c>
      <c r="U27" s="705">
        <f t="shared" ref="U27:U40" si="11">H27</f>
        <v>100</v>
      </c>
      <c r="V27" s="704" t="s">
        <v>14</v>
      </c>
      <c r="W27" s="705">
        <f t="shared" ref="W27:W40" si="12">J27</f>
        <v>100</v>
      </c>
      <c r="X27" s="1353"/>
      <c r="Y27" s="3755"/>
      <c r="Z27" s="1354" t="str">
        <f t="shared" ref="Z27:Z40" si="13">Q27</f>
        <v>临街状况</v>
      </c>
      <c r="AA27" s="1351">
        <f t="shared" si="3"/>
        <v>1</v>
      </c>
      <c r="AB27" s="1351">
        <f t="shared" si="4"/>
        <v>1</v>
      </c>
      <c r="AC27" s="1351">
        <f t="shared" si="5"/>
        <v>1</v>
      </c>
    </row>
    <row r="28" spans="1:29" ht="27">
      <c r="A28" s="379"/>
      <c r="B28" s="580" t="s">
        <v>1813</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18"/>
      <c r="M28" s="2712"/>
      <c r="N28" s="2712"/>
      <c r="O28" s="2770"/>
      <c r="P28" s="3755"/>
      <c r="Q28" s="1350" t="str">
        <f t="shared" si="8"/>
        <v>毗邻道路的类型与等级</v>
      </c>
      <c r="R28" s="704" t="s">
        <v>14</v>
      </c>
      <c r="S28" s="705">
        <f t="shared" si="10"/>
        <v>100</v>
      </c>
      <c r="T28" s="704" t="s">
        <v>14</v>
      </c>
      <c r="U28" s="705">
        <f t="shared" si="11"/>
        <v>100</v>
      </c>
      <c r="V28" s="704" t="s">
        <v>14</v>
      </c>
      <c r="W28" s="705">
        <f t="shared" si="12"/>
        <v>100</v>
      </c>
      <c r="X28" s="1353"/>
      <c r="Y28" s="3755"/>
      <c r="Z28" s="1354" t="str">
        <f t="shared" si="13"/>
        <v>毗邻道路的类型与等级</v>
      </c>
      <c r="AA28" s="1351">
        <f t="shared" si="3"/>
        <v>1</v>
      </c>
      <c r="AB28" s="1351">
        <f t="shared" si="4"/>
        <v>1</v>
      </c>
      <c r="AC28" s="1351">
        <f t="shared" si="5"/>
        <v>1</v>
      </c>
    </row>
    <row r="29" spans="1:29" ht="15">
      <c r="A29" s="379"/>
      <c r="B29" s="579"/>
      <c r="C29" s="398"/>
      <c r="D29" s="399"/>
      <c r="E29" s="1902"/>
      <c r="F29" s="399"/>
      <c r="G29" s="1902"/>
      <c r="H29" s="399"/>
      <c r="I29" s="1902"/>
      <c r="J29" s="399"/>
      <c r="K29" s="562"/>
      <c r="L29" s="2718"/>
      <c r="M29" s="2712"/>
      <c r="N29" s="2712"/>
      <c r="O29" s="2770"/>
      <c r="P29" s="3755"/>
      <c r="Q29" s="1350"/>
      <c r="R29" s="704"/>
      <c r="S29" s="705"/>
      <c r="T29" s="704"/>
      <c r="U29" s="705"/>
      <c r="V29" s="704"/>
      <c r="W29" s="705"/>
      <c r="X29" s="1353"/>
      <c r="Y29" s="3755"/>
      <c r="Z29" s="1354"/>
      <c r="AA29" s="1351">
        <v>1</v>
      </c>
      <c r="AB29" s="1351">
        <v>1</v>
      </c>
      <c r="AC29" s="1351">
        <v>1</v>
      </c>
    </row>
    <row r="30" spans="1:29" ht="15">
      <c r="A30" s="379"/>
      <c r="B30" s="601" t="s">
        <v>1871</v>
      </c>
      <c r="C30" s="1134">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18"/>
      <c r="M30" s="2712"/>
      <c r="N30" s="2712"/>
      <c r="O30" s="2770"/>
      <c r="P30" s="3755"/>
      <c r="Q30" s="1350" t="str">
        <f t="shared" si="8"/>
        <v>土地级别</v>
      </c>
      <c r="R30" s="704" t="s">
        <v>14</v>
      </c>
      <c r="S30" s="705">
        <f t="shared" si="10"/>
        <v>100</v>
      </c>
      <c r="T30" s="704" t="s">
        <v>14</v>
      </c>
      <c r="U30" s="705">
        <f t="shared" si="11"/>
        <v>100</v>
      </c>
      <c r="V30" s="704" t="s">
        <v>14</v>
      </c>
      <c r="W30" s="705">
        <f t="shared" si="12"/>
        <v>100</v>
      </c>
      <c r="X30" s="1353"/>
      <c r="Y30" s="3755"/>
      <c r="Z30" s="1354" t="str">
        <f t="shared" si="13"/>
        <v>土地级别</v>
      </c>
      <c r="AA30" s="1351">
        <f t="shared" si="3"/>
        <v>1</v>
      </c>
      <c r="AB30" s="1351">
        <f t="shared" si="4"/>
        <v>1</v>
      </c>
      <c r="AC30" s="1351">
        <f t="shared" si="5"/>
        <v>1</v>
      </c>
    </row>
    <row r="31" spans="1:29" ht="15">
      <c r="A31" s="358"/>
      <c r="B31" s="1964">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755"/>
      <c r="Q31" s="1350">
        <f t="shared" si="8"/>
        <v>111</v>
      </c>
      <c r="R31" s="704" t="s">
        <v>14</v>
      </c>
      <c r="S31" s="705">
        <f t="shared" si="10"/>
        <v>100</v>
      </c>
      <c r="T31" s="704" t="s">
        <v>14</v>
      </c>
      <c r="U31" s="705">
        <f t="shared" si="11"/>
        <v>100</v>
      </c>
      <c r="V31" s="704" t="s">
        <v>14</v>
      </c>
      <c r="W31" s="705">
        <f t="shared" si="12"/>
        <v>100</v>
      </c>
      <c r="X31" s="1353"/>
      <c r="Y31" s="3755"/>
      <c r="Z31" s="1354">
        <f t="shared" si="13"/>
        <v>111</v>
      </c>
      <c r="AA31" s="1351">
        <f t="shared" si="3"/>
        <v>1</v>
      </c>
      <c r="AB31" s="1351">
        <f t="shared" si="4"/>
        <v>1</v>
      </c>
      <c r="AC31" s="1351">
        <f t="shared" si="5"/>
        <v>1</v>
      </c>
    </row>
    <row r="32" spans="1:29" ht="15">
      <c r="A32" s="622"/>
      <c r="B32" s="1990">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18"/>
      <c r="M32" s="2712"/>
      <c r="N32" s="2712"/>
      <c r="O32" s="2770"/>
      <c r="P32" s="3797" t="s">
        <v>1694</v>
      </c>
      <c r="Q32" s="1350">
        <f t="shared" si="8"/>
        <v>111</v>
      </c>
      <c r="R32" s="704" t="s">
        <v>14</v>
      </c>
      <c r="S32" s="705">
        <f t="shared" si="10"/>
        <v>100</v>
      </c>
      <c r="T32" s="704" t="s">
        <v>14</v>
      </c>
      <c r="U32" s="705">
        <f t="shared" si="11"/>
        <v>100</v>
      </c>
      <c r="V32" s="704" t="s">
        <v>14</v>
      </c>
      <c r="W32" s="705">
        <f t="shared" si="12"/>
        <v>100</v>
      </c>
      <c r="X32" s="1353"/>
      <c r="Y32" s="3759" t="s">
        <v>1694</v>
      </c>
      <c r="Z32" s="1354">
        <f t="shared" si="13"/>
        <v>111</v>
      </c>
      <c r="AA32" s="1351">
        <f t="shared" si="3"/>
        <v>1</v>
      </c>
      <c r="AB32" s="1351">
        <f t="shared" si="4"/>
        <v>1</v>
      </c>
      <c r="AC32" s="1351">
        <f t="shared" si="5"/>
        <v>1</v>
      </c>
    </row>
    <row r="33" spans="1:31" s="422" customFormat="1" ht="15.75" thickBot="1">
      <c r="A33" s="623"/>
      <c r="B33" s="1991">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7"/>
      <c r="M33" s="2719"/>
      <c r="N33" s="2719"/>
      <c r="O33" s="2771"/>
      <c r="P33" s="3759"/>
      <c r="Q33" s="1350">
        <f t="shared" si="8"/>
        <v>111</v>
      </c>
      <c r="R33" s="707" t="s">
        <v>14</v>
      </c>
      <c r="S33" s="708">
        <f t="shared" si="10"/>
        <v>100</v>
      </c>
      <c r="T33" s="707" t="s">
        <v>14</v>
      </c>
      <c r="U33" s="708">
        <f t="shared" si="11"/>
        <v>100</v>
      </c>
      <c r="V33" s="707" t="s">
        <v>14</v>
      </c>
      <c r="W33" s="708">
        <f t="shared" si="12"/>
        <v>100</v>
      </c>
      <c r="X33" s="709"/>
      <c r="Y33" s="3759"/>
      <c r="Z33" s="710">
        <f t="shared" si="13"/>
        <v>111</v>
      </c>
      <c r="AA33" s="1351">
        <f t="shared" si="3"/>
        <v>1</v>
      </c>
      <c r="AB33" s="1351">
        <f t="shared" si="4"/>
        <v>1</v>
      </c>
      <c r="AC33" s="1351">
        <f t="shared" si="5"/>
        <v>1</v>
      </c>
    </row>
    <row r="34" spans="1:31" ht="15">
      <c r="A34" s="391" t="s">
        <v>1692</v>
      </c>
      <c r="B34" s="407" t="s">
        <v>1872</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18"/>
      <c r="M34" s="2712"/>
      <c r="N34" s="2712"/>
      <c r="O34" s="2770"/>
      <c r="P34" s="3759"/>
      <c r="Q34" s="1350" t="str">
        <f>B34</f>
        <v>宗地面积</v>
      </c>
      <c r="R34" s="704" t="s">
        <v>14</v>
      </c>
      <c r="S34" s="705" t="e">
        <f t="shared" si="10"/>
        <v>#N/A</v>
      </c>
      <c r="T34" s="704" t="s">
        <v>14</v>
      </c>
      <c r="U34" s="705" t="e">
        <f t="shared" si="11"/>
        <v>#N/A</v>
      </c>
      <c r="V34" s="704" t="s">
        <v>14</v>
      </c>
      <c r="W34" s="705" t="e">
        <f t="shared" si="12"/>
        <v>#N/A</v>
      </c>
      <c r="X34" s="1353"/>
      <c r="Y34" s="3759"/>
      <c r="Z34" s="1354" t="str">
        <f t="shared" si="13"/>
        <v>宗地面积</v>
      </c>
      <c r="AA34" s="1351" t="e">
        <f t="shared" si="3"/>
        <v>#N/A</v>
      </c>
      <c r="AB34" s="1351" t="e">
        <f t="shared" si="4"/>
        <v>#N/A</v>
      </c>
      <c r="AC34" s="1351" t="e">
        <f t="shared" si="5"/>
        <v>#N/A</v>
      </c>
    </row>
    <row r="35" spans="1:31" ht="15">
      <c r="A35" s="423"/>
      <c r="B35" s="375" t="s">
        <v>1873</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8"/>
      <c r="M35" s="2712"/>
      <c r="N35" s="2712"/>
      <c r="O35" s="2770"/>
      <c r="P35" s="3759"/>
      <c r="Q35" s="1350" t="str">
        <f t="shared" ref="Q35:Q40" si="14">B35</f>
        <v>宗地形状</v>
      </c>
      <c r="R35" s="704" t="s">
        <v>14</v>
      </c>
      <c r="S35" s="705">
        <f t="shared" si="10"/>
        <v>100</v>
      </c>
      <c r="T35" s="704" t="s">
        <v>14</v>
      </c>
      <c r="U35" s="705">
        <f t="shared" si="11"/>
        <v>100</v>
      </c>
      <c r="V35" s="704" t="s">
        <v>14</v>
      </c>
      <c r="W35" s="705">
        <f t="shared" si="12"/>
        <v>100</v>
      </c>
      <c r="X35" s="1353"/>
      <c r="Y35" s="3759"/>
      <c r="Z35" s="1354" t="str">
        <f t="shared" si="13"/>
        <v>宗地形状</v>
      </c>
      <c r="AA35" s="1351">
        <f t="shared" si="3"/>
        <v>1</v>
      </c>
      <c r="AB35" s="1351">
        <f t="shared" si="4"/>
        <v>1</v>
      </c>
      <c r="AC35" s="1351">
        <f t="shared" si="5"/>
        <v>1</v>
      </c>
    </row>
    <row r="36" spans="1:31" s="108" customFormat="1" ht="15">
      <c r="A36" s="424"/>
      <c r="B36" s="375" t="s">
        <v>1875</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3"/>
      <c r="M36" s="2714"/>
      <c r="N36" s="2714"/>
      <c r="O36" s="2768"/>
      <c r="P36" s="3759"/>
      <c r="Q36" s="1350" t="str">
        <f t="shared" si="14"/>
        <v>宗地开发程度</v>
      </c>
      <c r="R36" s="700" t="s">
        <v>14</v>
      </c>
      <c r="S36" s="701">
        <f t="shared" si="10"/>
        <v>100</v>
      </c>
      <c r="T36" s="700" t="s">
        <v>14</v>
      </c>
      <c r="U36" s="701">
        <f t="shared" si="11"/>
        <v>100</v>
      </c>
      <c r="V36" s="700" t="s">
        <v>14</v>
      </c>
      <c r="W36" s="701">
        <f t="shared" si="12"/>
        <v>100</v>
      </c>
      <c r="X36" s="702"/>
      <c r="Y36" s="3759"/>
      <c r="Z36" s="52" t="str">
        <f t="shared" si="13"/>
        <v>宗地开发程度</v>
      </c>
      <c r="AA36" s="703">
        <f t="shared" si="3"/>
        <v>1</v>
      </c>
      <c r="AB36" s="703">
        <f t="shared" si="4"/>
        <v>1</v>
      </c>
      <c r="AC36" s="703">
        <f t="shared" si="5"/>
        <v>1</v>
      </c>
    </row>
    <row r="37" spans="1:31" ht="15">
      <c r="A37" s="423"/>
      <c r="B37" s="375" t="s">
        <v>1876</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8"/>
      <c r="M37" s="2712"/>
      <c r="N37" s="2712"/>
      <c r="O37" s="2770"/>
      <c r="P37" s="3759" t="s">
        <v>1694</v>
      </c>
      <c r="Q37" s="1350" t="str">
        <f t="shared" si="14"/>
        <v>工程地质条件</v>
      </c>
      <c r="R37" s="704" t="s">
        <v>14</v>
      </c>
      <c r="S37" s="705">
        <f t="shared" si="10"/>
        <v>100</v>
      </c>
      <c r="T37" s="704" t="s">
        <v>14</v>
      </c>
      <c r="U37" s="705">
        <f t="shared" si="11"/>
        <v>100</v>
      </c>
      <c r="V37" s="704" t="s">
        <v>14</v>
      </c>
      <c r="W37" s="705">
        <f t="shared" si="12"/>
        <v>100</v>
      </c>
      <c r="X37" s="1353"/>
      <c r="Y37" s="3759" t="s">
        <v>1694</v>
      </c>
      <c r="Z37" s="1354" t="str">
        <f t="shared" si="13"/>
        <v>工程地质条件</v>
      </c>
      <c r="AA37" s="1351">
        <f t="shared" si="3"/>
        <v>1</v>
      </c>
      <c r="AB37" s="1351">
        <f t="shared" si="4"/>
        <v>1</v>
      </c>
      <c r="AC37" s="1351">
        <f t="shared" si="5"/>
        <v>1</v>
      </c>
    </row>
    <row r="38" spans="1:31" ht="15">
      <c r="A38" s="423"/>
      <c r="B38" s="1132">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18"/>
      <c r="M38" s="2712"/>
      <c r="N38" s="2712"/>
      <c r="O38" s="2770"/>
      <c r="P38" s="3759"/>
      <c r="Q38" s="1350">
        <f t="shared" si="14"/>
        <v>111</v>
      </c>
      <c r="R38" s="704" t="s">
        <v>14</v>
      </c>
      <c r="S38" s="705">
        <f t="shared" si="10"/>
        <v>100</v>
      </c>
      <c r="T38" s="704" t="s">
        <v>14</v>
      </c>
      <c r="U38" s="705">
        <f t="shared" si="11"/>
        <v>100</v>
      </c>
      <c r="V38" s="704" t="s">
        <v>14</v>
      </c>
      <c r="W38" s="705">
        <f t="shared" si="12"/>
        <v>100</v>
      </c>
      <c r="X38" s="1353"/>
      <c r="Y38" s="3759"/>
      <c r="Z38" s="1354">
        <f t="shared" si="13"/>
        <v>111</v>
      </c>
      <c r="AA38" s="1351">
        <f t="shared" si="3"/>
        <v>1</v>
      </c>
      <c r="AB38" s="1351">
        <f t="shared" si="4"/>
        <v>1</v>
      </c>
      <c r="AC38" s="1351">
        <f t="shared" si="5"/>
        <v>1</v>
      </c>
    </row>
    <row r="39" spans="1:31" ht="15">
      <c r="A39" s="423"/>
      <c r="B39" s="1132">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18"/>
      <c r="M39" s="2712"/>
      <c r="N39" s="2712"/>
      <c r="O39" s="2770"/>
      <c r="P39" s="3759"/>
      <c r="Q39" s="1350">
        <f t="shared" si="14"/>
        <v>111</v>
      </c>
      <c r="R39" s="704" t="s">
        <v>14</v>
      </c>
      <c r="S39" s="705">
        <f t="shared" si="10"/>
        <v>100</v>
      </c>
      <c r="T39" s="704" t="s">
        <v>14</v>
      </c>
      <c r="U39" s="705">
        <f t="shared" si="11"/>
        <v>100</v>
      </c>
      <c r="V39" s="704" t="s">
        <v>14</v>
      </c>
      <c r="W39" s="705">
        <f t="shared" si="12"/>
        <v>100</v>
      </c>
      <c r="X39" s="1353"/>
      <c r="Y39" s="3759"/>
      <c r="Z39" s="1354">
        <f t="shared" si="13"/>
        <v>111</v>
      </c>
      <c r="AA39" s="1351">
        <f t="shared" si="3"/>
        <v>1</v>
      </c>
      <c r="AB39" s="1351">
        <f t="shared" si="4"/>
        <v>1</v>
      </c>
      <c r="AC39" s="1351">
        <f t="shared" si="5"/>
        <v>1</v>
      </c>
    </row>
    <row r="40" spans="1:31" s="422" customFormat="1" ht="15.75" thickBot="1">
      <c r="A40" s="419"/>
      <c r="B40" s="1132">
        <v>111</v>
      </c>
      <c r="C40" s="1979"/>
      <c r="D40" s="128">
        <v>100</v>
      </c>
      <c r="E40" s="621"/>
      <c r="F40" s="389">
        <f>SUMIF(120:120,E40,121:121)-SUMIF(120:120,C40,121:121)+100</f>
        <v>100</v>
      </c>
      <c r="G40" s="621"/>
      <c r="H40" s="389">
        <f>SUMIF(120:120,G40,121:121)-SUMIF(120:120,C40,121:121)+100</f>
        <v>100</v>
      </c>
      <c r="I40" s="498"/>
      <c r="J40" s="389">
        <f>SUMIF(120:120,I40,121:121)-SUMIF(120:120,C40,121:121)+100</f>
        <v>100</v>
      </c>
      <c r="K40" s="628"/>
      <c r="L40" s="2717"/>
      <c r="M40" s="2719"/>
      <c r="N40" s="2719"/>
      <c r="O40" s="2771"/>
      <c r="P40" s="3759"/>
      <c r="Q40" s="1350">
        <f t="shared" si="14"/>
        <v>111</v>
      </c>
      <c r="R40" s="707" t="s">
        <v>14</v>
      </c>
      <c r="S40" s="708">
        <f t="shared" si="10"/>
        <v>100</v>
      </c>
      <c r="T40" s="707" t="s">
        <v>14</v>
      </c>
      <c r="U40" s="708">
        <f t="shared" si="11"/>
        <v>100</v>
      </c>
      <c r="V40" s="707" t="s">
        <v>14</v>
      </c>
      <c r="W40" s="708">
        <f t="shared" si="12"/>
        <v>100</v>
      </c>
      <c r="X40" s="709"/>
      <c r="Y40" s="3759"/>
      <c r="Z40" s="710">
        <f t="shared" si="13"/>
        <v>111</v>
      </c>
      <c r="AA40" s="1351">
        <f t="shared" si="3"/>
        <v>1</v>
      </c>
      <c r="AB40" s="1351">
        <f t="shared" si="4"/>
        <v>1</v>
      </c>
      <c r="AC40" s="1351">
        <f t="shared" si="5"/>
        <v>1</v>
      </c>
    </row>
    <row r="41" spans="1:31" ht="15">
      <c r="A41" s="430" t="s">
        <v>1842</v>
      </c>
      <c r="B41" s="1980" t="s">
        <v>1920</v>
      </c>
      <c r="C41" s="629" t="s">
        <v>0</v>
      </c>
      <c r="D41" s="432"/>
      <c r="E41" s="433"/>
      <c r="F41" s="434"/>
      <c r="G41" s="435"/>
      <c r="H41" s="436"/>
      <c r="I41" s="433"/>
      <c r="J41" s="436"/>
      <c r="K41" s="713"/>
      <c r="L41" s="2720"/>
      <c r="M41" s="2712"/>
      <c r="N41" s="2712"/>
      <c r="O41" s="2721"/>
      <c r="P41" s="3761" t="str">
        <f>A41</f>
        <v>成交单价</v>
      </c>
      <c r="Q41" s="3761"/>
      <c r="R41" s="3748">
        <f>E41</f>
        <v>0</v>
      </c>
      <c r="S41" s="3748"/>
      <c r="T41" s="3748">
        <f>G41</f>
        <v>0</v>
      </c>
      <c r="U41" s="3748"/>
      <c r="V41" s="3748">
        <f>I41</f>
        <v>0</v>
      </c>
      <c r="W41" s="3748"/>
      <c r="X41" s="689"/>
      <c r="Y41" s="711"/>
      <c r="Z41" s="689"/>
      <c r="AA41" s="689"/>
      <c r="AB41" s="689"/>
      <c r="AC41" s="689"/>
    </row>
    <row r="42" spans="1:31" ht="15.75" thickBot="1">
      <c r="A42" s="437" t="s">
        <v>1791</v>
      </c>
      <c r="B42" s="630"/>
      <c r="C42" s="440" t="e">
        <f>R43</f>
        <v>#DIV/0!</v>
      </c>
      <c r="D42" s="2315" t="s">
        <v>2135</v>
      </c>
      <c r="E42" s="440" t="e">
        <f>R42</f>
        <v>#DIV/0!</v>
      </c>
      <c r="F42" s="2316"/>
      <c r="G42" s="439" t="e">
        <f>T42</f>
        <v>#DIV/0!</v>
      </c>
      <c r="H42" s="2316"/>
      <c r="I42" s="440" t="e">
        <f>V42</f>
        <v>#DIV/0!</v>
      </c>
      <c r="J42" s="2316"/>
      <c r="K42" s="2318">
        <f>F42+H42+J42</f>
        <v>0</v>
      </c>
      <c r="L42" s="2720"/>
      <c r="M42" s="2712"/>
      <c r="N42" s="2712"/>
      <c r="O42" s="2721"/>
      <c r="P42" s="3761" t="str">
        <f>A42</f>
        <v>比较价值（元/平方米）</v>
      </c>
      <c r="Q42" s="3761"/>
      <c r="R42" s="3799" t="e">
        <f>ROUND(PRODUCT(R41,AA7:AA40),0)</f>
        <v>#DIV/0!</v>
      </c>
      <c r="S42" s="3799"/>
      <c r="T42" s="3799" t="e">
        <f>ROUND(PRODUCT(T41,AB7:AB40),0)</f>
        <v>#DIV/0!</v>
      </c>
      <c r="U42" s="3799"/>
      <c r="V42" s="3799" t="e">
        <f>ROUND(PRODUCT(V41,AC7:AC40),0)</f>
        <v>#DIV/0!</v>
      </c>
      <c r="W42" s="3799"/>
      <c r="X42" s="689"/>
      <c r="Y42" s="689"/>
      <c r="Z42" s="689"/>
      <c r="AA42" s="689"/>
      <c r="AB42" s="689"/>
      <c r="AC42" s="689"/>
    </row>
    <row r="43" spans="1:31" ht="15.75" thickBot="1">
      <c r="A43" s="441" t="s">
        <v>1792</v>
      </c>
      <c r="B43" s="442"/>
      <c r="C43" s="443" t="e">
        <f>R43</f>
        <v>#DIV/0!</v>
      </c>
      <c r="D43" s="443"/>
      <c r="E43" s="443"/>
      <c r="F43" s="443"/>
      <c r="G43" s="443"/>
      <c r="H43" s="443"/>
      <c r="I43" s="443"/>
      <c r="J43" s="443"/>
      <c r="K43" s="714"/>
      <c r="L43" s="2720"/>
      <c r="M43" s="2712"/>
      <c r="N43" s="2712"/>
      <c r="O43" s="2721"/>
      <c r="P43" s="3794" t="str">
        <f>A43</f>
        <v>估价对象XX用房的比较价值（楼面单价，元/平方米）</v>
      </c>
      <c r="Q43" s="3795"/>
      <c r="R43" s="3800" t="e">
        <f>ROUND(IF(D42="简单平均",AVERAGE(R42:W42),R42*F42+T42*H42+V42*J42),0)</f>
        <v>#DIV/0!</v>
      </c>
      <c r="S43" s="3800"/>
      <c r="T43" s="3800"/>
      <c r="U43" s="3800"/>
      <c r="V43" s="3800"/>
      <c r="W43" s="3800"/>
      <c r="X43" s="689"/>
      <c r="Y43" s="689"/>
      <c r="Z43" s="689"/>
      <c r="AA43" s="689"/>
      <c r="AB43" s="689"/>
      <c r="AC43" s="689"/>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2"/>
      <c r="D49" s="690"/>
      <c r="E49" s="690"/>
      <c r="F49" s="690"/>
      <c r="G49" s="690"/>
      <c r="H49" s="690"/>
      <c r="I49" s="690"/>
      <c r="J49" s="690"/>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1" t="s">
        <v>1879</v>
      </c>
      <c r="B50" s="632" t="s">
        <v>1880</v>
      </c>
      <c r="C50" s="1981" t="s">
        <v>1881</v>
      </c>
      <c r="D50" s="1982" t="s">
        <v>1882</v>
      </c>
      <c r="E50" s="633" t="s">
        <v>1883</v>
      </c>
      <c r="F50" s="634" t="s">
        <v>1884</v>
      </c>
      <c r="G50" s="3735" t="s">
        <v>1885</v>
      </c>
      <c r="H50" s="3801"/>
      <c r="I50" s="1354" t="s">
        <v>1921</v>
      </c>
      <c r="J50" s="1354">
        <f>项目基本情况!F35</f>
        <v>0</v>
      </c>
      <c r="K50" s="1984" t="s">
        <v>1887</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39" customFormat="1">
      <c r="A51" s="635" t="s">
        <v>1888</v>
      </c>
      <c r="B51" s="636" t="e">
        <f>C43</f>
        <v>#DIV/0!</v>
      </c>
      <c r="C51" s="637">
        <v>1</v>
      </c>
      <c r="D51" s="943">
        <v>1</v>
      </c>
      <c r="E51" s="637">
        <f>'数据-汇总表'!E8+'数据-汇总表'!E9</f>
        <v>616.89</v>
      </c>
      <c r="F51" s="638" t="e">
        <f t="shared" ref="F51:F60" si="15">ROUND(B51*E51/10000,0)</f>
        <v>#DIV/0!</v>
      </c>
      <c r="G51" s="3731"/>
      <c r="H51" s="3761"/>
      <c r="I51" s="772">
        <v>1</v>
      </c>
      <c r="J51" s="772">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39" customFormat="1">
      <c r="A52" s="640" t="s">
        <v>1889</v>
      </c>
      <c r="B52" s="218" t="e">
        <f>ROUND($C$43*C52*D52,0)</f>
        <v>#DIV/0!</v>
      </c>
      <c r="C52" s="171">
        <f t="shared" ref="C52:C60" si="16">IF($C$50="北京市系数",I52,J52)</f>
        <v>0</v>
      </c>
      <c r="D52" s="944">
        <v>0.25</v>
      </c>
      <c r="E52" s="641"/>
      <c r="F52" s="638" t="e">
        <f t="shared" si="15"/>
        <v>#DIV/0!</v>
      </c>
      <c r="G52" s="3002" t="s">
        <v>1890</v>
      </c>
      <c r="H52" s="886">
        <f>项目基本情况!B37</f>
        <v>0</v>
      </c>
      <c r="I52" s="772">
        <f>SUMIF(修正!A57:A68,H52,修正!B57:B68)</f>
        <v>0</v>
      </c>
      <c r="J52" s="773"/>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39" customFormat="1">
      <c r="A53" s="640" t="s">
        <v>1891</v>
      </c>
      <c r="B53" s="218" t="e">
        <f t="shared" ref="B53:B60" si="17">ROUND($C$43*C53*D53,0)</f>
        <v>#DIV/0!</v>
      </c>
      <c r="C53" s="171">
        <f t="shared" si="16"/>
        <v>0</v>
      </c>
      <c r="D53" s="944">
        <v>0.25</v>
      </c>
      <c r="E53" s="641"/>
      <c r="F53" s="638" t="e">
        <f t="shared" si="15"/>
        <v>#DIV/0!</v>
      </c>
      <c r="G53" s="3003"/>
      <c r="H53" s="886">
        <f>项目基本情况!B37</f>
        <v>0</v>
      </c>
      <c r="I53" s="772">
        <f>SUMIF(修正!A57:A68,H53,修正!C57:C68)</f>
        <v>0</v>
      </c>
      <c r="J53" s="773"/>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39" customFormat="1">
      <c r="A54" s="640" t="s">
        <v>1892</v>
      </c>
      <c r="B54" s="218" t="e">
        <f t="shared" si="17"/>
        <v>#DIV/0!</v>
      </c>
      <c r="C54" s="171">
        <f t="shared" si="16"/>
        <v>0</v>
      </c>
      <c r="D54" s="944">
        <v>0.25</v>
      </c>
      <c r="E54" s="641"/>
      <c r="F54" s="638" t="e">
        <f t="shared" si="15"/>
        <v>#DIV/0!</v>
      </c>
      <c r="G54" s="3003"/>
      <c r="H54" s="886">
        <f>项目基本情况!B37</f>
        <v>0</v>
      </c>
      <c r="I54" s="772">
        <f>SUMIF(修正!A57:A68,H54,修正!D57:D68)</f>
        <v>0</v>
      </c>
      <c r="J54" s="773"/>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39" customFormat="1" hidden="1">
      <c r="A55" s="640"/>
      <c r="B55" s="218"/>
      <c r="C55" s="171"/>
      <c r="D55" s="944"/>
      <c r="E55" s="641"/>
      <c r="F55" s="638"/>
      <c r="G55" s="3004"/>
      <c r="H55" s="886"/>
      <c r="I55" s="772"/>
      <c r="J55" s="773"/>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39" customFormat="1">
      <c r="A56" s="640" t="s">
        <v>1893</v>
      </c>
      <c r="B56" s="218" t="e">
        <f t="shared" si="17"/>
        <v>#DIV/0!</v>
      </c>
      <c r="C56" s="171">
        <f t="shared" si="16"/>
        <v>0</v>
      </c>
      <c r="D56" s="944">
        <v>0.25</v>
      </c>
      <c r="E56" s="217">
        <f>'数据-汇总表'!E11</f>
        <v>0</v>
      </c>
      <c r="F56" s="638" t="e">
        <f t="shared" si="15"/>
        <v>#DIV/0!</v>
      </c>
      <c r="G56" s="1985" t="s">
        <v>1894</v>
      </c>
      <c r="H56" s="886">
        <f>项目基本情况!C37</f>
        <v>0</v>
      </c>
      <c r="I56" s="772">
        <f>SUMIF(修正!A57:A68,H56,修正!E57:E68)</f>
        <v>0</v>
      </c>
      <c r="J56" s="773"/>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39" customFormat="1">
      <c r="A57" s="640" t="s">
        <v>1895</v>
      </c>
      <c r="B57" s="218" t="e">
        <f t="shared" si="17"/>
        <v>#DIV/0!</v>
      </c>
      <c r="C57" s="171">
        <f t="shared" si="16"/>
        <v>0</v>
      </c>
      <c r="D57" s="944">
        <v>0.25</v>
      </c>
      <c r="E57" s="217">
        <f>'数据-汇总表'!E12</f>
        <v>0</v>
      </c>
      <c r="F57" s="638" t="e">
        <f t="shared" si="15"/>
        <v>#DIV/0!</v>
      </c>
      <c r="G57" s="891" t="s">
        <v>1896</v>
      </c>
      <c r="H57" s="886">
        <f>IF(G57="商业",项目基本情况!B37,IF(G57="办公",项目基本情况!C37,IF(G57="住宅",项目基本情况!D37,项目基本情况!E37)))</f>
        <v>0</v>
      </c>
      <c r="I57" s="772">
        <f>SUMIF(修正!A57:A68,H57,修正!F57:F68)</f>
        <v>0</v>
      </c>
      <c r="J57" s="773"/>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39" customFormat="1">
      <c r="A58" s="640" t="s">
        <v>1897</v>
      </c>
      <c r="B58" s="218" t="e">
        <f t="shared" si="17"/>
        <v>#DIV/0!</v>
      </c>
      <c r="C58" s="171">
        <f t="shared" si="16"/>
        <v>0</v>
      </c>
      <c r="D58" s="944">
        <v>0.25</v>
      </c>
      <c r="E58" s="217">
        <f>'数据-汇总表'!E13</f>
        <v>0</v>
      </c>
      <c r="F58" s="638" t="e">
        <f t="shared" si="15"/>
        <v>#DIV/0!</v>
      </c>
      <c r="G58" s="891" t="s">
        <v>1898</v>
      </c>
      <c r="H58" s="886">
        <f>IF(G58="商业",项目基本情况!B37,IF(G58="办公",项目基本情况!C37,IF(G58="住宅",项目基本情况!D37,项目基本情况!E37)))</f>
        <v>0</v>
      </c>
      <c r="I58" s="772">
        <f>SUMIF(修正!A57:A68,H58,修正!G57:G68)</f>
        <v>0</v>
      </c>
      <c r="J58" s="773"/>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39" customFormat="1">
      <c r="A59" s="640" t="s">
        <v>1899</v>
      </c>
      <c r="B59" s="218" t="e">
        <f t="shared" si="17"/>
        <v>#DIV/0!</v>
      </c>
      <c r="C59" s="171">
        <f t="shared" si="16"/>
        <v>0</v>
      </c>
      <c r="D59" s="944">
        <v>0.25</v>
      </c>
      <c r="E59" s="217">
        <f>'数据-汇总表'!E14</f>
        <v>0</v>
      </c>
      <c r="F59" s="638" t="e">
        <f t="shared" si="15"/>
        <v>#DIV/0!</v>
      </c>
      <c r="G59" s="1985" t="s">
        <v>1890</v>
      </c>
      <c r="H59" s="886">
        <f>项目基本情况!B37</f>
        <v>0</v>
      </c>
      <c r="I59" s="772">
        <f>SUMIF(修正!A57:A68,H59,修正!G57:G68)</f>
        <v>0</v>
      </c>
      <c r="J59" s="773"/>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39" customFormat="1" ht="15" thickBot="1">
      <c r="A60" s="640" t="s">
        <v>1900</v>
      </c>
      <c r="B60" s="218" t="e">
        <f t="shared" si="17"/>
        <v>#DIV/0!</v>
      </c>
      <c r="C60" s="171">
        <f t="shared" si="16"/>
        <v>0</v>
      </c>
      <c r="D60" s="944">
        <v>0.25</v>
      </c>
      <c r="E60" s="217">
        <f>'数据-汇总表'!E15</f>
        <v>0</v>
      </c>
      <c r="F60" s="638" t="e">
        <f t="shared" si="15"/>
        <v>#DIV/0!</v>
      </c>
      <c r="G60" s="1986" t="s">
        <v>1894</v>
      </c>
      <c r="H60" s="896">
        <f>项目基本情况!C37</f>
        <v>0</v>
      </c>
      <c r="I60" s="772">
        <f>SUMIF(修正!A57:A68,H60,修正!G57:G68)</f>
        <v>0</v>
      </c>
      <c r="J60" s="773"/>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39" customFormat="1" ht="15" thickBot="1">
      <c r="A61" s="642" t="s">
        <v>1901</v>
      </c>
      <c r="B61" s="643" t="s">
        <v>22</v>
      </c>
      <c r="C61" s="643" t="s">
        <v>23</v>
      </c>
      <c r="D61" s="643" t="s">
        <v>392</v>
      </c>
      <c r="E61" s="643">
        <f>IF(B41="楼面地价",SUM(E51:E60),'数据-汇总表'!D3)</f>
        <v>69.53</v>
      </c>
      <c r="F61" s="644" t="e">
        <f>IF(B41="楼面地价",SUM(F51:F60),ROUND(C43*E61/10000,0))</f>
        <v>#DIV/0!</v>
      </c>
      <c r="G61" s="938"/>
      <c r="H61" s="938"/>
      <c r="I61" s="938"/>
      <c r="J61" s="938"/>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6"/>
      <c r="B62" s="928"/>
      <c r="C62" s="930"/>
      <c r="D62" s="926"/>
      <c r="E62" s="926"/>
      <c r="F62" s="926"/>
      <c r="G62" s="926"/>
      <c r="H62" s="926"/>
      <c r="I62" s="926"/>
      <c r="J62" s="926"/>
      <c r="K62" s="887"/>
      <c r="L62" s="888"/>
      <c r="M62" s="926"/>
      <c r="N62" s="926"/>
      <c r="O62" s="926"/>
      <c r="P62" s="2721"/>
      <c r="Q62" s="2721"/>
      <c r="R62" s="2721"/>
      <c r="S62" s="2721"/>
      <c r="T62" s="2721"/>
      <c r="U62" s="2721"/>
      <c r="V62" s="2721"/>
      <c r="W62" s="2721"/>
      <c r="X62" s="2721"/>
      <c r="Y62" s="2721"/>
      <c r="Z62" s="2721"/>
      <c r="AA62" s="2721"/>
      <c r="AB62" s="2721"/>
      <c r="AC62" s="2721"/>
      <c r="AD62" s="2721"/>
      <c r="AE62" s="2721"/>
    </row>
    <row r="63" spans="1:31">
      <c r="A63" s="926"/>
      <c r="B63" s="928"/>
      <c r="C63" s="691" t="str">
        <f>YEAR(C7)&amp;"-"&amp;MONTH(C7)&amp;"-1"</f>
        <v>2024-7-1</v>
      </c>
      <c r="D63" s="691">
        <f>EDATE(C63,-3)</f>
        <v>45383</v>
      </c>
      <c r="E63" s="691">
        <f>EDATE(D63,-3)</f>
        <v>45292</v>
      </c>
      <c r="F63" s="691">
        <f t="shared" ref="F63:O63" si="18">EDATE(E63,-3)</f>
        <v>45200</v>
      </c>
      <c r="G63" s="691">
        <f t="shared" si="18"/>
        <v>45108</v>
      </c>
      <c r="H63" s="691">
        <f t="shared" si="18"/>
        <v>45017</v>
      </c>
      <c r="I63" s="691">
        <f t="shared" si="18"/>
        <v>44927</v>
      </c>
      <c r="J63" s="691">
        <f t="shared" si="18"/>
        <v>44835</v>
      </c>
      <c r="K63" s="691">
        <f t="shared" si="18"/>
        <v>44743</v>
      </c>
      <c r="L63" s="691">
        <f t="shared" si="18"/>
        <v>44652</v>
      </c>
      <c r="M63" s="691">
        <f t="shared" si="18"/>
        <v>44562</v>
      </c>
      <c r="N63" s="691">
        <f t="shared" si="18"/>
        <v>44470</v>
      </c>
      <c r="O63" s="691">
        <f t="shared" si="18"/>
        <v>44378</v>
      </c>
      <c r="P63" s="2721"/>
      <c r="Q63" s="2721"/>
      <c r="R63" s="2721"/>
      <c r="S63" s="2721"/>
      <c r="T63" s="2721"/>
      <c r="U63" s="2721"/>
      <c r="V63" s="2721"/>
      <c r="W63" s="2721"/>
      <c r="X63" s="2721"/>
      <c r="Y63" s="2721"/>
      <c r="Z63" s="2721"/>
      <c r="AA63" s="2721"/>
      <c r="AB63" s="2721"/>
      <c r="AC63" s="2721"/>
      <c r="AD63" s="2721"/>
      <c r="AE63" s="2721"/>
    </row>
    <row r="64" spans="1:31" ht="21.75" thickBot="1">
      <c r="A64" s="693" t="s">
        <v>1796</v>
      </c>
      <c r="B64" s="689"/>
      <c r="C64" s="694"/>
      <c r="D64" s="694"/>
      <c r="E64" s="694"/>
      <c r="F64" s="695"/>
      <c r="G64" s="695"/>
      <c r="H64" s="694"/>
      <c r="I64" s="694"/>
      <c r="J64" s="694"/>
      <c r="K64" s="696"/>
      <c r="L64" s="697"/>
      <c r="M64" s="694"/>
      <c r="N64" s="694"/>
      <c r="O64" s="939"/>
      <c r="P64" s="2765"/>
      <c r="Q64" s="2735"/>
      <c r="R64" s="2721"/>
      <c r="S64" s="2721"/>
      <c r="T64" s="2721"/>
      <c r="U64" s="2721"/>
      <c r="V64" s="2721"/>
      <c r="W64" s="2721"/>
      <c r="X64" s="2721"/>
      <c r="Y64" s="2721"/>
      <c r="Z64" s="2721"/>
      <c r="AA64" s="2721"/>
      <c r="AB64" s="2721"/>
      <c r="AC64" s="2721"/>
      <c r="AD64" s="2721"/>
      <c r="AE64" s="2721"/>
    </row>
    <row r="65" spans="1:31" s="457" customFormat="1" ht="15">
      <c r="A65" s="1987" t="s">
        <v>1902</v>
      </c>
      <c r="B65" s="1107"/>
      <c r="C65" s="1180" t="str">
        <f>YEAR(C63)&amp;"-"&amp;ROUNDUP(MONTH(C63)/3,0)</f>
        <v>2024-3</v>
      </c>
      <c r="D65" s="1180" t="str">
        <f t="shared" ref="D65:O65" si="19">YEAR(D63)&amp;"-"&amp;ROUNDUP(MONTH(D63)/3,0)</f>
        <v>2024-2</v>
      </c>
      <c r="E65" s="1180" t="str">
        <f t="shared" si="19"/>
        <v>2024-1</v>
      </c>
      <c r="F65" s="1180" t="str">
        <f t="shared" si="19"/>
        <v>2023-4</v>
      </c>
      <c r="G65" s="1180" t="str">
        <f t="shared" si="19"/>
        <v>2023-3</v>
      </c>
      <c r="H65" s="1180" t="str">
        <f t="shared" si="19"/>
        <v>2023-2</v>
      </c>
      <c r="I65" s="1180" t="str">
        <f t="shared" si="19"/>
        <v>2023-1</v>
      </c>
      <c r="J65" s="1180" t="str">
        <f t="shared" si="19"/>
        <v>2022-4</v>
      </c>
      <c r="K65" s="1180" t="str">
        <f t="shared" si="19"/>
        <v>2022-3</v>
      </c>
      <c r="L65" s="1180" t="str">
        <f t="shared" si="19"/>
        <v>2022-2</v>
      </c>
      <c r="M65" s="1180" t="str">
        <f t="shared" si="19"/>
        <v>2022-1</v>
      </c>
      <c r="N65" s="1180" t="str">
        <f t="shared" si="19"/>
        <v>2021-4</v>
      </c>
      <c r="O65" s="1180" t="str">
        <f t="shared" si="19"/>
        <v>2021-3</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2" t="s">
        <v>1922</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1714</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1679</v>
      </c>
      <c r="B68" s="459"/>
      <c r="C68" s="471" t="s">
        <v>1774</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6">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1717</v>
      </c>
      <c r="B70" s="477" t="s">
        <v>1683</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1686</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1688</v>
      </c>
      <c r="B83" s="477" t="s">
        <v>1827</v>
      </c>
      <c r="C83" s="522" t="s">
        <v>1719</v>
      </c>
      <c r="D83" s="522" t="s">
        <v>1720</v>
      </c>
      <c r="E83" s="522" t="s">
        <v>1721</v>
      </c>
      <c r="F83" s="522" t="s">
        <v>1722</v>
      </c>
      <c r="G83" s="522" t="s">
        <v>1723</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1724</v>
      </c>
      <c r="C85" s="527" t="s">
        <v>1719</v>
      </c>
      <c r="D85" s="527" t="s">
        <v>1720</v>
      </c>
      <c r="E85" s="527" t="s">
        <v>1721</v>
      </c>
      <c r="F85" s="527" t="s">
        <v>1722</v>
      </c>
      <c r="G85" s="527" t="s">
        <v>1723</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1905</v>
      </c>
      <c r="C87" s="522" t="s">
        <v>1719</v>
      </c>
      <c r="D87" s="522" t="s">
        <v>1720</v>
      </c>
      <c r="E87" s="522" t="s">
        <v>1721</v>
      </c>
      <c r="F87" s="522" t="s">
        <v>1722</v>
      </c>
      <c r="G87" s="522" t="s">
        <v>1723</v>
      </c>
      <c r="H87" s="527"/>
      <c r="I87" s="527"/>
      <c r="J87" s="527"/>
      <c r="K87" s="527"/>
      <c r="L87" s="645"/>
      <c r="M87" s="569"/>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69"/>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1923</v>
      </c>
      <c r="C93" s="607" t="s">
        <v>1797</v>
      </c>
      <c r="D93" s="607" t="s">
        <v>1798</v>
      </c>
      <c r="E93" s="607" t="s">
        <v>1799</v>
      </c>
      <c r="F93" s="607" t="s">
        <v>1800</v>
      </c>
      <c r="G93" s="607" t="s">
        <v>1801</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1813</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1871</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2"/>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4"/>
      <c r="H106" s="624"/>
      <c r="I106" s="624"/>
      <c r="J106" s="624"/>
      <c r="K106" s="624"/>
      <c r="L106" s="624"/>
      <c r="M106" s="646"/>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1912</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1914</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1915</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7"/>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60" priority="18" stopIfTrue="1" operator="containsText" text="超过">
      <formula>NOT(ISERROR(SEARCH("超过",F46)))</formula>
    </cfRule>
  </conditionalFormatting>
  <conditionalFormatting sqref="J48">
    <cfRule type="containsText" dxfId="59" priority="17" stopIfTrue="1" operator="containsText" text="超过">
      <formula>NOT(ISERROR(SEARCH("超过",J48)))</formula>
    </cfRule>
  </conditionalFormatting>
  <conditionalFormatting sqref="H48">
    <cfRule type="containsText" dxfId="58" priority="16" stopIfTrue="1" operator="containsText" text="超过">
      <formula>NOT(ISERROR(SEARCH("超过",H48)))</formula>
    </cfRule>
  </conditionalFormatting>
  <conditionalFormatting sqref="F48">
    <cfRule type="containsText" dxfId="57" priority="15" stopIfTrue="1" operator="containsText" text="超过">
      <formula>NOT(ISERROR(SEARCH("超过",F48)))</formula>
    </cfRule>
  </conditionalFormatting>
  <conditionalFormatting sqref="F47 H47 J47">
    <cfRule type="containsText" dxfId="56" priority="14" stopIfTrue="1" operator="containsText" text="超过">
      <formula>NOT(ISERROR(SEARCH("超过",F47)))</formula>
    </cfRule>
  </conditionalFormatting>
  <conditionalFormatting sqref="E46">
    <cfRule type="expression" dxfId="55" priority="13" stopIfTrue="1">
      <formula>$F$46="超过30%"</formula>
    </cfRule>
  </conditionalFormatting>
  <conditionalFormatting sqref="G48">
    <cfRule type="expression" dxfId="54" priority="12" stopIfTrue="1">
      <formula>$H$48="超过30%"</formula>
    </cfRule>
  </conditionalFormatting>
  <conditionalFormatting sqref="E48">
    <cfRule type="expression" dxfId="53" priority="10" stopIfTrue="1">
      <formula>$F$48="超过30%"</formula>
    </cfRule>
  </conditionalFormatting>
  <conditionalFormatting sqref="G46">
    <cfRule type="expression" dxfId="52" priority="9" stopIfTrue="1">
      <formula>$H$46="超过30%"</formula>
    </cfRule>
  </conditionalFormatting>
  <conditionalFormatting sqref="G47">
    <cfRule type="expression" dxfId="51" priority="8" stopIfTrue="1">
      <formula>$H$47="超过20%"</formula>
    </cfRule>
  </conditionalFormatting>
  <conditionalFormatting sqref="I46">
    <cfRule type="expression" dxfId="50" priority="7" stopIfTrue="1">
      <formula>$J$46="超过30%"</formula>
    </cfRule>
  </conditionalFormatting>
  <conditionalFormatting sqref="I47">
    <cfRule type="expression" dxfId="49" priority="6" stopIfTrue="1">
      <formula>$J$47="超过20%"</formula>
    </cfRule>
  </conditionalFormatting>
  <conditionalFormatting sqref="I48">
    <cfRule type="expression" dxfId="48" priority="5" stopIfTrue="1">
      <formula>$J$48="超过30%"</formula>
    </cfRule>
  </conditionalFormatting>
  <conditionalFormatting sqref="E47">
    <cfRule type="expression" dxfId="47" priority="53" stopIfTrue="1">
      <formula>#REF!+$F$47="超过20%"</formula>
    </cfRule>
  </conditionalFormatting>
  <conditionalFormatting sqref="F42">
    <cfRule type="expression" dxfId="46" priority="4">
      <formula>$D$42="简单平均"</formula>
    </cfRule>
  </conditionalFormatting>
  <conditionalFormatting sqref="H42">
    <cfRule type="expression" dxfId="45" priority="3">
      <formula>$D$42="简单平均"</formula>
    </cfRule>
  </conditionalFormatting>
  <conditionalFormatting sqref="J42">
    <cfRule type="expression" dxfId="44" priority="2">
      <formula>$D$42="简单平均"</formula>
    </cfRule>
  </conditionalFormatting>
  <conditionalFormatting sqref="F7:F40 H7:H40 J7:J40">
    <cfRule type="cellIs" dxfId="43"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I58" sqref="I58"/>
      <selection pane="bottomLeft" activeCell="P25" sqref="P2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2081</v>
      </c>
      <c r="C1" s="3809" t="s">
        <v>2082</v>
      </c>
      <c r="D1" s="3810"/>
      <c r="E1" s="3810"/>
      <c r="F1" s="3810"/>
      <c r="G1" s="3810"/>
      <c r="H1" s="3810"/>
      <c r="I1" s="3810"/>
      <c r="J1" s="3810"/>
      <c r="K1" s="3810"/>
      <c r="L1" s="3810"/>
      <c r="M1" s="3810"/>
      <c r="N1" s="3810"/>
      <c r="O1" s="3810"/>
      <c r="P1" s="3810"/>
      <c r="Q1" s="3810"/>
      <c r="R1" s="3810"/>
      <c r="S1" s="3811"/>
      <c r="T1" s="982" t="s">
        <v>2083</v>
      </c>
    </row>
    <row r="2" spans="1:45" s="654" customFormat="1" ht="38.25">
      <c r="A2" s="983"/>
      <c r="B2" s="650" t="s">
        <v>2084</v>
      </c>
      <c r="C2" s="651" t="str">
        <f t="shared" ref="C2:L2" si="0">C3&amp;"(含)"&amp;"-"&amp;D3</f>
        <v>0(含)-100</v>
      </c>
      <c r="D2" s="652" t="str">
        <f t="shared" si="0"/>
        <v>100(含)-300</v>
      </c>
      <c r="E2" s="652" t="str">
        <f t="shared" si="0"/>
        <v>300(含)-500</v>
      </c>
      <c r="F2" s="652" t="str">
        <f t="shared" si="0"/>
        <v>500(含)-700</v>
      </c>
      <c r="G2" s="652" t="str">
        <f t="shared" si="0"/>
        <v>700(含)-900</v>
      </c>
      <c r="H2" s="652" t="str">
        <f t="shared" si="0"/>
        <v>900(含)-1200</v>
      </c>
      <c r="I2" s="652" t="str">
        <f t="shared" si="0"/>
        <v>1200(含)-1500</v>
      </c>
      <c r="J2" s="652" t="str">
        <f t="shared" si="0"/>
        <v>1500(含)-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v>0</v>
      </c>
      <c r="D3" s="657">
        <v>100</v>
      </c>
      <c r="E3" s="657">
        <v>300</v>
      </c>
      <c r="F3" s="1303">
        <v>500</v>
      </c>
      <c r="G3" s="1303">
        <v>700</v>
      </c>
      <c r="H3" s="1303">
        <v>900</v>
      </c>
      <c r="I3" s="1303">
        <v>1200</v>
      </c>
      <c r="J3" s="1303">
        <v>1500</v>
      </c>
      <c r="K3" s="1303"/>
      <c r="L3" s="1304"/>
      <c r="M3" s="1305"/>
      <c r="N3" s="1305"/>
      <c r="O3" s="1303"/>
      <c r="P3" s="1303"/>
      <c r="Q3" s="1303"/>
      <c r="R3" s="1303"/>
      <c r="S3" s="1306"/>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v>98</v>
      </c>
      <c r="D4" s="989">
        <v>99</v>
      </c>
      <c r="E4" s="989">
        <v>100</v>
      </c>
      <c r="F4" s="1307">
        <v>99</v>
      </c>
      <c r="G4" s="1307">
        <v>99</v>
      </c>
      <c r="H4" s="1307">
        <v>99</v>
      </c>
      <c r="I4" s="1307">
        <v>99</v>
      </c>
      <c r="J4" s="1307">
        <v>99</v>
      </c>
      <c r="K4" s="1307"/>
      <c r="L4" s="1307"/>
      <c r="M4" s="1308"/>
      <c r="N4" s="1308"/>
      <c r="O4" s="1307"/>
      <c r="P4" s="1307"/>
      <c r="Q4" s="1307"/>
      <c r="R4" s="1307"/>
      <c r="S4" s="1309"/>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4" t="s">
        <v>2085</v>
      </c>
      <c r="C5" s="994"/>
      <c r="D5" s="995"/>
      <c r="E5" s="995"/>
      <c r="F5" s="1310"/>
      <c r="G5" s="1310"/>
      <c r="H5" s="1310"/>
      <c r="I5" s="1310"/>
      <c r="J5" s="1310"/>
      <c r="K5" s="1310"/>
      <c r="L5" s="1311"/>
      <c r="M5" s="1312"/>
      <c r="N5" s="1312"/>
      <c r="O5" s="1310"/>
      <c r="P5" s="1310"/>
      <c r="Q5" s="1310"/>
      <c r="R5" s="1310"/>
      <c r="S5" s="1313"/>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5" t="s">
        <v>2086</v>
      </c>
      <c r="C7" s="903"/>
      <c r="D7" s="897"/>
      <c r="E7" s="897"/>
      <c r="F7" s="1315"/>
      <c r="G7" s="1315"/>
      <c r="H7" s="1315"/>
      <c r="I7" s="1315"/>
      <c r="J7" s="1315"/>
      <c r="K7" s="1315"/>
      <c r="L7" s="1315"/>
      <c r="M7" s="1316"/>
      <c r="N7" s="1317"/>
      <c r="O7" s="1318"/>
      <c r="P7" s="1319"/>
      <c r="Q7" s="1320"/>
      <c r="R7" s="1321"/>
      <c r="S7" s="1322"/>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5" t="s">
        <v>2087</v>
      </c>
      <c r="C9" s="903"/>
      <c r="D9" s="897"/>
      <c r="E9" s="897"/>
      <c r="F9" s="1315"/>
      <c r="G9" s="1315"/>
      <c r="H9" s="1315"/>
      <c r="I9" s="1315"/>
      <c r="J9" s="1315"/>
      <c r="K9" s="1315"/>
      <c r="L9" s="1323"/>
      <c r="M9" s="1316"/>
      <c r="N9" s="1317"/>
      <c r="O9" s="1318"/>
      <c r="P9" s="1319"/>
      <c r="Q9" s="1320"/>
      <c r="R9" s="1321"/>
      <c r="S9" s="1322"/>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4" t="s">
        <v>2088</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4" t="s">
        <v>2089</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4" t="s">
        <v>2090</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6" t="s">
        <v>2091</v>
      </c>
      <c r="B17" s="2147" t="s">
        <v>2092</v>
      </c>
      <c r="C17" s="1009" t="s">
        <v>3531</v>
      </c>
      <c r="D17" s="1010" t="s">
        <v>3530</v>
      </c>
      <c r="E17" s="1010" t="s">
        <v>3529</v>
      </c>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v>100</v>
      </c>
      <c r="D18" s="1022">
        <f>C18-3</f>
        <v>97</v>
      </c>
      <c r="E18" s="1022">
        <f>D18-3</f>
        <v>94</v>
      </c>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8" t="s">
        <v>2093</v>
      </c>
      <c r="E19" s="1338"/>
      <c r="F19" s="1338"/>
      <c r="G19" s="1338"/>
      <c r="H19" s="1058"/>
      <c r="I19" s="159"/>
      <c r="J19" s="159"/>
      <c r="K19" s="159"/>
      <c r="L19" s="159"/>
      <c r="M19" s="159"/>
      <c r="N19" s="159"/>
      <c r="O19" s="159"/>
      <c r="P19" s="159"/>
      <c r="Q19" s="159"/>
      <c r="R19" s="717"/>
      <c r="S19" s="129"/>
    </row>
    <row r="20" spans="1:45" ht="16.5" thickBot="1">
      <c r="A20" s="661" t="s">
        <v>2094</v>
      </c>
      <c r="B20" s="294">
        <f ca="1">IF(D20="——",S22,S22-F20)</f>
        <v>5162</v>
      </c>
      <c r="C20" s="159"/>
      <c r="D20" s="2149" t="s">
        <v>43</v>
      </c>
      <c r="E20" s="1339"/>
      <c r="F20" s="982" t="e">
        <f ca="1">SUMIF(INDIRECT("'"&amp;H20&amp;"'"&amp;"!A:A"),"承租人权益价值",INDIRECT("'"&amp;H20&amp;"'"&amp;"!c:c"))</f>
        <v>#REF!</v>
      </c>
      <c r="G20" s="982" t="s">
        <v>2095</v>
      </c>
      <c r="H20" s="2150"/>
      <c r="I20" s="159"/>
      <c r="J20" s="159"/>
      <c r="K20" s="159"/>
      <c r="L20" s="159"/>
      <c r="M20" s="159"/>
      <c r="N20" s="159"/>
      <c r="O20" s="159"/>
      <c r="P20" s="159"/>
      <c r="Q20" s="159"/>
      <c r="R20" s="717"/>
      <c r="S20" s="129"/>
    </row>
    <row r="21" spans="1:45" ht="15.75">
      <c r="A21" s="661" t="s">
        <v>2096</v>
      </c>
      <c r="B21" s="294">
        <f ca="1">ROUND(B20*10000/B22,0)</f>
        <v>41500</v>
      </c>
      <c r="C21" s="159"/>
      <c r="D21" s="159"/>
      <c r="E21" s="159"/>
      <c r="F21" s="159"/>
      <c r="G21" s="159"/>
      <c r="H21" s="159"/>
      <c r="I21" s="159"/>
      <c r="J21" s="159"/>
      <c r="K21" s="159"/>
      <c r="L21" s="159"/>
      <c r="M21" s="159"/>
      <c r="N21" s="159"/>
      <c r="O21" s="159"/>
      <c r="P21" s="159"/>
      <c r="Q21" s="159"/>
      <c r="R21" s="717"/>
      <c r="S21" s="129"/>
    </row>
    <row r="22" spans="1:45">
      <c r="A22" s="316" t="s">
        <v>2097</v>
      </c>
      <c r="B22" s="21">
        <f>SUM(B24:B10000)</f>
        <v>1243.8699999999999</v>
      </c>
      <c r="C22" s="3806" t="s">
        <v>27</v>
      </c>
      <c r="D22" s="3807"/>
      <c r="E22" s="3807"/>
      <c r="F22" s="3807"/>
      <c r="G22" s="3807"/>
      <c r="H22" s="3807"/>
      <c r="I22" s="3807"/>
      <c r="J22" s="3807"/>
      <c r="K22" s="3807"/>
      <c r="L22" s="3807"/>
      <c r="M22" s="3807"/>
      <c r="N22" s="3807"/>
      <c r="O22" s="3807"/>
      <c r="P22" s="3807"/>
      <c r="Q22" s="3808"/>
      <c r="R22" s="662">
        <f ca="1">ROUND(S22*10000/B22,0)</f>
        <v>41500</v>
      </c>
      <c r="S22" s="21">
        <f ca="1">SUM(S24:S10000)</f>
        <v>5162</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3" t="s">
        <v>2101</v>
      </c>
      <c r="S23" s="8" t="s">
        <v>2102</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tr">
        <f>分套价值!B24</f>
        <v>2单元301</v>
      </c>
      <c r="B24" s="664">
        <f>分套价值!C24</f>
        <v>206.15</v>
      </c>
      <c r="C24" s="2806">
        <v>1</v>
      </c>
      <c r="D24" s="2807"/>
      <c r="E24" s="2806">
        <v>1</v>
      </c>
      <c r="F24" s="2807"/>
      <c r="G24" s="2806">
        <v>1</v>
      </c>
      <c r="H24" s="2807"/>
      <c r="I24" s="2806">
        <v>1</v>
      </c>
      <c r="J24" s="2807"/>
      <c r="K24" s="2806">
        <v>1</v>
      </c>
      <c r="L24" s="2807"/>
      <c r="M24" s="2806">
        <v>1</v>
      </c>
      <c r="N24" s="2807"/>
      <c r="O24" s="2806">
        <v>1</v>
      </c>
      <c r="P24" s="2807" t="s">
        <v>3529</v>
      </c>
      <c r="Q24" s="2806">
        <v>1</v>
      </c>
      <c r="R24" s="667">
        <f ca="1">结果表!G20</f>
        <v>41490</v>
      </c>
      <c r="S24" s="665">
        <f t="shared" ref="S24:S54" ca="1" si="11">ROUND(R24*B24/10000,0)</f>
        <v>855</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t="str">
        <f>分套价值!B25</f>
        <v>2单元302</v>
      </c>
      <c r="B25" s="54">
        <f>分套价值!C25</f>
        <v>171.04</v>
      </c>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2807" t="s">
        <v>3529</v>
      </c>
      <c r="Q25" s="21">
        <f>(SUMIF($17:$17,P25,$18:$18)-SUMIF($17:$17,$P$24,$18:$18)+100)/100</f>
        <v>1</v>
      </c>
      <c r="R25" s="662">
        <f ca="1">IF(B25="",0,ROUND($R$24*C25*E25*G25*I25*K25*M25*O25*Q25,0))</f>
        <v>41490</v>
      </c>
      <c r="S25" s="316">
        <f t="shared" ca="1" si="11"/>
        <v>710</v>
      </c>
    </row>
    <row r="26" spans="1:45">
      <c r="A26" s="150" t="str">
        <f>分套价值!B26</f>
        <v>2单元303</v>
      </c>
      <c r="B26" s="54">
        <f>分套价值!C26</f>
        <v>171.97</v>
      </c>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2807" t="s">
        <v>3529</v>
      </c>
      <c r="Q26" s="21">
        <f t="shared" ref="Q26:Q89" si="19">(SUMIF($17:$17,P26,$18:$18)-SUMIF($17:$17,$P$24,$18:$18)+100)/100</f>
        <v>1</v>
      </c>
      <c r="R26" s="662">
        <f t="shared" ref="R26:R89" ca="1" si="20">IF(B26="",0,ROUND($R$24*C26*E26*G26*I26*K26*M26*O26*Q26,0))</f>
        <v>41490</v>
      </c>
      <c r="S26" s="316">
        <f t="shared" ca="1" si="11"/>
        <v>714</v>
      </c>
    </row>
    <row r="27" spans="1:45">
      <c r="A27" s="150" t="str">
        <f>分套价值!B27</f>
        <v>2单元321</v>
      </c>
      <c r="B27" s="54">
        <f>分套价值!C27</f>
        <v>108.47</v>
      </c>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2807" t="s">
        <v>3529</v>
      </c>
      <c r="Q27" s="21">
        <f t="shared" si="19"/>
        <v>1</v>
      </c>
      <c r="R27" s="662">
        <f t="shared" ca="1" si="20"/>
        <v>41490</v>
      </c>
      <c r="S27" s="316">
        <f t="shared" ca="1" si="11"/>
        <v>450</v>
      </c>
    </row>
    <row r="28" spans="1:45">
      <c r="A28" s="150" t="str">
        <f>分套价值!B28</f>
        <v>2单元322</v>
      </c>
      <c r="B28" s="54">
        <f>分套价值!C28</f>
        <v>108.47</v>
      </c>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2807" t="s">
        <v>3529</v>
      </c>
      <c r="Q28" s="21">
        <f t="shared" si="19"/>
        <v>1</v>
      </c>
      <c r="R28" s="662">
        <f t="shared" ca="1" si="20"/>
        <v>41490</v>
      </c>
      <c r="S28" s="316">
        <f t="shared" ca="1" si="11"/>
        <v>450</v>
      </c>
    </row>
    <row r="29" spans="1:45">
      <c r="A29" s="150" t="str">
        <f>分套价值!B29</f>
        <v>2单元323</v>
      </c>
      <c r="B29" s="54">
        <f>分套价值!C29</f>
        <v>138.01</v>
      </c>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2807" t="s">
        <v>3529</v>
      </c>
      <c r="Q29" s="21">
        <f t="shared" si="19"/>
        <v>1</v>
      </c>
      <c r="R29" s="662">
        <f t="shared" ca="1" si="20"/>
        <v>41490</v>
      </c>
      <c r="S29" s="316">
        <f t="shared" ca="1" si="11"/>
        <v>573</v>
      </c>
    </row>
    <row r="30" spans="1:45">
      <c r="A30" s="150" t="str">
        <f>分套价值!B30</f>
        <v>2单元325</v>
      </c>
      <c r="B30" s="54">
        <f>分套价值!C30</f>
        <v>138.01</v>
      </c>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2807" t="s">
        <v>3529</v>
      </c>
      <c r="Q30" s="21">
        <f t="shared" si="19"/>
        <v>1</v>
      </c>
      <c r="R30" s="662">
        <f t="shared" ca="1" si="20"/>
        <v>41490</v>
      </c>
      <c r="S30" s="316">
        <f t="shared" ca="1" si="11"/>
        <v>573</v>
      </c>
    </row>
    <row r="31" spans="1:45">
      <c r="A31" s="150" t="str">
        <f>分套价值!B31</f>
        <v>2单元326</v>
      </c>
      <c r="B31" s="54">
        <f>分套价值!C31</f>
        <v>201.75</v>
      </c>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2807" t="s">
        <v>3529</v>
      </c>
      <c r="Q31" s="21">
        <f t="shared" si="19"/>
        <v>1</v>
      </c>
      <c r="R31" s="662">
        <f t="shared" ca="1" si="20"/>
        <v>41490</v>
      </c>
      <c r="S31" s="316">
        <f t="shared" ca="1" si="11"/>
        <v>837</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0.06</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0.06</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0.06</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0.06</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0.06</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0.06</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0.06</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0.06</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0.06</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0.06</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0.06</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0.06</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0.06</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0.06</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0.06</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0.06</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0.06</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0.06</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0.06</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0.06</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0.06</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0.06</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0.06</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0.06</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0.06</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0.06</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0.06</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0.06</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0.06</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0.06</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0.06</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0.06</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0.06</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0.06</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0.06</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0.06</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0.06</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0.06</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0.06</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0.06</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0.06</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0.06</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0.06</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0.06</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0.06</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0.06</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0.06</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0.06</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0.06</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0.06</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0.06</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0.06</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0.06</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0.06</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0.06</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0.06</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0.06</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0.06</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0.06</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0.06</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0.06</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0.06</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0.06</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0.06</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0.06</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0.06</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0.06</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0.06</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0.06</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0.06</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0.06</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0.06</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0.06</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0.06</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0.06</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0.06</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0.06</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0.06</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0.06</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0.06</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0.06</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0.06</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0.06</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0.06</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0.06</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0.06</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0.06</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0.06</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0.06</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0.06</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0.06</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0.06</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0.06</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0.06</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0.06</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0.06</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0.06</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0.06</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0.06</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0.06</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0.06</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0.06</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0.06</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0.06</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0.06</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0.06</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0.06</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0.06</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0.06</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0.06</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0.06</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0.06</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0.06</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0.06</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0.06</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0.06</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0.06</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0.06</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0.06</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0.06</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0.06</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0.06</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0.06</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0.06</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0.06</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0.06</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0.06</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0.06</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0.06</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0.06</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0.06</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0.06</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0.06</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0.06</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0.06</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0.06</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0.06</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0.06</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0.06</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0.06</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0.06</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0.06</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0.06</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0.06</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0.06</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0.06</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0.06</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0.06</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0.06</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0.06</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0.06</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0.06</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0.06</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0.06</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0.06</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0.06</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0.06</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0.06</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0.06</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0.06</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0.06</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0.06</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0.06</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0.06</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0.06</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0.06</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0.06</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0.06</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0.06</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0.06</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0.06</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0.06</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0.06</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0.06</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0.06</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0.06</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0.06</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0.06</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0.06</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0.06</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0.06</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0.06</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0.06</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0.06</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0.06</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0.06</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0.06</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0.06</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0.06</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0.06</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0.06</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0.06</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0.06</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0.06</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0.06</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0.06</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0.06</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0.06</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0.06</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0.06</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0.06</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0.06</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0.06</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0.06</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0.06</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0.06</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0.06</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0.06</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0.06</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0.06</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0.06</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0.06</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0.06</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0.06</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0.06</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0.06</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0.06</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0.06</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0.06</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0.06</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0.06</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0.06</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0.06</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0.06</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0.06</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0.06</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0.06</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0.06</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0.06</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0.06</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0.06</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0.06</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0.06</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0.06</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0.06</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0.06</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0.06</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0.06</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0.06</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0.06</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0.06</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0.06</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0.06</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0.06</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0.06</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0.06</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0.06</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0.06</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0.06</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0.06</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0.06</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0.06</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0.06</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0.06</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0.06</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0.06</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0.06</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0.06</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0.06</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0.06</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0.06</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0.06</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0.06</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0.06</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0.06</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0.06</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0.06</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0.06</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0.06</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0.06</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0.06</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0.06</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0.06</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0.06</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0.06</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0.06</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0.06</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0.06</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0.06</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0.06</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0.06</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0.06</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0.06</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0.06</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0.06</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0.06</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0.06</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0.06</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0.06</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0.06</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0.06</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0.06</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0.06</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0.06</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0.06</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0.06</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0.06</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0.06</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0.06</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0.06</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0.06</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0.06</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0.06</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0.06</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0.06</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0.06</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0.06</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0.06</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0.06</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0.06</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0.06</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0.06</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0.06</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0.06</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0.06</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0.06</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0.06</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0.06</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0.06</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0.06</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0.06</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0.06</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0.06</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0.06</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0.06</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0.06</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0.06</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0.06</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0.06</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0.06</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0.06</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0.06</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0.06</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0.06</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0.06</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0.06</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0.06</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0.06</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0.06</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0.06</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0.06</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0.06</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0.06</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0.06</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0.06</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0.06</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0.06</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0.06</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0.06</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0.06</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0.06</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0.06</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0.06</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0.06</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0.06</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0.06</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0.06</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0.06</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0.06</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0.06</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0.06</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0.06</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0.06</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0.06</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0.06</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0.06</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0.06</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0.06</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0.06</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0.06</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0.06</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0.06</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0.06</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0.06</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0.06</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0.06</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0.06</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0.06</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0.06</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0.06</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0.06</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0.06</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0.06</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0.06</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0.06</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0.06</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0.06</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0.06</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0.06</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0.06</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0.06</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0.06</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0.06</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0.06</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0.06</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0.06</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0.06</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0.06</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0.06</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0.06</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0.06</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0.06</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0.06</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0.06</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0.06</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0.06</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0.06</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0.06</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0.06</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0.06</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0.06</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0.06</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0.06</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0.06</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0.06</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0.06</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0.06</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0.06</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0.06</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0.06</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0.06</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0.06</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0.06</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0.06</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0.06</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0.06</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0.06</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0.06</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0.06</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0.06</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0.06</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0.06</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0.06</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0.06</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0.06</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0.06</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0.06</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0.06</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0.06</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0.06</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0.06</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0.06</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0.06</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0.06</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0.06</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0.06</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0.06</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0.06</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0.06</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0.06</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0.06</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0.06</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0.06</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0.06</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0.06</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0.06</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0.06</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0.06</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0.06</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0.06</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0.06</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0.06</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0.06</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0.06</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0.06</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0.06</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0.06</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0.06</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0.06</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0.06</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0.06</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0.06</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0.06</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0.06</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0.06</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0.06</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0.06</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0.06</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0.06</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0.06</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0.06</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0.06</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0.06</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0.06</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0.06</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0.06</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0.06</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0.06</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0.06</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0.06</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0.06</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0.06</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0.06</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42"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2079</v>
      </c>
      <c r="B1" s="2145"/>
      <c r="C1" s="2145"/>
      <c r="D1" s="2145"/>
      <c r="E1" s="2145"/>
      <c r="F1" s="2789"/>
      <c r="G1" s="2789"/>
      <c r="H1" s="2789"/>
      <c r="I1" s="2789"/>
      <c r="J1" s="2789"/>
      <c r="K1" s="2789"/>
      <c r="L1" s="2789"/>
      <c r="M1" s="2789"/>
      <c r="N1" s="2789"/>
      <c r="O1" s="2789"/>
      <c r="P1" s="2789"/>
    </row>
    <row r="2" spans="1:16" ht="15.75">
      <c r="A2" s="2143" t="s">
        <v>2071</v>
      </c>
      <c r="B2" s="2598" t="e">
        <f ca="1">SUMIF(B6:B13,"&lt;&gt;#ref!",B6:B13)</f>
        <v>#DIV/0!</v>
      </c>
      <c r="C2" s="2143" t="s">
        <v>2072</v>
      </c>
      <c r="D2" s="2143" t="s">
        <v>2073</v>
      </c>
      <c r="E2" s="2608">
        <f ca="1">SUMIF(E6:E13,"&lt;&gt;#ref!",E6:E13)</f>
        <v>0</v>
      </c>
      <c r="F2" s="2789"/>
      <c r="G2" s="2789"/>
      <c r="H2" s="2789"/>
      <c r="I2" s="2789"/>
      <c r="J2" s="2789"/>
      <c r="K2" s="2789"/>
      <c r="L2" s="2789"/>
      <c r="M2" s="2789"/>
      <c r="N2" s="2789"/>
      <c r="O2" s="2789"/>
      <c r="P2" s="2789"/>
    </row>
    <row r="3" spans="1:16" ht="15.75">
      <c r="A3" s="2143" t="s">
        <v>2074</v>
      </c>
      <c r="B3" s="2598" t="e">
        <f ca="1">ROUND(B2*10000/E2,0)</f>
        <v>#DIV/0!</v>
      </c>
      <c r="C3" s="2143" t="s">
        <v>2080</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2075</v>
      </c>
      <c r="B5" s="2606" t="s">
        <v>2076</v>
      </c>
      <c r="C5" s="2144"/>
      <c r="D5" s="2789"/>
      <c r="E5" s="2607" t="s">
        <v>2077</v>
      </c>
      <c r="F5" s="2789"/>
      <c r="G5" s="2789"/>
      <c r="H5" s="2789"/>
      <c r="I5" s="2789"/>
      <c r="J5" s="2789"/>
      <c r="K5" s="2789"/>
      <c r="L5" s="2789"/>
      <c r="M5" s="2789"/>
      <c r="N5" s="2789"/>
      <c r="O5" s="2789"/>
      <c r="P5" s="2789"/>
    </row>
    <row r="6" spans="1:16" ht="15.75">
      <c r="A6" s="2605" t="s">
        <v>2078</v>
      </c>
      <c r="B6" s="2598" t="e">
        <f ca="1">SUMIF(INDIRECT("'"&amp;A6&amp;"'"&amp;"!A:A"),"总价",INDIRECT("'"&amp;A6&amp;"'"&amp;"!B:B"))</f>
        <v>#DIV/0!</v>
      </c>
      <c r="C6" s="2143" t="s">
        <v>2072</v>
      </c>
      <c r="D6" s="2789"/>
      <c r="E6" s="2608">
        <f ca="1">SUMIF(INDIRECT("'"&amp;A6&amp;"'"&amp;"!C:C"),"建筑面积",INDIRECT("'"&amp;A6&amp;"'"&amp;"!D:D"))</f>
        <v>0</v>
      </c>
      <c r="F6" s="2789"/>
      <c r="G6" s="2789"/>
      <c r="H6" s="2789"/>
      <c r="I6" s="2789"/>
      <c r="J6" s="2789"/>
      <c r="K6" s="2789"/>
      <c r="L6" s="2789"/>
      <c r="M6" s="2789"/>
      <c r="N6" s="2789"/>
      <c r="O6" s="2789"/>
      <c r="P6" s="2789"/>
    </row>
    <row r="7" spans="1:16" ht="15.75">
      <c r="A7" s="2605"/>
      <c r="B7" s="2598" t="e">
        <f ca="1">SUMIF(INDIRECT("'"&amp;A7&amp;"'"&amp;"!A:A"),"总价",INDIRECT("'"&amp;A7&amp;"'"&amp;"!B:B"))</f>
        <v>#REF!</v>
      </c>
      <c r="C7" s="2143" t="s">
        <v>2072</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3" t="s">
        <v>2072</v>
      </c>
      <c r="D8" s="2789"/>
      <c r="E8" s="2608" t="e">
        <f t="shared" ca="1" si="0"/>
        <v>#REF!</v>
      </c>
      <c r="F8" s="2789"/>
      <c r="G8" s="2789"/>
      <c r="H8" s="2789"/>
      <c r="I8" s="2789"/>
      <c r="J8" s="2789"/>
      <c r="K8" s="2789"/>
      <c r="L8" s="2789"/>
      <c r="M8" s="2789"/>
      <c r="N8" s="2789"/>
      <c r="O8" s="2789"/>
      <c r="P8" s="2789"/>
    </row>
    <row r="9" spans="1:16" ht="15.75">
      <c r="A9" s="2605"/>
      <c r="B9" s="2598" t="e">
        <f t="shared" ca="1" si="1"/>
        <v>#REF!</v>
      </c>
      <c r="C9" s="2143" t="s">
        <v>2072</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3" t="s">
        <v>2072</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3" t="s">
        <v>2072</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3" t="s">
        <v>2072</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3" t="s">
        <v>2072</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H3" sqref="H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1924</v>
      </c>
      <c r="B1" s="197"/>
      <c r="C1" s="201" t="s">
        <v>1925</v>
      </c>
      <c r="D1" s="342">
        <f>SUM(D33:D34,D37:D42)</f>
        <v>0</v>
      </c>
      <c r="E1" s="1993"/>
      <c r="F1" s="1993"/>
      <c r="G1" s="1993"/>
      <c r="H1" s="1993"/>
      <c r="I1" s="1993"/>
      <c r="J1" s="1993"/>
      <c r="K1" s="1117"/>
      <c r="L1" s="1994" t="s">
        <v>1926</v>
      </c>
      <c r="M1" s="862">
        <f>SUMPRODUCT((区片价!B5:B9=I2)*(区片价!C3:G3=E2)*(区片价!C5:G9))</f>
        <v>0</v>
      </c>
      <c r="N1" s="865">
        <f>SUMPRODUCT((因素修正幅度!B5:B9=I2)*(因素修正幅度!C3:G3=E2)*(因素修正幅度!C5:G9))</f>
        <v>0</v>
      </c>
      <c r="O1" s="1995"/>
      <c r="P1" s="1995"/>
      <c r="Q1" s="1117"/>
      <c r="R1" s="1210" t="s">
        <v>1927</v>
      </c>
      <c r="S1" s="1210" t="s">
        <v>1928</v>
      </c>
      <c r="T1" s="1210" t="s">
        <v>1929</v>
      </c>
      <c r="U1" s="1210" t="s">
        <v>1930</v>
      </c>
      <c r="V1" s="1210" t="s">
        <v>1931</v>
      </c>
      <c r="W1" s="1214"/>
      <c r="X1" s="1214"/>
      <c r="Y1" s="1214"/>
      <c r="Z1" s="1214"/>
      <c r="AA1" s="1214"/>
      <c r="AB1" s="1214"/>
      <c r="AC1" s="1215"/>
      <c r="AD1" s="1216"/>
      <c r="AE1" s="1216"/>
      <c r="AF1" s="1216"/>
      <c r="AG1" s="1216"/>
      <c r="AH1" s="1216"/>
      <c r="AI1" s="1216"/>
      <c r="AJ1" s="1217"/>
    </row>
    <row r="2" spans="1:36" ht="15.75">
      <c r="A2" s="201" t="s">
        <v>1932</v>
      </c>
      <c r="B2" s="204" t="e">
        <f>C30</f>
        <v>#DIV/0!</v>
      </c>
      <c r="C2" s="1997" t="s">
        <v>1933</v>
      </c>
      <c r="D2" s="1998" t="s">
        <v>1934</v>
      </c>
      <c r="E2" s="3418"/>
      <c r="F2" s="1998" t="s">
        <v>1935</v>
      </c>
      <c r="G2" s="1999">
        <f>IF(E2="商业",项目基本情况!B37,IF(E2="办公",项目基本情况!C37,IF(E2="住宅",项目基本情况!D37,IF(E2="工业",项目基本情况!E37,项目基本情况!F37))))</f>
        <v>0</v>
      </c>
      <c r="H2" s="1998" t="s">
        <v>1936</v>
      </c>
      <c r="I2" s="1999">
        <f>IF(E2="商业",项目基本情况!B38,IF(E2="办公",项目基本情况!C38,IF(E2="住宅",项目基本情况!D38,IF(E2="工业",项目基本情况!E38,项目基本情况!F38))))</f>
        <v>0</v>
      </c>
      <c r="J2" s="2000"/>
      <c r="K2" s="1117"/>
      <c r="L2" s="2001" t="s">
        <v>1937</v>
      </c>
      <c r="M2" s="863">
        <f>SUMPRODUCT((区片价!B10:B29=I2)*(区片价!C3:G3=E2)*(区片价!C10:G29))</f>
        <v>0</v>
      </c>
      <c r="N2" s="865">
        <f>SUMPRODUCT((因素修正幅度!B10:B29=I2)*(因素修正幅度!C3:G3=E2)*(因素修正幅度!C10:G29))</f>
        <v>0</v>
      </c>
      <c r="O2" s="1117"/>
      <c r="P2" s="1117"/>
      <c r="Q2" s="1117"/>
      <c r="R2" s="1210">
        <v>1</v>
      </c>
      <c r="S2" s="3357">
        <f>ROUND(SUMPRODUCT((B106:B110=R2)*(C105:N105=G2)*(C106:N110)),4)</f>
        <v>0</v>
      </c>
      <c r="T2" s="3357" t="e">
        <f t="shared" ref="T2:T16" si="0">ROUND($C$5*$C$22*$C$23*$C$24*S2*$C$28,0)</f>
        <v>#DIV/0!</v>
      </c>
      <c r="U2" s="1211"/>
      <c r="V2" s="3357" t="e">
        <f>ROUND(T2*U2/10000,0)</f>
        <v>#DIV/0!</v>
      </c>
      <c r="W2" s="1214"/>
      <c r="X2" s="1214"/>
      <c r="Y2" s="1214"/>
      <c r="Z2" s="1214"/>
      <c r="AA2" s="1214"/>
      <c r="AB2" s="1214"/>
      <c r="AC2" s="1215"/>
      <c r="AD2" s="1216"/>
      <c r="AE2" s="1216"/>
      <c r="AF2" s="1216"/>
      <c r="AG2" s="1216"/>
      <c r="AH2" s="1216"/>
      <c r="AI2" s="1216"/>
      <c r="AJ2" s="1217"/>
    </row>
    <row r="3" spans="1:36" ht="15.75">
      <c r="A3" s="203" t="s">
        <v>1938</v>
      </c>
      <c r="B3" s="204" t="e">
        <f>ROUND(B2*10000/D1,0)</f>
        <v>#DIV/0!</v>
      </c>
      <c r="C3" s="1997" t="s">
        <v>1939</v>
      </c>
      <c r="D3" s="1998" t="s">
        <v>1940</v>
      </c>
      <c r="E3" s="3416"/>
      <c r="F3" s="2002"/>
      <c r="G3" s="751">
        <f>IF(F3="宗地容积率",'数据-汇总表'!I4,IF(F3="估价对象容积率",'数据-汇总表'!I6,'数据-汇总表'!I7))</f>
        <v>0</v>
      </c>
      <c r="H3" s="170" t="s">
        <v>1941</v>
      </c>
      <c r="I3" s="774"/>
      <c r="J3" s="2000" t="s">
        <v>1942</v>
      </c>
      <c r="K3" s="1117"/>
      <c r="L3" s="2001" t="s">
        <v>1943</v>
      </c>
      <c r="M3" s="863">
        <f>SUMPRODUCT((区片价!B30:B54=I2)*(区片价!C3:G3=E2)*(区片价!C30:G54))</f>
        <v>0</v>
      </c>
      <c r="N3" s="865">
        <f>SUMPRODUCT((因素修正幅度!B30:B54=I2)*(因素修正幅度!C3:G3=E2)*(因素修正幅度!C30:G54))</f>
        <v>0</v>
      </c>
      <c r="O3" s="1117"/>
      <c r="P3" s="1117"/>
      <c r="Q3" s="1117"/>
      <c r="R3" s="1210">
        <v>2</v>
      </c>
      <c r="S3" s="3357">
        <f>ROUND(SUMPRODUCT((B106:B110=R3)*(C105:N105=G2)*(C106:N110)),4)</f>
        <v>0</v>
      </c>
      <c r="T3" s="3357" t="e">
        <f t="shared" si="0"/>
        <v>#DIV/0!</v>
      </c>
      <c r="U3" s="1211"/>
      <c r="V3" s="3357" t="e">
        <f t="shared" ref="V3:V16" si="1">ROUND(T3*U3/10000,0)</f>
        <v>#DIV/0!</v>
      </c>
      <c r="W3" s="1214"/>
      <c r="X3" s="1214"/>
      <c r="Y3" s="1214"/>
      <c r="Z3" s="1214"/>
      <c r="AA3" s="1214"/>
      <c r="AB3" s="1214"/>
      <c r="AC3" s="1215"/>
      <c r="AD3" s="1216"/>
      <c r="AE3" s="1216"/>
      <c r="AF3" s="1216"/>
      <c r="AG3" s="1216"/>
      <c r="AH3" s="1216"/>
      <c r="AI3" s="1216"/>
      <c r="AJ3" s="1217"/>
    </row>
    <row r="4" spans="1:36" ht="15.75">
      <c r="A4" s="3819"/>
      <c r="B4" s="3820"/>
      <c r="C4" s="3820"/>
      <c r="D4" s="3821"/>
      <c r="E4" s="3821"/>
      <c r="F4" s="3821"/>
      <c r="G4" s="3821"/>
      <c r="H4" s="3821"/>
      <c r="I4" s="3821"/>
      <c r="J4" s="3822"/>
      <c r="K4" s="1117"/>
      <c r="L4" s="2001" t="s">
        <v>1944</v>
      </c>
      <c r="M4" s="863">
        <f>SUMPRODUCT((区片价!B55:B86=I2)*(区片价!C3:G3=E2)*(区片价!C55:G86))</f>
        <v>0</v>
      </c>
      <c r="N4" s="865">
        <f>SUMPRODUCT((因素修正幅度!B55:B86=I2)*(因素修正幅度!C3:G3=E2)*(因素修正幅度!C55:G86))</f>
        <v>0</v>
      </c>
      <c r="O4" s="1117"/>
      <c r="P4" s="1117"/>
      <c r="Q4" s="1117"/>
      <c r="R4" s="1210">
        <v>3</v>
      </c>
      <c r="S4" s="3357">
        <f>ROUND(SUMPRODUCT((B106:B110=R4)*(C105:N105=G2)*(C106:N110)),4)</f>
        <v>0</v>
      </c>
      <c r="T4" s="3357" t="e">
        <f t="shared" si="0"/>
        <v>#DIV/0!</v>
      </c>
      <c r="U4" s="1211"/>
      <c r="V4" s="3357"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1945</v>
      </c>
      <c r="C5" s="752" t="e">
        <f>ROUND(IF(E2="商业",C6*C7*C17+C20,(IF(E2="住宅",C6*C13*C17+C20,IF(E2="办公",C6*C12*C17+C20,C6+C20)))),0)</f>
        <v>#DIV/0!</v>
      </c>
      <c r="D5" s="1337" t="e">
        <f>ROUND(C6*C17+C20,0)</f>
        <v>#DIV/0!</v>
      </c>
      <c r="E5" s="1337"/>
      <c r="F5" s="2005"/>
      <c r="G5" s="2006"/>
      <c r="H5" s="2006"/>
      <c r="I5" s="2006"/>
      <c r="J5" s="2007"/>
      <c r="K5" s="2008"/>
      <c r="L5" s="2001" t="s">
        <v>1946</v>
      </c>
      <c r="M5" s="863">
        <f>SUMPRODUCT((区片价!B87:B126=I2)*(区片价!C3:G3=E2)*(区片价!C87:G126))</f>
        <v>0</v>
      </c>
      <c r="N5" s="865">
        <f>SUMPRODUCT((因素修正幅度!B87:B126=I2)*(因素修正幅度!C3:G3=E2)*(因素修正幅度!C87:G126))</f>
        <v>0</v>
      </c>
      <c r="O5" s="1117"/>
      <c r="P5" s="1117"/>
      <c r="Q5" s="1117"/>
      <c r="R5" s="1210">
        <v>4</v>
      </c>
      <c r="S5" s="3357">
        <f>ROUND(SUMPRODUCT((B106:B110=R5)*(C105:N105=G2)*(C106:N110)),4)</f>
        <v>0</v>
      </c>
      <c r="T5" s="3357" t="e">
        <f t="shared" si="0"/>
        <v>#DIV/0!</v>
      </c>
      <c r="U5" s="1211"/>
      <c r="V5" s="3357" t="e">
        <f t="shared" si="1"/>
        <v>#DIV/0!</v>
      </c>
      <c r="W5" s="1214"/>
      <c r="X5" s="1214"/>
      <c r="Y5" s="1214"/>
      <c r="Z5" s="1214"/>
      <c r="AA5" s="1214"/>
      <c r="AB5" s="1214"/>
      <c r="AC5" s="2009"/>
      <c r="AD5" s="2010"/>
      <c r="AE5" s="2010"/>
      <c r="AF5" s="2010"/>
      <c r="AG5" s="2010"/>
      <c r="AH5" s="2010"/>
      <c r="AI5" s="2010"/>
      <c r="AJ5" s="2011"/>
    </row>
    <row r="6" spans="1:36" ht="15.75" thickBot="1">
      <c r="A6" s="2013" t="s">
        <v>1947</v>
      </c>
      <c r="B6" s="2014" t="s">
        <v>1948</v>
      </c>
      <c r="C6" s="753">
        <f>SUMIF(L1:L12,G2,M1:M12)</f>
        <v>0</v>
      </c>
      <c r="D6" s="2015"/>
      <c r="E6" s="2016"/>
      <c r="F6" s="2016"/>
      <c r="G6" s="2017"/>
      <c r="H6" s="2017"/>
      <c r="I6" s="2017"/>
      <c r="J6" s="2018"/>
      <c r="K6" s="1382"/>
      <c r="L6" s="2001" t="s">
        <v>1949</v>
      </c>
      <c r="M6" s="863">
        <f>SUMPRODUCT((区片价!B127:B189=I2)*(区片价!C3:G3=E2)*(区片价!C127:G189))</f>
        <v>0</v>
      </c>
      <c r="N6" s="865">
        <f>SUMPRODUCT((因素修正幅度!B127:B189=I2)*(因素修正幅度!C3:G3=E2)*(因素修正幅度!C127:G189))</f>
        <v>0</v>
      </c>
      <c r="O6" s="1117"/>
      <c r="P6" s="1117"/>
      <c r="Q6" s="1117"/>
      <c r="R6" s="1210">
        <v>5</v>
      </c>
      <c r="S6" s="3357">
        <f>ROUND(SUMPRODUCT((B106:B110=R6)*(C105:N105=G2)*(C106:N110)),4)</f>
        <v>0</v>
      </c>
      <c r="T6" s="3357" t="e">
        <f t="shared" si="0"/>
        <v>#DIV/0!</v>
      </c>
      <c r="U6" s="1211"/>
      <c r="V6" s="3357" t="e">
        <f t="shared" si="1"/>
        <v>#DIV/0!</v>
      </c>
      <c r="W6" s="1214"/>
      <c r="X6" s="1214"/>
      <c r="Y6" s="1214"/>
      <c r="Z6" s="1214"/>
      <c r="AA6" s="1214"/>
      <c r="AB6" s="1214"/>
      <c r="AC6" s="2009"/>
      <c r="AD6" s="2010"/>
      <c r="AE6" s="2010"/>
      <c r="AF6" s="2010"/>
      <c r="AG6" s="2010"/>
      <c r="AH6" s="2010"/>
      <c r="AI6" s="2010"/>
      <c r="AJ6" s="2011"/>
    </row>
    <row r="7" spans="1:36" ht="24.75" thickBot="1">
      <c r="A7" s="3300" t="s">
        <v>3234</v>
      </c>
      <c r="B7" s="2019" t="s">
        <v>1950</v>
      </c>
      <c r="C7" s="754" t="e">
        <f>IF(C8="不临65条商业街",1,ROUND(1+(1.6*E8+1.2*E9+0.8*E10+0.4*E11)*C9,4))</f>
        <v>#DIV/0!</v>
      </c>
      <c r="D7" s="2020" t="s">
        <v>1951</v>
      </c>
      <c r="E7" s="775"/>
      <c r="F7" s="2021"/>
      <c r="G7" s="2022"/>
      <c r="H7" s="2022"/>
      <c r="I7" s="2022"/>
      <c r="J7" s="2023"/>
      <c r="K7" s="1382"/>
      <c r="L7" s="2001" t="s">
        <v>1952</v>
      </c>
      <c r="M7" s="863">
        <f>SUMPRODUCT((区片价!B190:B233=I2)*(区片价!C3:G3=E2)*(区片价!C190:G233))</f>
        <v>0</v>
      </c>
      <c r="N7" s="865">
        <f>SUMPRODUCT((因素修正幅度!B190:B233=I2)*(因素修正幅度!C3:G3=E2)*(因素修正幅度!C190:G233))</f>
        <v>0</v>
      </c>
      <c r="O7" s="1117"/>
      <c r="P7" s="1117"/>
      <c r="Q7" s="1117"/>
      <c r="R7" s="1210">
        <v>6</v>
      </c>
      <c r="S7" s="3415"/>
      <c r="T7" s="3357" t="e">
        <f t="shared" si="0"/>
        <v>#DIV/0!</v>
      </c>
      <c r="U7" s="1211"/>
      <c r="V7" s="3357" t="e">
        <f t="shared" si="1"/>
        <v>#DIV/0!</v>
      </c>
      <c r="W7" s="1356" t="s">
        <v>1953</v>
      </c>
      <c r="X7" s="1212">
        <f>G2</f>
        <v>0</v>
      </c>
      <c r="Y7" s="1212" t="s">
        <v>1954</v>
      </c>
      <c r="Z7" s="1213">
        <f>G3</f>
        <v>0</v>
      </c>
      <c r="AA7" s="1214"/>
      <c r="AB7" s="1214"/>
      <c r="AC7" s="1215"/>
      <c r="AD7" s="1216"/>
      <c r="AE7" s="1216"/>
      <c r="AF7" s="1216"/>
      <c r="AG7" s="1216"/>
      <c r="AH7" s="1216"/>
      <c r="AI7" s="1216"/>
      <c r="AJ7" s="1217"/>
    </row>
    <row r="8" spans="1:36" ht="15">
      <c r="A8" s="3295"/>
      <c r="B8" s="170" t="s">
        <v>1955</v>
      </c>
      <c r="C8" s="2024"/>
      <c r="D8" s="755" t="s">
        <v>112</v>
      </c>
      <c r="E8" s="756" t="e">
        <f>ROUND(C11/E7,4)</f>
        <v>#DIV/0!</v>
      </c>
      <c r="F8" s="2025" t="s">
        <v>1956</v>
      </c>
      <c r="G8" s="2026"/>
      <c r="H8" s="2026"/>
      <c r="I8" s="2026"/>
      <c r="J8" s="2027"/>
      <c r="K8" s="1117"/>
      <c r="L8" s="2001" t="s">
        <v>1957</v>
      </c>
      <c r="M8" s="863">
        <f>SUMPRODUCT((区片价!B234:B276=I2)*(区片价!C3:G3=E2)*(区片价!C234:G276))</f>
        <v>0</v>
      </c>
      <c r="N8" s="865">
        <f>SUMPRODUCT((因素修正幅度!B234:B276=I2)*(因素修正幅度!C3:G3=E2)*(因素修正幅度!C234:G276))</f>
        <v>0</v>
      </c>
      <c r="O8" s="1117"/>
      <c r="P8" s="1117"/>
      <c r="Q8" s="1117"/>
      <c r="R8" s="1210">
        <v>7</v>
      </c>
      <c r="S8" s="1211"/>
      <c r="T8" s="3357" t="e">
        <f t="shared" si="0"/>
        <v>#DIV/0!</v>
      </c>
      <c r="U8" s="1211"/>
      <c r="V8" s="3357" t="e">
        <f t="shared" si="1"/>
        <v>#DIV/0!</v>
      </c>
      <c r="W8" s="3816" t="s">
        <v>1958</v>
      </c>
      <c r="X8" s="3817"/>
      <c r="Y8" s="1218" t="s">
        <v>1959</v>
      </c>
      <c r="Z8" s="1218" t="s">
        <v>1960</v>
      </c>
      <c r="AA8" s="1218" t="s">
        <v>1961</v>
      </c>
      <c r="AB8" s="1218" t="s">
        <v>1962</v>
      </c>
      <c r="AC8" s="1218" t="s">
        <v>1963</v>
      </c>
      <c r="AD8" s="1218" t="s">
        <v>1964</v>
      </c>
      <c r="AE8" s="1218" t="s">
        <v>1965</v>
      </c>
      <c r="AF8" s="1218" t="s">
        <v>1966</v>
      </c>
      <c r="AG8" s="1218" t="s">
        <v>1967</v>
      </c>
      <c r="AH8" s="1218" t="s">
        <v>1968</v>
      </c>
      <c r="AI8" s="1218" t="s">
        <v>1969</v>
      </c>
      <c r="AJ8" s="1218" t="s">
        <v>1970</v>
      </c>
    </row>
    <row r="9" spans="1:36" ht="15">
      <c r="A9" s="3295"/>
      <c r="B9" s="170" t="s">
        <v>1971</v>
      </c>
      <c r="C9" s="757">
        <f>SUMIF(修正!C71:C138,C8,修正!E71:E138)</f>
        <v>0</v>
      </c>
      <c r="D9" s="171" t="s">
        <v>113</v>
      </c>
      <c r="E9" s="171" t="e">
        <f>ROUND(C11/E7,4)</f>
        <v>#DIV/0!</v>
      </c>
      <c r="F9" s="2025" t="s">
        <v>1972</v>
      </c>
      <c r="G9" s="2026"/>
      <c r="H9" s="2026"/>
      <c r="I9" s="2026"/>
      <c r="J9" s="2027"/>
      <c r="K9" s="1117"/>
      <c r="L9" s="2001" t="s">
        <v>1973</v>
      </c>
      <c r="M9" s="863">
        <f>SUMPRODUCT((区片价!B277:B326=I2)*(区片价!C3:G3=E2)*(区片价!C277:G326))</f>
        <v>0</v>
      </c>
      <c r="N9" s="865">
        <f>SUMPRODUCT((因素修正幅度!B277:B326=I2)*(因素修正幅度!C3:G3=E2)*(因素修正幅度!C277:G326))</f>
        <v>0</v>
      </c>
      <c r="O9" s="1117"/>
      <c r="P9" s="1117"/>
      <c r="Q9" s="1117"/>
      <c r="R9" s="1210">
        <v>8</v>
      </c>
      <c r="S9" s="1211"/>
      <c r="T9" s="3357" t="e">
        <f t="shared" si="0"/>
        <v>#DIV/0!</v>
      </c>
      <c r="U9" s="1211"/>
      <c r="V9" s="3357" t="e">
        <f t="shared" si="1"/>
        <v>#DIV/0!</v>
      </c>
      <c r="W9" s="3818"/>
      <c r="X9" s="3358" t="s">
        <v>3265</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1974</v>
      </c>
      <c r="C10" s="171">
        <f>SUMIF(修正!C71:C138,C8,修正!F71:F138)</f>
        <v>0</v>
      </c>
      <c r="D10" s="171" t="s">
        <v>114</v>
      </c>
      <c r="E10" s="171" t="e">
        <f>ROUND(C11/E7,4)</f>
        <v>#DIV/0!</v>
      </c>
      <c r="F10" s="2025" t="s">
        <v>1975</v>
      </c>
      <c r="G10" s="2026"/>
      <c r="H10" s="2026"/>
      <c r="I10" s="2026"/>
      <c r="J10" s="2027"/>
      <c r="K10" s="1117"/>
      <c r="L10" s="2001" t="s">
        <v>1976</v>
      </c>
      <c r="M10" s="863">
        <f>SUMPRODUCT((区片价!B327:B357=I2)*(区片价!C3:G3=E2)*(区片价!C327:G357))</f>
        <v>0</v>
      </c>
      <c r="N10" s="865">
        <f>SUMPRODUCT((因素修正幅度!B327:B357=I2)*(因素修正幅度!C3:G3=E2)*(因素修正幅度!C327:G357))</f>
        <v>0</v>
      </c>
      <c r="O10" s="1117"/>
      <c r="P10" s="1117"/>
      <c r="Q10" s="1117"/>
      <c r="R10" s="1210">
        <v>9</v>
      </c>
      <c r="S10" s="1211"/>
      <c r="T10" s="3357" t="e">
        <f t="shared" si="0"/>
        <v>#DIV/0!</v>
      </c>
      <c r="U10" s="1211"/>
      <c r="V10" s="3357" t="e">
        <f t="shared" si="1"/>
        <v>#DIV/0!</v>
      </c>
      <c r="W10" s="3818"/>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8" t="s">
        <v>1977</v>
      </c>
      <c r="C11" s="758">
        <f>C10/4</f>
        <v>0</v>
      </c>
      <c r="D11" s="758" t="s">
        <v>115</v>
      </c>
      <c r="E11" s="758" t="e">
        <f>ROUND(C11/E7,4)</f>
        <v>#DIV/0!</v>
      </c>
      <c r="F11" s="2029" t="s">
        <v>1978</v>
      </c>
      <c r="G11" s="2030"/>
      <c r="H11" s="2030"/>
      <c r="I11" s="2030"/>
      <c r="J11" s="2031"/>
      <c r="K11" s="1117"/>
      <c r="L11" s="2001" t="s">
        <v>1979</v>
      </c>
      <c r="M11" s="863">
        <f>SUMPRODUCT((区片价!B358:B377=I2)*(区片价!C3:G3=E2)*(区片价!C358:G377))</f>
        <v>0</v>
      </c>
      <c r="N11" s="865">
        <f>SUMPRODUCT((因素修正幅度!B358:B377=I2)*(因素修正幅度!C3:G3=E2)*(因素修正幅度!C358:G377))</f>
        <v>0</v>
      </c>
      <c r="O11" s="1117"/>
      <c r="P11" s="1117"/>
      <c r="Q11" s="1117"/>
      <c r="R11" s="1210">
        <v>10</v>
      </c>
      <c r="S11" s="1211"/>
      <c r="T11" s="3357" t="e">
        <f t="shared" si="0"/>
        <v>#DIV/0!</v>
      </c>
      <c r="U11" s="1211"/>
      <c r="V11" s="3357" t="e">
        <f t="shared" si="1"/>
        <v>#DIV/0!</v>
      </c>
      <c r="W11" s="1214"/>
      <c r="X11" s="1214"/>
      <c r="Y11" s="1214"/>
      <c r="Z11" s="1214"/>
      <c r="AA11" s="1214"/>
      <c r="AB11" s="1214"/>
      <c r="AC11" s="1215"/>
      <c r="AD11" s="2785"/>
      <c r="AE11" s="2785"/>
      <c r="AF11" s="2785"/>
      <c r="AG11" s="2785"/>
      <c r="AH11" s="2785"/>
      <c r="AI11" s="2785"/>
      <c r="AJ11" s="2786"/>
    </row>
    <row r="12" spans="1:36" ht="25.5" thickBot="1">
      <c r="A12" s="3300" t="s">
        <v>3235</v>
      </c>
      <c r="B12" s="3301" t="s">
        <v>3236</v>
      </c>
      <c r="C12" s="3302"/>
      <c r="D12" s="3303" t="s">
        <v>3237</v>
      </c>
      <c r="E12" s="3304" t="s">
        <v>3238</v>
      </c>
      <c r="F12" s="3305"/>
      <c r="G12" s="3306"/>
      <c r="H12" s="3306"/>
      <c r="I12" s="3306"/>
      <c r="J12" s="3307"/>
      <c r="K12" s="1117"/>
      <c r="L12" s="2037" t="s">
        <v>1982</v>
      </c>
      <c r="M12" s="864">
        <f>SUMPRODUCT((区片价!B378:B384=I2)*(区片价!C3:G3=E2)*(区片价!C378:G384))</f>
        <v>0</v>
      </c>
      <c r="N12" s="865">
        <f>SUMPRODUCT((因素修正幅度!B378:B384=I2)*(因素修正幅度!C3:G3=E2)*(因素修正幅度!C378:G384))</f>
        <v>0</v>
      </c>
      <c r="O12" s="1117"/>
      <c r="P12" s="1117"/>
      <c r="Q12" s="1117"/>
      <c r="R12" s="1210">
        <v>11</v>
      </c>
      <c r="S12" s="1211"/>
      <c r="T12" s="3357" t="e">
        <f t="shared" si="0"/>
        <v>#DIV/0!</v>
      </c>
      <c r="U12" s="1211"/>
      <c r="V12" s="3357" t="e">
        <f t="shared" si="1"/>
        <v>#DIV/0!</v>
      </c>
      <c r="W12" s="1214"/>
      <c r="X12" s="1214"/>
      <c r="Y12" s="1214"/>
      <c r="Z12" s="1214"/>
      <c r="AA12" s="1214"/>
      <c r="AB12" s="1214"/>
      <c r="AC12" s="1215"/>
      <c r="AD12" s="2785"/>
      <c r="AE12" s="2785"/>
      <c r="AF12" s="2785"/>
      <c r="AG12" s="2785"/>
      <c r="AH12" s="2785"/>
      <c r="AI12" s="2785"/>
      <c r="AJ12" s="2786"/>
    </row>
    <row r="13" spans="1:36" ht="15.75" thickBot="1">
      <c r="A13" s="3300" t="s">
        <v>3239</v>
      </c>
      <c r="B13" s="2032" t="s">
        <v>1980</v>
      </c>
      <c r="C13" s="754">
        <f>ROUND(C16*D16*E16*F16*G16*H16*I16*J16,4)</f>
        <v>0</v>
      </c>
      <c r="D13" s="2033" t="s">
        <v>1981</v>
      </c>
      <c r="E13" s="2034"/>
      <c r="F13" s="2034"/>
      <c r="G13" s="2035"/>
      <c r="H13" s="2035"/>
      <c r="I13" s="2035"/>
      <c r="J13" s="2036"/>
      <c r="K13" s="1117"/>
      <c r="L13" s="3296"/>
      <c r="M13" s="3297"/>
      <c r="N13" s="3298"/>
      <c r="O13" s="1117"/>
      <c r="P13" s="1117"/>
      <c r="Q13" s="1117"/>
      <c r="R13" s="1210">
        <v>12</v>
      </c>
      <c r="S13" s="1211"/>
      <c r="T13" s="3357" t="e">
        <f t="shared" si="0"/>
        <v>#DIV/0!</v>
      </c>
      <c r="U13" s="1211"/>
      <c r="V13" s="3357" t="e">
        <f t="shared" si="1"/>
        <v>#DIV/0!</v>
      </c>
      <c r="W13" s="1214"/>
      <c r="X13" s="1214"/>
      <c r="Y13" s="1214"/>
      <c r="Z13" s="1214"/>
      <c r="AA13" s="1214"/>
      <c r="AB13" s="1214"/>
      <c r="AC13" s="1215"/>
      <c r="AD13" s="2785"/>
      <c r="AE13" s="2785"/>
      <c r="AF13" s="2785"/>
      <c r="AG13" s="2785"/>
      <c r="AH13" s="2785"/>
      <c r="AI13" s="2785"/>
      <c r="AJ13" s="2786"/>
    </row>
    <row r="14" spans="1:36" ht="15">
      <c r="A14" s="3294"/>
      <c r="B14" s="2038" t="s">
        <v>1983</v>
      </c>
      <c r="C14" s="2039" t="s">
        <v>1984</v>
      </c>
      <c r="D14" s="1348" t="s">
        <v>1985</v>
      </c>
      <c r="E14" s="27" t="s">
        <v>1986</v>
      </c>
      <c r="F14" s="3308" t="s">
        <v>3240</v>
      </c>
      <c r="G14" s="3308" t="s">
        <v>3240</v>
      </c>
      <c r="H14" s="3308" t="s">
        <v>3240</v>
      </c>
      <c r="I14" s="3308" t="s">
        <v>3240</v>
      </c>
      <c r="J14" s="3308" t="s">
        <v>3240</v>
      </c>
      <c r="K14" s="1117"/>
      <c r="L14" s="1117"/>
      <c r="M14" s="1117"/>
      <c r="N14" s="1117"/>
      <c r="O14" s="1117"/>
      <c r="P14" s="1117"/>
      <c r="Q14" s="1117"/>
      <c r="R14" s="1210">
        <v>13</v>
      </c>
      <c r="S14" s="1211"/>
      <c r="T14" s="3357" t="e">
        <f t="shared" si="0"/>
        <v>#DIV/0!</v>
      </c>
      <c r="U14" s="1211"/>
      <c r="V14" s="3357" t="e">
        <f t="shared" si="1"/>
        <v>#DIV/0!</v>
      </c>
      <c r="W14" s="1214"/>
      <c r="X14" s="1214"/>
      <c r="Y14" s="1214"/>
      <c r="Z14" s="1214"/>
      <c r="AA14" s="1214"/>
      <c r="AB14" s="1214"/>
      <c r="AC14" s="1215"/>
      <c r="AD14" s="2785"/>
      <c r="AE14" s="2785"/>
      <c r="AF14" s="2785"/>
      <c r="AG14" s="2785"/>
      <c r="AH14" s="2785"/>
      <c r="AI14" s="2785"/>
      <c r="AJ14" s="2786"/>
    </row>
    <row r="15" spans="1:36" ht="15">
      <c r="A15" s="3294"/>
      <c r="B15" s="2040"/>
      <c r="C15" s="2041"/>
      <c r="D15" s="2042"/>
      <c r="E15" s="2043"/>
      <c r="F15" s="3309" t="s">
        <v>3241</v>
      </c>
      <c r="G15" s="3310"/>
      <c r="H15" s="3311"/>
      <c r="I15" s="3312"/>
      <c r="J15" s="3313"/>
      <c r="K15" s="1117"/>
      <c r="L15" s="1117"/>
      <c r="M15" s="1117"/>
      <c r="N15" s="1117"/>
      <c r="O15" s="1117"/>
      <c r="P15" s="1117"/>
      <c r="Q15" s="1117"/>
      <c r="R15" s="1210">
        <v>14</v>
      </c>
      <c r="S15" s="1211"/>
      <c r="T15" s="3357" t="e">
        <f t="shared" si="0"/>
        <v>#DIV/0!</v>
      </c>
      <c r="U15" s="1211"/>
      <c r="V15" s="3357" t="e">
        <f t="shared" si="1"/>
        <v>#DIV/0!</v>
      </c>
      <c r="W15" s="1214"/>
      <c r="X15" s="1214"/>
      <c r="Y15" s="1214"/>
      <c r="Z15" s="1214"/>
      <c r="AA15" s="1214"/>
      <c r="AB15" s="1214"/>
      <c r="AC15" s="1215"/>
      <c r="AD15" s="2785"/>
      <c r="AE15" s="2785"/>
      <c r="AF15" s="2785"/>
      <c r="AG15" s="2785"/>
      <c r="AH15" s="2785"/>
      <c r="AI15" s="2785"/>
      <c r="AJ15" s="2786"/>
    </row>
    <row r="16" spans="1:36" ht="15.75" thickBot="1">
      <c r="A16" s="3294"/>
      <c r="B16" s="3316" t="s">
        <v>1987</v>
      </c>
      <c r="C16" s="3314"/>
      <c r="D16" s="3314"/>
      <c r="E16" s="3314"/>
      <c r="F16" s="3314">
        <v>1</v>
      </c>
      <c r="G16" s="3314">
        <v>1</v>
      </c>
      <c r="H16" s="3314">
        <v>1</v>
      </c>
      <c r="I16" s="3314">
        <v>1</v>
      </c>
      <c r="J16" s="3315">
        <v>1</v>
      </c>
      <c r="K16" s="1117"/>
      <c r="L16" s="1995"/>
      <c r="M16" s="1995"/>
      <c r="N16" s="1995"/>
      <c r="O16" s="1995"/>
      <c r="P16" s="1995"/>
      <c r="Q16" s="1117"/>
      <c r="R16" s="1210">
        <v>15</v>
      </c>
      <c r="S16" s="1211"/>
      <c r="T16" s="3357" t="e">
        <f t="shared" si="0"/>
        <v>#DIV/0!</v>
      </c>
      <c r="U16" s="1211"/>
      <c r="V16" s="3357" t="e">
        <f t="shared" si="1"/>
        <v>#DIV/0!</v>
      </c>
      <c r="W16" s="1214"/>
      <c r="X16" s="1214"/>
      <c r="Y16" s="1214"/>
      <c r="Z16" s="1214"/>
      <c r="AA16" s="1214"/>
      <c r="AB16" s="1214"/>
      <c r="AC16" s="1215"/>
      <c r="AD16" s="2785"/>
      <c r="AE16" s="2785"/>
      <c r="AF16" s="2785"/>
      <c r="AG16" s="2785"/>
      <c r="AH16" s="2785"/>
      <c r="AI16" s="2785"/>
      <c r="AJ16" s="2786"/>
    </row>
    <row r="17" spans="1:37">
      <c r="A17" s="3326" t="s">
        <v>3242</v>
      </c>
      <c r="B17" s="3317" t="s">
        <v>3243</v>
      </c>
      <c r="C17" s="3327">
        <f>ROUND(IF(OR(E2="工业",E2="公共服务"),1,IF(AND(E18=0,E19=0),1,IF(AND(E18=J24,E19=G19),0.8,IF(E19=0,1+E17*(-0.2),1+E17*G17*(-0.2))))),4)</f>
        <v>1</v>
      </c>
      <c r="D17" s="3318" t="s">
        <v>3244</v>
      </c>
      <c r="E17" s="3327" t="e">
        <f>ROUND(G18/I18,2)</f>
        <v>#DIV/0!</v>
      </c>
      <c r="F17" s="3318" t="s">
        <v>3247</v>
      </c>
      <c r="G17" s="3327" t="e">
        <f>ROUND(E19/G19,2)</f>
        <v>#DIV/0!</v>
      </c>
      <c r="H17" s="3327"/>
      <c r="I17" s="3327"/>
      <c r="J17" s="3328"/>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29"/>
      <c r="B18" s="3006"/>
      <c r="C18" s="3324"/>
      <c r="D18" s="3319" t="s">
        <v>3245</v>
      </c>
      <c r="E18" s="3325"/>
      <c r="F18" s="3320" t="s">
        <v>3248</v>
      </c>
      <c r="G18" s="3324">
        <f>ROUND(1-(1/(POWER(1+G24,E18))),4)</f>
        <v>0</v>
      </c>
      <c r="H18" s="3320" t="s">
        <v>3250</v>
      </c>
      <c r="I18" s="3324">
        <f>ROUND(1-(1/(POWER(1+G24,J24))),4)</f>
        <v>0</v>
      </c>
      <c r="J18" s="3330"/>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4"/>
    </row>
    <row r="19" spans="1:37" s="2012" customFormat="1" ht="15" thickBot="1">
      <c r="A19" s="3331"/>
      <c r="B19" s="3332"/>
      <c r="C19" s="3333"/>
      <c r="D19" s="3333" t="s">
        <v>3246</v>
      </c>
      <c r="E19" s="3334"/>
      <c r="F19" s="3335" t="s">
        <v>3249</v>
      </c>
      <c r="G19" s="3334"/>
      <c r="H19" s="3333"/>
      <c r="I19" s="3333"/>
      <c r="J19" s="3336"/>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7"/>
      <c r="AH19" s="2139"/>
      <c r="AI19" s="2788"/>
      <c r="AJ19" s="2788"/>
      <c r="AK19" s="2055"/>
    </row>
    <row r="20" spans="1:37" s="2012" customFormat="1" ht="14.25">
      <c r="A20" s="3823" t="s">
        <v>3251</v>
      </c>
      <c r="B20" s="167" t="s">
        <v>1992</v>
      </c>
      <c r="C20" s="3321" t="e">
        <f>ROUND(IF(F21="与级别开发程度一致",0,(G21-E21)/C21),0)</f>
        <v>#DIV/0!</v>
      </c>
      <c r="D20" s="3337" t="s">
        <v>1996</v>
      </c>
      <c r="E20" s="3338"/>
      <c r="F20" s="3829" t="s">
        <v>1993</v>
      </c>
      <c r="G20" s="3830"/>
      <c r="H20" s="3322"/>
      <c r="I20" s="3322"/>
      <c r="J20" s="3323"/>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4"/>
      <c r="AH20" s="2784"/>
      <c r="AI20" s="2784"/>
      <c r="AJ20" s="2784"/>
    </row>
    <row r="21" spans="1:37" s="2012" customFormat="1" ht="15" thickBot="1">
      <c r="A21" s="3824"/>
      <c r="B21" s="2162" t="s">
        <v>1995</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4"/>
      <c r="R21" s="1122"/>
      <c r="S21" s="1122"/>
      <c r="T21" s="1118"/>
      <c r="U21" s="1118"/>
      <c r="V21" s="1118"/>
      <c r="W21" s="1117"/>
      <c r="X21" s="1117"/>
      <c r="Y21" s="1117"/>
      <c r="Z21" s="1123"/>
      <c r="AA21" s="1123"/>
      <c r="AB21" s="1123"/>
      <c r="AC21" s="1123"/>
      <c r="AD21" s="1123"/>
      <c r="AE21" s="1123"/>
      <c r="AF21" s="1123"/>
      <c r="AG21" s="2784"/>
      <c r="AH21" s="2784"/>
      <c r="AI21" s="2784"/>
      <c r="AJ21" s="2784"/>
    </row>
    <row r="22" spans="1:37" s="2012" customFormat="1" ht="15.75" thickBot="1">
      <c r="A22" s="2156" t="s">
        <v>363</v>
      </c>
      <c r="B22" s="2157" t="s">
        <v>1998</v>
      </c>
      <c r="C22" s="2158">
        <f>SUMIF(修正!C20:C51,E3,修正!E20:E51)</f>
        <v>0</v>
      </c>
      <c r="D22" s="2159"/>
      <c r="E22" s="2160"/>
      <c r="F22" s="2160"/>
      <c r="G22" s="2160"/>
      <c r="H22" s="2160"/>
      <c r="I22" s="2160"/>
      <c r="J22" s="2161"/>
      <c r="K22" s="1123"/>
      <c r="L22" s="2784"/>
      <c r="M22" s="2784"/>
      <c r="N22" s="2784"/>
      <c r="O22" s="1121"/>
      <c r="P22" s="1121"/>
      <c r="Q22" s="2784"/>
      <c r="R22" s="1122"/>
      <c r="S22" s="1122"/>
      <c r="T22" s="1118"/>
      <c r="U22" s="1118"/>
      <c r="V22" s="1118"/>
      <c r="W22" s="1117"/>
      <c r="X22" s="1117"/>
      <c r="Y22" s="1117"/>
      <c r="Z22" s="1123"/>
      <c r="AA22" s="1123"/>
      <c r="AB22" s="1123"/>
      <c r="AC22" s="1123"/>
      <c r="AD22" s="1123"/>
      <c r="AE22" s="1123"/>
      <c r="AF22" s="1123"/>
      <c r="AG22" s="2784"/>
      <c r="AH22" s="2784"/>
      <c r="AI22" s="2784"/>
      <c r="AJ22" s="2784"/>
    </row>
    <row r="23" spans="1:37" ht="26.25" thickBot="1">
      <c r="A23" s="2048" t="s">
        <v>364</v>
      </c>
      <c r="B23" s="2049" t="s">
        <v>1999</v>
      </c>
      <c r="C23" s="759">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2" t="s">
        <v>2000</v>
      </c>
      <c r="E23" s="760">
        <v>44197</v>
      </c>
      <c r="F23" s="2052" t="s">
        <v>2001</v>
      </c>
      <c r="G23" s="761">
        <f>'数据-取费表'!B2</f>
        <v>45498</v>
      </c>
      <c r="H23" s="3339" t="s">
        <v>3253</v>
      </c>
      <c r="I23" s="3340" t="str">
        <f>IF(H23="季度增幅（自定义）",SUMIF(N25:N28,E2,O25:O28),"")</f>
        <v/>
      </c>
      <c r="J23" s="3442" t="s">
        <v>3252</v>
      </c>
      <c r="K23" s="1123"/>
      <c r="L23" s="2053" t="s">
        <v>2002</v>
      </c>
      <c r="M23" s="1326">
        <f>ROUND(SUMIF(地价!B2:G2,E2,地价!B16:G16),0)</f>
        <v>0</v>
      </c>
      <c r="N23" s="2054" t="s">
        <v>2003</v>
      </c>
      <c r="O23" s="762">
        <f>ROUNDDOWN(DATEDIF(E23,G23,"M")/3,0)</f>
        <v>14</v>
      </c>
      <c r="P23" s="1120"/>
      <c r="Q23" s="2784"/>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2004</v>
      </c>
      <c r="C24" s="763" t="e">
        <f>ROUND(POWER(1+G24,J24-I24)*(POWER(1+G24,I24)-1)/(POWER(1+G24,J24)-1),4)</f>
        <v>#DIV/0!</v>
      </c>
      <c r="D24" s="2058" t="s">
        <v>2005</v>
      </c>
      <c r="E24" s="1333">
        <f>存贷款利率!E24/100</f>
        <v>4.3499999999999997E-2</v>
      </c>
      <c r="F24" s="2058" t="s">
        <v>1997</v>
      </c>
      <c r="G24" s="767">
        <f>SUMIF(M30:Q30,E2,M33:Q33)</f>
        <v>0</v>
      </c>
      <c r="H24" s="2058" t="s">
        <v>2006</v>
      </c>
      <c r="I24" s="768" t="e">
        <f>SUMIF('数据-取费表'!C6:C15,E2,'数据-取费表'!F6:F15)/COUNTIF('数据-取费表'!C6:C15,E2)</f>
        <v>#DIV/0!</v>
      </c>
      <c r="J24" s="769">
        <f>IF(E2="住宅",70,IF(E2="商业",40,50))</f>
        <v>50</v>
      </c>
      <c r="K24" s="1123"/>
      <c r="L24" s="2059" t="s">
        <v>2007</v>
      </c>
      <c r="M24" s="1327">
        <f>ROUND(SUMPRODUCT((地价!A4:A16=YEAR(G23)&amp;"-"&amp;ROUNDUP(MONTH(G23)/3,0))*(地价!B2:G2=E2)*(地价!B4:G16)),0)</f>
        <v>0</v>
      </c>
      <c r="N24" s="2060" t="s">
        <v>2008</v>
      </c>
      <c r="O24" s="2061" t="s">
        <v>2009</v>
      </c>
      <c r="P24" s="2062" t="s">
        <v>2010</v>
      </c>
      <c r="Q24" s="1995"/>
      <c r="R24" s="1122"/>
      <c r="S24" s="1122"/>
      <c r="T24" s="1118"/>
      <c r="U24" s="1118"/>
      <c r="V24" s="1118"/>
      <c r="W24" s="1117"/>
      <c r="X24" s="1117"/>
      <c r="Y24" s="1117"/>
      <c r="Z24" s="1123"/>
      <c r="AA24" s="1123"/>
      <c r="AB24" s="1123"/>
      <c r="AC24" s="1123"/>
      <c r="AD24" s="1123"/>
      <c r="AE24" s="1123"/>
      <c r="AF24" s="1123"/>
      <c r="AG24" s="2784"/>
      <c r="AH24" s="2784"/>
      <c r="AI24" s="2784"/>
      <c r="AJ24" s="2784"/>
    </row>
    <row r="25" spans="1:37" ht="15">
      <c r="A25" s="2063" t="s">
        <v>366</v>
      </c>
      <c r="B25" s="2064" t="s">
        <v>3332</v>
      </c>
      <c r="C25" s="770">
        <f>IF(B25="容积率修正",IF(G3&lt;10,D26,J26),C27)</f>
        <v>0</v>
      </c>
      <c r="D25" s="2065"/>
      <c r="E25" s="2065"/>
      <c r="F25" s="2065"/>
      <c r="G25" s="2065"/>
      <c r="H25" s="2065"/>
      <c r="I25" s="2065"/>
      <c r="J25" s="2066"/>
      <c r="K25" s="1123"/>
      <c r="L25" s="2784"/>
      <c r="M25" s="2784"/>
      <c r="N25" s="2067" t="s">
        <v>2011</v>
      </c>
      <c r="O25" s="1171"/>
      <c r="P25" s="1172">
        <f>SUMPRODUCT((地价!A3:A40=YEAR(G23)&amp;"-"&amp;ROUNDUP(MONTH(G23)/3,0))*(地价!AD2:AH2=N25)*(地价!AD3:AH40))</f>
        <v>0</v>
      </c>
      <c r="Q25" s="2784"/>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2012</v>
      </c>
      <c r="B26" s="2068" t="s">
        <v>2013</v>
      </c>
      <c r="C26" s="3341" t="s">
        <v>3254</v>
      </c>
      <c r="D26" s="1350">
        <f>IF(E26=G26,F26,IF(G3&lt;10,ROUND(F26+(H26-F26)*(G3-E26)/(G26-E26),4),"——"))</f>
        <v>0</v>
      </c>
      <c r="E26" s="751">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1" t="s">
        <v>3255</v>
      </c>
      <c r="J26" s="771" t="str">
        <f>IF(G3&gt;=10,D115,"——")</f>
        <v>——</v>
      </c>
      <c r="K26" s="1123"/>
      <c r="L26" s="2784"/>
      <c r="M26" s="2784"/>
      <c r="N26" s="2067" t="s">
        <v>2014</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2015</v>
      </c>
      <c r="B27" s="2069" t="s">
        <v>2016</v>
      </c>
      <c r="C27" s="840">
        <f>ROUND(IF(I3&lt;6,SUMPRODUCT((B106:B110=I3)*(C105:N105=G2)*(C106:N110)),SUMIF(C105:N105,G2,C112:N112)),4)</f>
        <v>0</v>
      </c>
      <c r="D27" s="2044"/>
      <c r="E27" s="2044"/>
      <c r="F27" s="2070"/>
      <c r="G27" s="2071"/>
      <c r="H27" s="2072"/>
      <c r="I27" s="2073"/>
      <c r="J27" s="2074"/>
      <c r="K27" s="1117"/>
      <c r="L27" s="1995"/>
      <c r="M27" s="1995"/>
      <c r="N27" s="2067" t="s">
        <v>2017</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2018</v>
      </c>
      <c r="C28" s="759">
        <f>SUMIF(A47:A101,E2,B47:B101)</f>
        <v>0</v>
      </c>
      <c r="D28" s="2050"/>
      <c r="E28" s="2075"/>
      <c r="F28" s="2075"/>
      <c r="G28" s="2075"/>
      <c r="H28" s="2075"/>
      <c r="I28" s="2075"/>
      <c r="J28" s="2076"/>
      <c r="K28" s="1123"/>
      <c r="L28" s="2784"/>
      <c r="M28" s="2784"/>
      <c r="N28" s="2077" t="s">
        <v>2019</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2020</v>
      </c>
      <c r="C29" s="764"/>
      <c r="D29" s="2022"/>
      <c r="E29" s="2022"/>
      <c r="F29" s="2079"/>
      <c r="G29" s="2022"/>
      <c r="H29" s="2022"/>
      <c r="I29" s="2022"/>
      <c r="J29" s="2023"/>
      <c r="K29" s="1117"/>
      <c r="L29" s="1995"/>
      <c r="M29" s="1995"/>
      <c r="N29" s="2781" t="s">
        <v>2021</v>
      </c>
      <c r="O29" s="2782"/>
      <c r="P29" s="2783">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2022</v>
      </c>
      <c r="C30" s="2319" t="e">
        <f>IF(B25="容积率修正",E33+SUM(E37:E42),SUM(V2:V16)+SUM(E37:E42))</f>
        <v>#DIV/0!</v>
      </c>
      <c r="D30" s="2081"/>
      <c r="E30" s="2044"/>
      <c r="F30" s="2082"/>
      <c r="G30" s="2044"/>
      <c r="H30" s="2044"/>
      <c r="I30" s="2044"/>
      <c r="J30" s="2083"/>
      <c r="K30" s="1117"/>
      <c r="L30" s="3347" t="s">
        <v>1934</v>
      </c>
      <c r="M30" s="3348" t="s">
        <v>1988</v>
      </c>
      <c r="N30" s="3348" t="s">
        <v>1989</v>
      </c>
      <c r="O30" s="3348" t="s">
        <v>1990</v>
      </c>
      <c r="P30" s="3348" t="s">
        <v>1991</v>
      </c>
      <c r="Q30" s="3351" t="s">
        <v>3259</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2023</v>
      </c>
      <c r="C31" s="765" t="e">
        <f>E34+SUM(I37:I42)</f>
        <v>#DIV/0!</v>
      </c>
      <c r="D31" s="2085"/>
      <c r="E31" s="2086"/>
      <c r="F31" s="2087"/>
      <c r="G31" s="2086"/>
      <c r="H31" s="2086"/>
      <c r="I31" s="2086"/>
      <c r="J31" s="2088"/>
      <c r="K31" s="1117"/>
      <c r="L31" s="3349" t="s">
        <v>1994</v>
      </c>
      <c r="M31" s="1998">
        <v>0.25</v>
      </c>
      <c r="N31" s="1998">
        <v>0.2</v>
      </c>
      <c r="O31" s="1998">
        <v>0.15</v>
      </c>
      <c r="P31" s="1998">
        <v>0.1</v>
      </c>
      <c r="Q31" s="3344">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2024</v>
      </c>
      <c r="C32" s="2091" t="s">
        <v>2025</v>
      </c>
      <c r="D32" s="2091" t="s">
        <v>2026</v>
      </c>
      <c r="E32" s="2092" t="s">
        <v>2027</v>
      </c>
      <c r="F32" s="2093"/>
      <c r="G32" s="2035"/>
      <c r="H32" s="2035"/>
      <c r="I32" s="2035"/>
      <c r="J32" s="2036"/>
      <c r="K32" s="1117"/>
      <c r="L32" s="3350" t="s">
        <v>1997</v>
      </c>
      <c r="M32" s="2566">
        <f>ROUND($E$24*(1+M31),3)</f>
        <v>5.3999999999999999E-2</v>
      </c>
      <c r="N32" s="2566">
        <f>ROUND($E$24*(1+N31),3)</f>
        <v>5.1999999999999998E-2</v>
      </c>
      <c r="O32" s="2566">
        <f>ROUND($E$24*(1+O31),3)</f>
        <v>0.05</v>
      </c>
      <c r="P32" s="2566">
        <f>ROUND($E$24*(1+P31),3)</f>
        <v>4.8000000000000001E-2</v>
      </c>
      <c r="Q32" s="3352">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2028</v>
      </c>
      <c r="C33" s="175" t="e">
        <f>ROUND(C5*C22*C23*C24*C25*C28,0)</f>
        <v>#DIV/0!</v>
      </c>
      <c r="D33" s="2096"/>
      <c r="E33" s="772" t="e">
        <f>ROUND(C33*D33/10000,0)</f>
        <v>#DIV/0!</v>
      </c>
      <c r="F33" s="3342" t="s">
        <v>3257</v>
      </c>
      <c r="G33" s="2097"/>
      <c r="H33" s="2097"/>
      <c r="I33" s="2097"/>
      <c r="J33" s="2098"/>
      <c r="K33" s="1117"/>
      <c r="L33" s="3345" t="s">
        <v>3260</v>
      </c>
      <c r="M33" s="3346">
        <v>5.5E-2</v>
      </c>
      <c r="N33" s="3346">
        <v>5.5E-2</v>
      </c>
      <c r="O33" s="3346">
        <v>0.05</v>
      </c>
      <c r="P33" s="3346">
        <v>0.05</v>
      </c>
      <c r="Q33" s="3346">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2029</v>
      </c>
      <c r="C34" s="187" t="e">
        <f>ROUND(IF(E2="工业",C33*M42,IF(B25="楼层修正",SUM(V2:V16)*M41*10000/D34,C33*M41)),0)</f>
        <v>#DIV/0!</v>
      </c>
      <c r="D34" s="2101"/>
      <c r="E34" s="772" t="e">
        <f>ROUND(IF(B25="楼层修正",SUM(V2:V16)*M40,C34*D34/10000),0)</f>
        <v>#DIV/0!</v>
      </c>
      <c r="F34" s="2102" t="s">
        <v>2030</v>
      </c>
      <c r="G34" s="2103"/>
      <c r="H34" s="2103"/>
      <c r="I34" s="2103"/>
      <c r="J34" s="2104"/>
      <c r="K34" s="1117"/>
      <c r="L34" s="3345" t="s">
        <v>3261</v>
      </c>
      <c r="M34" s="3346">
        <v>6.5000000000000002E-2</v>
      </c>
      <c r="N34" s="3346">
        <v>6.5000000000000002E-2</v>
      </c>
      <c r="O34" s="3346">
        <v>0.06</v>
      </c>
      <c r="P34" s="3346">
        <v>0.06</v>
      </c>
      <c r="Q34" s="3346">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2031</v>
      </c>
      <c r="C35" s="3343" t="s">
        <v>3258</v>
      </c>
      <c r="D35" s="2035"/>
      <c r="E35" s="2107"/>
      <c r="F35" s="2107"/>
      <c r="G35" s="2033" t="s">
        <v>2032</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2025</v>
      </c>
      <c r="D36" s="447" t="s">
        <v>2026</v>
      </c>
      <c r="E36" s="447" t="s">
        <v>2027</v>
      </c>
      <c r="F36" s="342" t="s">
        <v>2033</v>
      </c>
      <c r="G36" s="2110" t="s">
        <v>2025</v>
      </c>
      <c r="H36" s="2110" t="s">
        <v>2026</v>
      </c>
      <c r="I36" s="2110" t="s">
        <v>2027</v>
      </c>
      <c r="J36" s="243"/>
      <c r="K36" s="3353" t="s">
        <v>3262</v>
      </c>
      <c r="L36" s="3443">
        <f>'数据-取费表'!B40</f>
        <v>3.3500000000000002E-2</v>
      </c>
      <c r="M36" s="3354">
        <f>ROUND($L$36*(1+M31),3)</f>
        <v>4.2000000000000003E-2</v>
      </c>
      <c r="N36" s="3354">
        <f>ROUND($L$36*(1+N31),3)</f>
        <v>0.04</v>
      </c>
      <c r="O36" s="3354">
        <f>ROUND($L$36*(1+O31),3)</f>
        <v>3.9E-2</v>
      </c>
      <c r="P36" s="3354">
        <f>ROUND($L$36*(1+P31),3)</f>
        <v>3.6999999999999998E-2</v>
      </c>
      <c r="Q36" s="3354">
        <f>ROUND($L$36*(1+Q31),3)</f>
        <v>3.9E-2</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827"/>
      <c r="B37" s="2111" t="s">
        <v>2034</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08"/>
      <c r="K37" s="3355" t="s">
        <v>3263</v>
      </c>
      <c r="L37" s="3353">
        <f>L36+K38</f>
        <v>3.85E-2</v>
      </c>
      <c r="M37" s="3354">
        <f>ROUND($L$37*(1+M31),3)</f>
        <v>4.8000000000000001E-2</v>
      </c>
      <c r="N37" s="3354">
        <f t="shared" ref="N37:Q37" si="3">ROUND($L$37*(1+N31),3)</f>
        <v>4.5999999999999999E-2</v>
      </c>
      <c r="O37" s="3354">
        <f t="shared" si="3"/>
        <v>4.3999999999999997E-2</v>
      </c>
      <c r="P37" s="3354">
        <f t="shared" si="3"/>
        <v>4.2000000000000003E-2</v>
      </c>
      <c r="Q37" s="3354">
        <f t="shared" si="3"/>
        <v>4.3999999999999997E-2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828"/>
      <c r="B38" s="2039" t="s">
        <v>2035</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7"/>
      <c r="K38" s="3353">
        <v>5.0000000000000001E-3</v>
      </c>
      <c r="L38" s="3353"/>
      <c r="M38" s="3353"/>
      <c r="N38" s="3353"/>
      <c r="O38" s="3353"/>
      <c r="P38" s="3353"/>
      <c r="Q38" s="3353"/>
      <c r="R38" s="1117"/>
      <c r="S38" s="1117"/>
      <c r="T38" s="1117"/>
      <c r="U38" s="1117"/>
      <c r="V38" s="1117"/>
      <c r="W38" s="1117"/>
      <c r="X38" s="1117"/>
      <c r="Y38" s="1117"/>
      <c r="Z38" s="1118"/>
      <c r="AA38" s="1118"/>
      <c r="AB38" s="1118"/>
      <c r="AC38" s="1118"/>
      <c r="AD38" s="1118"/>
    </row>
    <row r="39" spans="1:37" ht="13.5" thickBot="1">
      <c r="A39" s="3828"/>
      <c r="B39" s="2039" t="s">
        <v>3256</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7"/>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2036</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2037</v>
      </c>
      <c r="M40" s="2115"/>
      <c r="Z40" s="1118"/>
      <c r="AA40" s="1118"/>
      <c r="AB40" s="1118"/>
      <c r="AC40" s="1118"/>
      <c r="AD40" s="1118"/>
      <c r="AE40" s="1118"/>
      <c r="AF40" s="1118"/>
      <c r="AG40" s="1118"/>
      <c r="AH40" s="1118"/>
      <c r="AI40" s="1118"/>
      <c r="AJ40" s="1118"/>
    </row>
    <row r="41" spans="1:37" s="1117" customFormat="1">
      <c r="A41" s="2113"/>
      <c r="B41" s="2039" t="s">
        <v>2038</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6" t="s">
        <v>3264</v>
      </c>
      <c r="M41" s="2116">
        <v>0.25</v>
      </c>
      <c r="Z41" s="1118"/>
      <c r="AA41" s="1118"/>
      <c r="AB41" s="1118"/>
      <c r="AC41" s="1118"/>
      <c r="AD41" s="1118"/>
      <c r="AE41" s="1118"/>
      <c r="AF41" s="1118"/>
      <c r="AG41" s="1118"/>
      <c r="AH41" s="1118"/>
      <c r="AI41" s="1118"/>
      <c r="AJ41" s="1118"/>
    </row>
    <row r="42" spans="1:37" s="1117" customFormat="1" ht="13.5" thickBot="1">
      <c r="A42" s="2099"/>
      <c r="B42" s="2117" t="s">
        <v>2039</v>
      </c>
      <c r="C42" s="187" t="e">
        <f>ROUND(D5*C22*C23*C44*C28*F42,0)</f>
        <v>#DIV/0!</v>
      </c>
      <c r="D42" s="2101"/>
      <c r="E42" s="187" t="e">
        <f t="shared" si="4"/>
        <v>#DIV/0!</v>
      </c>
      <c r="F42" s="766">
        <f>SUMIF(修正!A57:A68,G2,修正!G57:G68)</f>
        <v>0</v>
      </c>
      <c r="G42" s="187" t="e">
        <f>ROUND(IF(E2="工业",C42*$M$42,C42*$M$41),0)</f>
        <v>#DIV/0!</v>
      </c>
      <c r="H42" s="187">
        <f t="shared" si="5"/>
        <v>0</v>
      </c>
      <c r="I42" s="187" t="e">
        <f t="shared" si="6"/>
        <v>#DIV/0!</v>
      </c>
      <c r="J42" s="2118"/>
      <c r="L42" s="2119" t="s">
        <v>1991</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2119</v>
      </c>
      <c r="C44" s="342" t="e">
        <f>ROUND(POWER(1+E44,H44-G44)*(POWER(1+E44,G44)-1)/(POWER(1+E44,H44)-1),4)</f>
        <v>#DIV/0!</v>
      </c>
      <c r="D44" s="171" t="s">
        <v>1997</v>
      </c>
      <c r="E44" s="2151">
        <f>G24</f>
        <v>0</v>
      </c>
      <c r="F44" s="171" t="s">
        <v>2006</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2040</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2041</v>
      </c>
      <c r="B48" s="2125">
        <f>1+E50</f>
        <v>1</v>
      </c>
      <c r="C48" s="2126"/>
      <c r="D48" s="740"/>
      <c r="E48" s="741"/>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2042</v>
      </c>
      <c r="B49" s="1349" t="s">
        <v>2043</v>
      </c>
      <c r="C49" s="1349" t="s">
        <v>2044</v>
      </c>
      <c r="D49" s="1349" t="s">
        <v>2045</v>
      </c>
      <c r="E49" s="742" t="s">
        <v>2046</v>
      </c>
      <c r="F49" s="2129" t="s">
        <v>2047</v>
      </c>
      <c r="G49" s="1349" t="s">
        <v>310</v>
      </c>
      <c r="H49" s="2130" t="s">
        <v>2048</v>
      </c>
      <c r="I49" s="1349" t="s">
        <v>2049</v>
      </c>
      <c r="J49" s="552" t="s">
        <v>1719</v>
      </c>
      <c r="K49" s="552" t="s">
        <v>1720</v>
      </c>
      <c r="L49" s="552" t="s">
        <v>1721</v>
      </c>
      <c r="M49" s="552" t="s">
        <v>1722</v>
      </c>
      <c r="N49" s="552" t="s">
        <v>1723</v>
      </c>
      <c r="AA49" s="1118"/>
      <c r="AB49" s="1118"/>
      <c r="AC49" s="1118"/>
      <c r="AD49" s="1118"/>
      <c r="AE49" s="1118"/>
      <c r="AF49" s="1118"/>
      <c r="AG49" s="1118"/>
      <c r="AH49" s="1118"/>
      <c r="AI49" s="1118"/>
      <c r="AJ49" s="1118"/>
      <c r="AK49" s="1118"/>
    </row>
    <row r="50" spans="1:37" s="1117" customFormat="1" ht="51">
      <c r="A50" s="2128" t="s">
        <v>2050</v>
      </c>
      <c r="B50" s="2131" t="str">
        <f>估价对象房地状况!C4</f>
        <v>估价对象位于西直门商圈，周边商业氛围成熟，有凯德MALL、华联购物中心等，人流量较大，商业繁华度较好</v>
      </c>
      <c r="C50" s="2042"/>
      <c r="D50" s="1064">
        <f t="shared" ref="D50:D58" si="7">SUMIF($J$49:$N$49,C50,J50:N50)</f>
        <v>0</v>
      </c>
      <c r="E50" s="743">
        <f>ROUND(SUM(D50:D58),4)</f>
        <v>0</v>
      </c>
      <c r="F50" s="1812" t="str">
        <f>IF(E2="商业",SUMIF(L1:L12,G2,N1:N12),"——")</f>
        <v>——</v>
      </c>
      <c r="G50" s="1062"/>
      <c r="H50" s="1065" t="str">
        <f t="shared" ref="H50:H58" si="8">IFERROR(ROUNDDOWN($F$50*I50/2,4),"——")</f>
        <v>——</v>
      </c>
      <c r="I50" s="3363">
        <v>0.3</v>
      </c>
      <c r="J50" s="1063">
        <f t="shared" ref="J50:J58" si="9">K50+$G50</f>
        <v>0</v>
      </c>
      <c r="K50" s="1063">
        <f t="shared" ref="K50:K58" si="10">$L50+$G50</f>
        <v>0</v>
      </c>
      <c r="L50" s="1063">
        <v>0</v>
      </c>
      <c r="M50" s="1063">
        <f t="shared" ref="M50:N58" si="11">L50-$G50</f>
        <v>0</v>
      </c>
      <c r="N50" s="1063">
        <f t="shared" si="11"/>
        <v>0</v>
      </c>
      <c r="AA50" s="1118"/>
      <c r="AB50" s="1118"/>
      <c r="AC50" s="1118"/>
      <c r="AD50" s="1118"/>
      <c r="AE50" s="1118"/>
      <c r="AF50" s="1118"/>
      <c r="AG50" s="1118"/>
      <c r="AH50" s="1118"/>
      <c r="AI50" s="1118"/>
      <c r="AJ50" s="1118"/>
      <c r="AK50" s="1118"/>
    </row>
    <row r="51" spans="1:37" s="1117" customFormat="1" ht="63.75">
      <c r="A51" s="2128" t="s">
        <v>2051</v>
      </c>
      <c r="B51" s="2132" t="str">
        <f>估价对象房地状况!C18</f>
        <v>估价对象周边道路状况较好、有7、16、105等公交线路及地铁2、4号线经过，公共交通通达情况较好、停车便捷程度一般，综合评价交通便捷度较好</v>
      </c>
      <c r="C51" s="2042"/>
      <c r="D51" s="1064">
        <f t="shared" si="7"/>
        <v>0</v>
      </c>
      <c r="E51" s="744"/>
      <c r="F51" s="1812"/>
      <c r="G51" s="1062"/>
      <c r="H51" s="1065" t="str">
        <f t="shared" si="8"/>
        <v>——</v>
      </c>
      <c r="I51" s="3363">
        <v>0.22</v>
      </c>
      <c r="J51" s="1063">
        <f t="shared" si="9"/>
        <v>0</v>
      </c>
      <c r="K51" s="1063">
        <f t="shared" si="10"/>
        <v>0</v>
      </c>
      <c r="L51" s="1063">
        <v>0</v>
      </c>
      <c r="M51" s="1063">
        <f t="shared" si="11"/>
        <v>0</v>
      </c>
      <c r="N51" s="1063">
        <f t="shared" si="11"/>
        <v>0</v>
      </c>
      <c r="AA51" s="1118"/>
      <c r="AB51" s="1118"/>
      <c r="AC51" s="1118"/>
      <c r="AD51" s="1118"/>
      <c r="AE51" s="1118"/>
      <c r="AF51" s="1118"/>
      <c r="AG51" s="1118"/>
      <c r="AH51" s="1118"/>
      <c r="AI51" s="1118"/>
      <c r="AJ51" s="1118"/>
      <c r="AK51" s="1118"/>
    </row>
    <row r="52" spans="1:37" s="1117" customFormat="1" ht="36">
      <c r="A52" s="3365" t="s">
        <v>3266</v>
      </c>
      <c r="B52" s="2132">
        <f>估价对象房地状况!C19</f>
        <v>0</v>
      </c>
      <c r="C52" s="2042"/>
      <c r="D52" s="1064">
        <f t="shared" si="7"/>
        <v>0</v>
      </c>
      <c r="E52" s="744"/>
      <c r="F52" s="1812"/>
      <c r="G52" s="1062"/>
      <c r="H52" s="1065" t="str">
        <f t="shared" si="8"/>
        <v>——</v>
      </c>
      <c r="I52" s="3363">
        <v>0.12</v>
      </c>
      <c r="J52" s="1063">
        <f t="shared" si="9"/>
        <v>0</v>
      </c>
      <c r="K52" s="1063">
        <f t="shared" si="10"/>
        <v>0</v>
      </c>
      <c r="L52" s="1063">
        <v>0</v>
      </c>
      <c r="M52" s="1063">
        <f t="shared" si="11"/>
        <v>0</v>
      </c>
      <c r="N52" s="1063">
        <f t="shared" si="11"/>
        <v>0</v>
      </c>
      <c r="AA52" s="1118"/>
      <c r="AB52" s="1118"/>
      <c r="AC52" s="1118"/>
      <c r="AD52" s="1118"/>
      <c r="AE52" s="1118"/>
      <c r="AF52" s="1118"/>
      <c r="AG52" s="1118"/>
      <c r="AH52" s="1118"/>
      <c r="AI52" s="1118"/>
      <c r="AJ52" s="1118"/>
      <c r="AK52" s="1118"/>
    </row>
    <row r="53" spans="1:37" s="1117" customFormat="1" ht="36.75">
      <c r="A53" s="2128" t="s">
        <v>2052</v>
      </c>
      <c r="B53" s="2133" t="s">
        <v>2053</v>
      </c>
      <c r="C53" s="2042"/>
      <c r="D53" s="1064">
        <f t="shared" si="7"/>
        <v>0</v>
      </c>
      <c r="E53" s="744"/>
      <c r="F53" s="1812"/>
      <c r="G53" s="1062"/>
      <c r="H53" s="1065" t="str">
        <f t="shared" si="8"/>
        <v>——</v>
      </c>
      <c r="I53" s="3363">
        <v>0.05</v>
      </c>
      <c r="J53" s="1063">
        <f t="shared" si="9"/>
        <v>0</v>
      </c>
      <c r="K53" s="1063">
        <f t="shared" si="10"/>
        <v>0</v>
      </c>
      <c r="L53" s="1063">
        <v>0</v>
      </c>
      <c r="M53" s="1063">
        <f t="shared" si="11"/>
        <v>0</v>
      </c>
      <c r="N53" s="1063">
        <f t="shared" si="11"/>
        <v>0</v>
      </c>
      <c r="AA53" s="1118"/>
      <c r="AB53" s="1118"/>
      <c r="AC53" s="1118"/>
      <c r="AD53" s="1118"/>
      <c r="AE53" s="1118"/>
      <c r="AF53" s="1118"/>
      <c r="AG53" s="1118"/>
      <c r="AH53" s="1118"/>
      <c r="AI53" s="1118"/>
      <c r="AJ53" s="1118"/>
      <c r="AK53" s="1118"/>
    </row>
    <row r="54" spans="1:37" s="1117" customFormat="1" ht="24">
      <c r="A54" s="2128" t="s">
        <v>2054</v>
      </c>
      <c r="B54" s="2132" t="str">
        <f>估价对象房地状况!C24</f>
        <v>主干道-西直门外大街</v>
      </c>
      <c r="C54" s="2042"/>
      <c r="D54" s="1064">
        <f t="shared" si="7"/>
        <v>0</v>
      </c>
      <c r="E54" s="744"/>
      <c r="F54" s="1812"/>
      <c r="G54" s="1062"/>
      <c r="H54" s="1065" t="str">
        <f t="shared" si="8"/>
        <v>——</v>
      </c>
      <c r="I54" s="3363">
        <v>0.08</v>
      </c>
      <c r="J54" s="1063">
        <f t="shared" si="9"/>
        <v>0</v>
      </c>
      <c r="K54" s="1063">
        <f t="shared" si="10"/>
        <v>0</v>
      </c>
      <c r="L54" s="1063">
        <v>0</v>
      </c>
      <c r="M54" s="1063">
        <f t="shared" si="11"/>
        <v>0</v>
      </c>
      <c r="N54" s="1063">
        <f t="shared" si="11"/>
        <v>0</v>
      </c>
      <c r="AA54" s="1118"/>
      <c r="AB54" s="1118"/>
      <c r="AC54" s="1118"/>
      <c r="AD54" s="1118"/>
      <c r="AE54" s="1118"/>
      <c r="AF54" s="1118"/>
      <c r="AG54" s="1118"/>
      <c r="AH54" s="1118"/>
      <c r="AI54" s="1118"/>
      <c r="AJ54" s="1118"/>
      <c r="AK54" s="1118"/>
    </row>
    <row r="55" spans="1:37" s="1117" customFormat="1" ht="24">
      <c r="A55" s="2128" t="s">
        <v>2055</v>
      </c>
      <c r="B55" s="2134" t="s">
        <v>2056</v>
      </c>
      <c r="C55" s="2042"/>
      <c r="D55" s="1064">
        <f t="shared" si="7"/>
        <v>0</v>
      </c>
      <c r="E55" s="744"/>
      <c r="F55" s="1812"/>
      <c r="G55" s="1062"/>
      <c r="H55" s="1065" t="str">
        <f t="shared" si="8"/>
        <v>——</v>
      </c>
      <c r="I55" s="3363">
        <v>0.05</v>
      </c>
      <c r="J55" s="1063">
        <f t="shared" si="9"/>
        <v>0</v>
      </c>
      <c r="K55" s="1063">
        <f t="shared" si="10"/>
        <v>0</v>
      </c>
      <c r="L55" s="1063">
        <v>0</v>
      </c>
      <c r="M55" s="1063">
        <f t="shared" si="11"/>
        <v>0</v>
      </c>
      <c r="N55" s="1063">
        <f t="shared" si="11"/>
        <v>0</v>
      </c>
      <c r="AA55" s="1118"/>
      <c r="AB55" s="1118"/>
      <c r="AC55" s="1118"/>
      <c r="AD55" s="1118"/>
      <c r="AE55" s="1118"/>
      <c r="AF55" s="1118"/>
      <c r="AG55" s="1118"/>
      <c r="AH55" s="1118"/>
      <c r="AI55" s="1118"/>
      <c r="AJ55" s="1118"/>
      <c r="AK55" s="1118"/>
    </row>
    <row r="56" spans="1:37" s="1117" customFormat="1" ht="25.5">
      <c r="A56" s="2135" t="s">
        <v>2057</v>
      </c>
      <c r="B56" s="1324" t="str">
        <f>估价对象房地状况!C21</f>
        <v>估价对象所在区域公共配套设施齐备情况较好</v>
      </c>
      <c r="C56" s="2042"/>
      <c r="D56" s="1064">
        <f t="shared" si="7"/>
        <v>0</v>
      </c>
      <c r="E56" s="744"/>
      <c r="F56" s="1812"/>
      <c r="G56" s="1062"/>
      <c r="H56" s="1065" t="str">
        <f t="shared" si="8"/>
        <v>——</v>
      </c>
      <c r="I56" s="3363">
        <v>0.05</v>
      </c>
      <c r="J56" s="1063">
        <f t="shared" si="9"/>
        <v>0</v>
      </c>
      <c r="K56" s="1063">
        <f t="shared" si="10"/>
        <v>0</v>
      </c>
      <c r="L56" s="1063">
        <v>0</v>
      </c>
      <c r="M56" s="1063">
        <f t="shared" si="11"/>
        <v>0</v>
      </c>
      <c r="N56" s="1063">
        <f t="shared" si="11"/>
        <v>0</v>
      </c>
      <c r="AA56" s="1118"/>
      <c r="AB56" s="1118"/>
      <c r="AC56" s="1118"/>
      <c r="AD56" s="1118"/>
      <c r="AE56" s="1118"/>
      <c r="AF56" s="1118"/>
      <c r="AG56" s="1118"/>
      <c r="AH56" s="1118"/>
      <c r="AI56" s="1118"/>
      <c r="AJ56" s="1118"/>
      <c r="AK56" s="1118"/>
    </row>
    <row r="57" spans="1:37" s="1117" customFormat="1" ht="25.5">
      <c r="A57" s="2135" t="s">
        <v>2058</v>
      </c>
      <c r="B57" s="2132" t="str">
        <f>估价对象房地状况!C22</f>
        <v>估价对象所在区域基础设施水平七通</v>
      </c>
      <c r="C57" s="2042"/>
      <c r="D57" s="1064">
        <f t="shared" si="7"/>
        <v>0</v>
      </c>
      <c r="E57" s="744"/>
      <c r="F57" s="1812"/>
      <c r="G57" s="1062"/>
      <c r="H57" s="1065" t="str">
        <f t="shared" si="8"/>
        <v>——</v>
      </c>
      <c r="I57" s="3363">
        <v>0.08</v>
      </c>
      <c r="J57" s="1063">
        <f t="shared" si="9"/>
        <v>0</v>
      </c>
      <c r="K57" s="1063">
        <f t="shared" si="10"/>
        <v>0</v>
      </c>
      <c r="L57" s="1063">
        <v>0</v>
      </c>
      <c r="M57" s="1063">
        <f t="shared" si="11"/>
        <v>0</v>
      </c>
      <c r="N57" s="1063">
        <f t="shared" si="11"/>
        <v>0</v>
      </c>
      <c r="AA57" s="1118"/>
      <c r="AB57" s="1118"/>
      <c r="AC57" s="1118"/>
      <c r="AD57" s="1118"/>
      <c r="AE57" s="1118"/>
      <c r="AF57" s="1118"/>
      <c r="AG57" s="1118"/>
      <c r="AH57" s="1118"/>
      <c r="AI57" s="1118"/>
      <c r="AJ57" s="1118"/>
      <c r="AK57" s="1118"/>
    </row>
    <row r="58" spans="1:37" s="1117" customFormat="1" ht="51.75" thickBot="1">
      <c r="A58" s="2136" t="s">
        <v>2059</v>
      </c>
      <c r="B58" s="2137" t="str">
        <f>估价对象房地状况!C20</f>
        <v>区域自然环境：北京动物园、官园公园；人文环境：北京天文馆、北京建筑大学；综合评价环境状况较好</v>
      </c>
      <c r="C58" s="2042"/>
      <c r="D58" s="1064">
        <f t="shared" si="7"/>
        <v>0</v>
      </c>
      <c r="E58" s="745"/>
      <c r="F58" s="1812"/>
      <c r="G58" s="1062"/>
      <c r="H58" s="1065" t="str">
        <f t="shared" si="8"/>
        <v>——</v>
      </c>
      <c r="I58" s="3364">
        <v>0.05</v>
      </c>
      <c r="J58" s="1063">
        <f t="shared" si="9"/>
        <v>0</v>
      </c>
      <c r="K58" s="1063">
        <f t="shared" si="10"/>
        <v>0</v>
      </c>
      <c r="L58" s="1063">
        <v>0</v>
      </c>
      <c r="M58" s="1063">
        <f t="shared" si="11"/>
        <v>0</v>
      </c>
      <c r="N58" s="1063">
        <f t="shared" si="11"/>
        <v>0</v>
      </c>
      <c r="AA58" s="1118"/>
      <c r="AB58" s="1118"/>
      <c r="AC58" s="1118"/>
      <c r="AD58" s="1118"/>
      <c r="AE58" s="1118"/>
      <c r="AF58" s="1118"/>
      <c r="AG58" s="1118"/>
      <c r="AH58" s="1118"/>
      <c r="AI58" s="1118"/>
      <c r="AJ58" s="1118"/>
      <c r="AK58" s="1118"/>
    </row>
    <row r="59" spans="1:37" s="1117" customFormat="1" ht="15">
      <c r="A59" s="2124" t="s">
        <v>2060</v>
      </c>
      <c r="B59" s="2125">
        <f>1+E61</f>
        <v>1</v>
      </c>
      <c r="C59" s="740"/>
      <c r="D59" s="740"/>
      <c r="E59" s="741"/>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2042</v>
      </c>
      <c r="B60" s="1349"/>
      <c r="C60" s="1349" t="s">
        <v>2044</v>
      </c>
      <c r="D60" s="1349" t="s">
        <v>2045</v>
      </c>
      <c r="E60" s="742" t="s">
        <v>2046</v>
      </c>
      <c r="F60" s="2129" t="s">
        <v>2061</v>
      </c>
      <c r="G60" s="1349" t="s">
        <v>310</v>
      </c>
      <c r="H60" s="2130" t="s">
        <v>2048</v>
      </c>
      <c r="I60" s="1349" t="s">
        <v>2049</v>
      </c>
      <c r="J60" s="552" t="s">
        <v>1719</v>
      </c>
      <c r="K60" s="552" t="s">
        <v>1720</v>
      </c>
      <c r="L60" s="552" t="s">
        <v>1721</v>
      </c>
      <c r="M60" s="552" t="s">
        <v>1722</v>
      </c>
      <c r="N60" s="552" t="s">
        <v>1723</v>
      </c>
      <c r="AA60" s="1118"/>
      <c r="AB60" s="1118"/>
      <c r="AC60" s="1118"/>
      <c r="AD60" s="1118"/>
      <c r="AE60" s="1118"/>
      <c r="AF60" s="1118"/>
      <c r="AG60" s="1118"/>
      <c r="AH60" s="1118"/>
      <c r="AI60" s="1118"/>
      <c r="AJ60" s="1118"/>
      <c r="AK60" s="1118"/>
    </row>
    <row r="61" spans="1:37" s="1117" customFormat="1" ht="51">
      <c r="A61" s="2128" t="s">
        <v>2062</v>
      </c>
      <c r="B61" s="2131" t="str">
        <f>估价对象房地状况!C17</f>
        <v>估价对象周边办公楼项目较多，有金泰鑫侨大厦、阳光大厦、德宝大厦，入驻率较高，办公集聚程度较好</v>
      </c>
      <c r="C61" s="2042"/>
      <c r="D61" s="1064">
        <f t="shared" ref="D61:D69" si="12">SUMIF($J$60:$N$60,C61,J61:N61)</f>
        <v>0</v>
      </c>
      <c r="E61" s="743">
        <f>ROUND(SUM(D61:D69),4)</f>
        <v>0</v>
      </c>
      <c r="F61" s="1812" t="str">
        <f>IF(E2="办公",SUMIF(L1:L12,G2,N1:N12),"——")</f>
        <v>——</v>
      </c>
      <c r="G61" s="1062"/>
      <c r="H61" s="1065" t="str">
        <f t="shared" ref="H61:H69" si="13">IFERROR(ROUNDDOWN($F$61*I61/2,4),"——")</f>
        <v>——</v>
      </c>
      <c r="I61" s="3363">
        <v>0.25</v>
      </c>
      <c r="J61" s="1063">
        <f t="shared" ref="J61:J69" si="14">K61+$G61</f>
        <v>0</v>
      </c>
      <c r="K61" s="1063">
        <f t="shared" ref="K61:K69" si="15">$L61+$G61</f>
        <v>0</v>
      </c>
      <c r="L61" s="1063">
        <v>0</v>
      </c>
      <c r="M61" s="1063">
        <f t="shared" ref="M61:N69" si="16">L61-$G61</f>
        <v>0</v>
      </c>
      <c r="N61" s="1063">
        <f t="shared" si="16"/>
        <v>0</v>
      </c>
      <c r="AA61" s="1118"/>
      <c r="AB61" s="1118"/>
      <c r="AC61" s="1118"/>
      <c r="AD61" s="1118"/>
      <c r="AE61" s="1118"/>
      <c r="AF61" s="1118"/>
      <c r="AG61" s="1118"/>
      <c r="AH61" s="1118"/>
      <c r="AI61" s="1118"/>
      <c r="AJ61" s="1118"/>
      <c r="AK61" s="1118"/>
    </row>
    <row r="62" spans="1:37" s="1117" customFormat="1" ht="63.75">
      <c r="A62" s="2128" t="s">
        <v>2051</v>
      </c>
      <c r="B62" s="2132" t="str">
        <f>估价对象房地状况!C18</f>
        <v>估价对象周边道路状况较好、有7、16、105等公交线路及地铁2、4号线经过，公共交通通达情况较好、停车便捷程度一般，综合评价交通便捷度较好</v>
      </c>
      <c r="C62" s="2042"/>
      <c r="D62" s="1064">
        <f t="shared" si="12"/>
        <v>0</v>
      </c>
      <c r="E62" s="744"/>
      <c r="F62" s="1812"/>
      <c r="G62" s="1062"/>
      <c r="H62" s="1065" t="str">
        <f t="shared" si="13"/>
        <v>——</v>
      </c>
      <c r="I62" s="3363">
        <v>0.26</v>
      </c>
      <c r="J62" s="1063">
        <f t="shared" si="14"/>
        <v>0</v>
      </c>
      <c r="K62" s="1063">
        <f t="shared" si="15"/>
        <v>0</v>
      </c>
      <c r="L62" s="1063">
        <v>0</v>
      </c>
      <c r="M62" s="1063">
        <f t="shared" si="16"/>
        <v>0</v>
      </c>
      <c r="N62" s="1063">
        <f t="shared" si="16"/>
        <v>0</v>
      </c>
      <c r="AA62" s="1118"/>
      <c r="AB62" s="1118"/>
      <c r="AC62" s="1118"/>
      <c r="AD62" s="1118"/>
      <c r="AE62" s="1118"/>
      <c r="AF62" s="1118"/>
      <c r="AG62" s="1118"/>
      <c r="AH62" s="1118"/>
      <c r="AI62" s="1118"/>
      <c r="AJ62" s="1118"/>
      <c r="AK62" s="1118"/>
    </row>
    <row r="63" spans="1:37" s="1117" customFormat="1" ht="36">
      <c r="A63" s="3365" t="s">
        <v>3266</v>
      </c>
      <c r="B63" s="2132">
        <f>估价对象房地状况!C19</f>
        <v>0</v>
      </c>
      <c r="C63" s="2042"/>
      <c r="D63" s="1064">
        <f t="shared" si="12"/>
        <v>0</v>
      </c>
      <c r="E63" s="744"/>
      <c r="F63" s="1812"/>
      <c r="G63" s="1062"/>
      <c r="H63" s="1065" t="str">
        <f t="shared" si="13"/>
        <v>——</v>
      </c>
      <c r="I63" s="3363">
        <v>0.11</v>
      </c>
      <c r="J63" s="1063">
        <f t="shared" si="14"/>
        <v>0</v>
      </c>
      <c r="K63" s="1063">
        <f t="shared" si="15"/>
        <v>0</v>
      </c>
      <c r="L63" s="1063">
        <v>0</v>
      </c>
      <c r="M63" s="1063">
        <f t="shared" si="16"/>
        <v>0</v>
      </c>
      <c r="N63" s="1063">
        <f t="shared" si="16"/>
        <v>0</v>
      </c>
      <c r="AA63" s="1118"/>
      <c r="AB63" s="1118"/>
      <c r="AC63" s="1118"/>
      <c r="AD63" s="1118"/>
      <c r="AE63" s="1118"/>
      <c r="AF63" s="1118"/>
      <c r="AG63" s="1118"/>
      <c r="AH63" s="1118"/>
      <c r="AI63" s="1118"/>
      <c r="AJ63" s="1118"/>
      <c r="AK63" s="1118"/>
    </row>
    <row r="64" spans="1:37" s="1117" customFormat="1" ht="36.75">
      <c r="A64" s="2128" t="s">
        <v>2052</v>
      </c>
      <c r="B64" s="2133" t="s">
        <v>2053</v>
      </c>
      <c r="C64" s="2042"/>
      <c r="D64" s="1064">
        <f t="shared" si="12"/>
        <v>0</v>
      </c>
      <c r="E64" s="744"/>
      <c r="F64" s="1812"/>
      <c r="G64" s="1062"/>
      <c r="H64" s="1065" t="str">
        <f t="shared" si="13"/>
        <v>——</v>
      </c>
      <c r="I64" s="3363">
        <v>0.05</v>
      </c>
      <c r="J64" s="1063">
        <f t="shared" si="14"/>
        <v>0</v>
      </c>
      <c r="K64" s="1063">
        <f t="shared" si="15"/>
        <v>0</v>
      </c>
      <c r="L64" s="1063">
        <v>0</v>
      </c>
      <c r="M64" s="1063">
        <f t="shared" si="16"/>
        <v>0</v>
      </c>
      <c r="N64" s="1063">
        <f t="shared" si="16"/>
        <v>0</v>
      </c>
      <c r="AA64" s="1118"/>
      <c r="AB64" s="1118"/>
      <c r="AC64" s="1118"/>
      <c r="AD64" s="1118"/>
      <c r="AE64" s="1118"/>
      <c r="AF64" s="1118"/>
      <c r="AG64" s="1118"/>
      <c r="AH64" s="1118"/>
      <c r="AI64" s="1118"/>
      <c r="AJ64" s="1118"/>
      <c r="AK64" s="1118"/>
    </row>
    <row r="65" spans="1:37" s="1117" customFormat="1" ht="24">
      <c r="A65" s="2128" t="s">
        <v>2054</v>
      </c>
      <c r="B65" s="2132" t="str">
        <f>估价对象房地状况!C24</f>
        <v>主干道-西直门外大街</v>
      </c>
      <c r="C65" s="2042"/>
      <c r="D65" s="1064">
        <f t="shared" si="12"/>
        <v>0</v>
      </c>
      <c r="E65" s="744"/>
      <c r="F65" s="1812"/>
      <c r="G65" s="1062"/>
      <c r="H65" s="1065" t="str">
        <f t="shared" si="13"/>
        <v>——</v>
      </c>
      <c r="I65" s="3363">
        <v>0.05</v>
      </c>
      <c r="J65" s="1063">
        <f t="shared" si="14"/>
        <v>0</v>
      </c>
      <c r="K65" s="1063">
        <f t="shared" si="15"/>
        <v>0</v>
      </c>
      <c r="L65" s="1063">
        <v>0</v>
      </c>
      <c r="M65" s="1063">
        <f t="shared" si="16"/>
        <v>0</v>
      </c>
      <c r="N65" s="1063">
        <f t="shared" si="16"/>
        <v>0</v>
      </c>
      <c r="AA65" s="1118"/>
      <c r="AB65" s="1118"/>
      <c r="AC65" s="1118"/>
      <c r="AD65" s="1118"/>
      <c r="AE65" s="1118"/>
      <c r="AF65" s="1118"/>
      <c r="AG65" s="1118"/>
      <c r="AH65" s="1118"/>
      <c r="AI65" s="1118"/>
      <c r="AJ65" s="1118"/>
      <c r="AK65" s="1118"/>
    </row>
    <row r="66" spans="1:37" s="1117" customFormat="1" ht="24">
      <c r="A66" s="2128" t="s">
        <v>2055</v>
      </c>
      <c r="B66" s="2134" t="s">
        <v>2056</v>
      </c>
      <c r="C66" s="2042"/>
      <c r="D66" s="1064">
        <f t="shared" si="12"/>
        <v>0</v>
      </c>
      <c r="E66" s="744"/>
      <c r="F66" s="1812"/>
      <c r="G66" s="1062"/>
      <c r="H66" s="1065" t="str">
        <f t="shared" si="13"/>
        <v>——</v>
      </c>
      <c r="I66" s="3363">
        <v>0.06</v>
      </c>
      <c r="J66" s="1063">
        <f t="shared" si="14"/>
        <v>0</v>
      </c>
      <c r="K66" s="1063">
        <f t="shared" si="15"/>
        <v>0</v>
      </c>
      <c r="L66" s="1063">
        <v>0</v>
      </c>
      <c r="M66" s="1063">
        <f t="shared" si="16"/>
        <v>0</v>
      </c>
      <c r="N66" s="1063">
        <f t="shared" si="16"/>
        <v>0</v>
      </c>
      <c r="AA66" s="1118"/>
      <c r="AB66" s="1118"/>
      <c r="AC66" s="1118"/>
      <c r="AD66" s="1118"/>
      <c r="AE66" s="1118"/>
      <c r="AF66" s="1118"/>
      <c r="AG66" s="1118"/>
      <c r="AH66" s="1118"/>
      <c r="AI66" s="1118"/>
      <c r="AJ66" s="1118"/>
      <c r="AK66" s="1118"/>
    </row>
    <row r="67" spans="1:37" s="1117" customFormat="1" ht="25.5">
      <c r="A67" s="2128" t="s">
        <v>2057</v>
      </c>
      <c r="B67" s="1324" t="str">
        <f>估价对象房地状况!C21</f>
        <v>估价对象所在区域公共配套设施齐备情况较好</v>
      </c>
      <c r="C67" s="2042"/>
      <c r="D67" s="1064">
        <f t="shared" si="12"/>
        <v>0</v>
      </c>
      <c r="E67" s="744"/>
      <c r="F67" s="1812"/>
      <c r="G67" s="1062"/>
      <c r="H67" s="1065" t="str">
        <f t="shared" si="13"/>
        <v>——</v>
      </c>
      <c r="I67" s="3363">
        <v>0.06</v>
      </c>
      <c r="J67" s="1063">
        <f t="shared" si="14"/>
        <v>0</v>
      </c>
      <c r="K67" s="1063">
        <f t="shared" si="15"/>
        <v>0</v>
      </c>
      <c r="L67" s="1063">
        <v>0</v>
      </c>
      <c r="M67" s="1063">
        <f t="shared" si="16"/>
        <v>0</v>
      </c>
      <c r="N67" s="1063">
        <f t="shared" si="16"/>
        <v>0</v>
      </c>
      <c r="AA67" s="1118"/>
      <c r="AB67" s="1118"/>
      <c r="AC67" s="1118"/>
      <c r="AD67" s="1118"/>
      <c r="AE67" s="1118"/>
      <c r="AF67" s="1118"/>
      <c r="AG67" s="1118"/>
      <c r="AH67" s="1118"/>
      <c r="AI67" s="1118"/>
      <c r="AJ67" s="1118"/>
      <c r="AK67" s="1118"/>
    </row>
    <row r="68" spans="1:37" s="1117" customFormat="1" ht="25.5">
      <c r="A68" s="2128" t="s">
        <v>2058</v>
      </c>
      <c r="B68" s="1324" t="str">
        <f>估价对象房地状况!C22</f>
        <v>估价对象所在区域基础设施水平七通</v>
      </c>
      <c r="C68" s="2042"/>
      <c r="D68" s="1064">
        <f t="shared" si="12"/>
        <v>0</v>
      </c>
      <c r="E68" s="744"/>
      <c r="F68" s="1812"/>
      <c r="G68" s="1062"/>
      <c r="H68" s="1065" t="str">
        <f t="shared" si="13"/>
        <v>——</v>
      </c>
      <c r="I68" s="3363">
        <v>0.09</v>
      </c>
      <c r="J68" s="1063">
        <f t="shared" si="14"/>
        <v>0</v>
      </c>
      <c r="K68" s="1063">
        <f t="shared" si="15"/>
        <v>0</v>
      </c>
      <c r="L68" s="1063">
        <v>0</v>
      </c>
      <c r="M68" s="1063">
        <f t="shared" si="16"/>
        <v>0</v>
      </c>
      <c r="N68" s="1063">
        <f t="shared" si="16"/>
        <v>0</v>
      </c>
      <c r="AA68" s="1118"/>
      <c r="AB68" s="1118"/>
      <c r="AC68" s="1118"/>
      <c r="AD68" s="1118"/>
      <c r="AE68" s="1118"/>
      <c r="AF68" s="1118"/>
      <c r="AG68" s="1118"/>
      <c r="AH68" s="1118"/>
      <c r="AI68" s="1118"/>
      <c r="AJ68" s="1118"/>
      <c r="AK68" s="1118"/>
    </row>
    <row r="69" spans="1:37" s="1117" customFormat="1" ht="51.75" thickBot="1">
      <c r="A69" s="2136" t="s">
        <v>2059</v>
      </c>
      <c r="B69" s="2138" t="str">
        <f>估价对象房地状况!C20</f>
        <v>区域自然环境：北京动物园、官园公园；人文环境：北京天文馆、北京建筑大学；综合评价环境状况较好</v>
      </c>
      <c r="C69" s="2042"/>
      <c r="D69" s="1064">
        <f t="shared" si="12"/>
        <v>0</v>
      </c>
      <c r="E69" s="745"/>
      <c r="F69" s="1812"/>
      <c r="G69" s="1062"/>
      <c r="H69" s="1065" t="str">
        <f t="shared" si="13"/>
        <v>——</v>
      </c>
      <c r="I69" s="3364">
        <v>7.0000000000000007E-2</v>
      </c>
      <c r="J69" s="1063">
        <f t="shared" si="14"/>
        <v>0</v>
      </c>
      <c r="K69" s="1063">
        <f t="shared" si="15"/>
        <v>0</v>
      </c>
      <c r="L69" s="1063">
        <v>0</v>
      </c>
      <c r="M69" s="1063">
        <f t="shared" si="16"/>
        <v>0</v>
      </c>
      <c r="N69" s="1063">
        <f t="shared" si="16"/>
        <v>0</v>
      </c>
      <c r="AA69" s="1118"/>
      <c r="AB69" s="1118"/>
      <c r="AC69" s="1118"/>
      <c r="AD69" s="1118"/>
      <c r="AE69" s="1118"/>
      <c r="AF69" s="1118"/>
      <c r="AG69" s="1118"/>
      <c r="AH69" s="1118"/>
      <c r="AI69" s="1118"/>
      <c r="AJ69" s="1118"/>
      <c r="AK69" s="1118"/>
    </row>
    <row r="70" spans="1:37" s="1117" customFormat="1" ht="15">
      <c r="A70" s="2124" t="s">
        <v>2063</v>
      </c>
      <c r="B70" s="2125">
        <f>1+E72</f>
        <v>1</v>
      </c>
      <c r="C70" s="740"/>
      <c r="D70" s="740"/>
      <c r="E70" s="741"/>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2042</v>
      </c>
      <c r="B71" s="1349"/>
      <c r="C71" s="1349" t="s">
        <v>2044</v>
      </c>
      <c r="D71" s="1349" t="s">
        <v>2045</v>
      </c>
      <c r="E71" s="742" t="s">
        <v>2046</v>
      </c>
      <c r="F71" s="2129" t="s">
        <v>2061</v>
      </c>
      <c r="G71" s="1349" t="s">
        <v>310</v>
      </c>
      <c r="H71" s="2130" t="s">
        <v>2048</v>
      </c>
      <c r="I71" s="1349" t="s">
        <v>2049</v>
      </c>
      <c r="J71" s="552" t="s">
        <v>1719</v>
      </c>
      <c r="K71" s="552" t="s">
        <v>1720</v>
      </c>
      <c r="L71" s="552" t="s">
        <v>1721</v>
      </c>
      <c r="M71" s="552" t="s">
        <v>1722</v>
      </c>
      <c r="N71" s="552" t="s">
        <v>1723</v>
      </c>
      <c r="AA71" s="1118"/>
      <c r="AB71" s="1118"/>
      <c r="AC71" s="1118"/>
      <c r="AD71" s="1118"/>
      <c r="AE71" s="1118"/>
      <c r="AF71" s="1118"/>
      <c r="AG71" s="1118"/>
      <c r="AH71" s="1118"/>
      <c r="AI71" s="1118"/>
      <c r="AJ71" s="1118"/>
      <c r="AK71" s="1118"/>
    </row>
    <row r="72" spans="1:37" s="1117" customFormat="1" ht="24">
      <c r="A72" s="2128" t="s">
        <v>2064</v>
      </c>
      <c r="B72" s="2131">
        <f>估价对象房地状况!C15</f>
        <v>0</v>
      </c>
      <c r="C72" s="2042"/>
      <c r="D72" s="1064">
        <f t="shared" ref="D72:D80" si="17">SUMIF($J$71:$N$71,C72,J72:N72)</f>
        <v>0</v>
      </c>
      <c r="E72" s="743">
        <f>ROUND(SUM(D72:D80),4)</f>
        <v>0</v>
      </c>
      <c r="F72" s="1812" t="str">
        <f>IF(E2="住宅",SUMIF(L1:L12,G2,N1:N12),"——")</f>
        <v>——</v>
      </c>
      <c r="G72" s="1062"/>
      <c r="H72" s="1065" t="str">
        <f t="shared" ref="H72:H80" si="18">IFERROR(ROUNDDOWN($F$72*I72/2,4),"——")</f>
        <v>——</v>
      </c>
      <c r="I72" s="3363">
        <v>0.2</v>
      </c>
      <c r="J72" s="1063">
        <f t="shared" ref="J72:J80" si="19">K72+$G72</f>
        <v>0</v>
      </c>
      <c r="K72" s="1063">
        <f t="shared" ref="K72:K80" si="20">$L72+$G72</f>
        <v>0</v>
      </c>
      <c r="L72" s="1063">
        <v>0</v>
      </c>
      <c r="M72" s="1063">
        <f t="shared" ref="M72:N80" si="21">L72-$G72</f>
        <v>0</v>
      </c>
      <c r="N72" s="1063">
        <f t="shared" si="21"/>
        <v>0</v>
      </c>
      <c r="AA72" s="1118"/>
      <c r="AB72" s="1118"/>
      <c r="AC72" s="1118"/>
      <c r="AD72" s="1118"/>
      <c r="AE72" s="1118"/>
      <c r="AF72" s="1118"/>
      <c r="AG72" s="1118"/>
      <c r="AH72" s="1118"/>
      <c r="AI72" s="1118"/>
      <c r="AJ72" s="1118"/>
      <c r="AK72" s="1118"/>
    </row>
    <row r="73" spans="1:37" s="1117" customFormat="1" ht="63.75">
      <c r="A73" s="2128" t="s">
        <v>2051</v>
      </c>
      <c r="B73" s="2132" t="str">
        <f>估价对象房地状况!C18</f>
        <v>估价对象周边道路状况较好、有7、16、105等公交线路及地铁2、4号线经过，公共交通通达情况较好、停车便捷程度一般，综合评价交通便捷度较好</v>
      </c>
      <c r="C73" s="2042"/>
      <c r="D73" s="1064">
        <f t="shared" si="17"/>
        <v>0</v>
      </c>
      <c r="E73" s="746"/>
      <c r="F73" s="1812"/>
      <c r="G73" s="1062"/>
      <c r="H73" s="1065" t="str">
        <f t="shared" si="18"/>
        <v>——</v>
      </c>
      <c r="I73" s="3363">
        <v>0.26</v>
      </c>
      <c r="J73" s="1063">
        <f t="shared" si="19"/>
        <v>0</v>
      </c>
      <c r="K73" s="1063">
        <f t="shared" si="20"/>
        <v>0</v>
      </c>
      <c r="L73" s="1063">
        <v>0</v>
      </c>
      <c r="M73" s="1063">
        <f t="shared" si="21"/>
        <v>0</v>
      </c>
      <c r="N73" s="1063">
        <f t="shared" si="21"/>
        <v>0</v>
      </c>
      <c r="AA73" s="1118"/>
      <c r="AB73" s="1118"/>
      <c r="AC73" s="1118"/>
      <c r="AD73" s="1118"/>
      <c r="AE73" s="1118"/>
      <c r="AF73" s="1118"/>
      <c r="AG73" s="1118"/>
      <c r="AH73" s="1118"/>
      <c r="AI73" s="1118"/>
      <c r="AJ73" s="1118"/>
      <c r="AK73" s="1118"/>
    </row>
    <row r="74" spans="1:37" s="1995" customFormat="1" ht="36">
      <c r="A74" s="3365" t="s">
        <v>3266</v>
      </c>
      <c r="B74" s="2132">
        <f>估价对象房地状况!C19</f>
        <v>0</v>
      </c>
      <c r="C74" s="2042"/>
      <c r="D74" s="1064">
        <f t="shared" si="17"/>
        <v>0</v>
      </c>
      <c r="E74" s="746"/>
      <c r="F74" s="1812"/>
      <c r="G74" s="1062"/>
      <c r="H74" s="1065" t="str">
        <f t="shared" si="18"/>
        <v>——</v>
      </c>
      <c r="I74" s="3363">
        <v>0.1</v>
      </c>
      <c r="J74" s="1063">
        <f t="shared" si="19"/>
        <v>0</v>
      </c>
      <c r="K74" s="1063">
        <f t="shared" si="20"/>
        <v>0</v>
      </c>
      <c r="L74" s="1063">
        <v>0</v>
      </c>
      <c r="M74" s="1063">
        <f t="shared" si="21"/>
        <v>0</v>
      </c>
      <c r="N74" s="1063">
        <f t="shared" si="21"/>
        <v>0</v>
      </c>
      <c r="O74" s="1117"/>
      <c r="P74" s="1117"/>
      <c r="Q74" s="1117"/>
      <c r="AA74" s="2139"/>
      <c r="AB74" s="1118"/>
      <c r="AC74" s="1118"/>
      <c r="AD74" s="1118"/>
      <c r="AE74" s="1118"/>
      <c r="AF74" s="1118"/>
      <c r="AG74" s="1118"/>
      <c r="AH74" s="2139"/>
      <c r="AI74" s="2139"/>
      <c r="AJ74" s="2139"/>
      <c r="AK74" s="2139"/>
    </row>
    <row r="75" spans="1:37" ht="14.25">
      <c r="A75" s="2128" t="s">
        <v>2065</v>
      </c>
      <c r="B75" s="2132" t="str">
        <f>估价对象房地状况!C24</f>
        <v>主干道-西直门外大街</v>
      </c>
      <c r="C75" s="2042"/>
      <c r="D75" s="1064">
        <f t="shared" si="17"/>
        <v>0</v>
      </c>
      <c r="E75" s="746"/>
      <c r="F75" s="1812"/>
      <c r="G75" s="1062"/>
      <c r="H75" s="1065" t="str">
        <f t="shared" si="18"/>
        <v>——</v>
      </c>
      <c r="I75" s="3363">
        <v>0.05</v>
      </c>
      <c r="J75" s="1063">
        <f t="shared" si="19"/>
        <v>0</v>
      </c>
      <c r="K75" s="1063">
        <f t="shared" si="20"/>
        <v>0</v>
      </c>
      <c r="L75" s="1063">
        <v>0</v>
      </c>
      <c r="M75" s="1063">
        <f t="shared" si="21"/>
        <v>0</v>
      </c>
      <c r="N75" s="1063">
        <f t="shared" si="21"/>
        <v>0</v>
      </c>
      <c r="O75" s="1117"/>
      <c r="P75" s="1117"/>
      <c r="Q75" s="1995"/>
      <c r="Z75" s="1996"/>
      <c r="AA75" s="2051"/>
      <c r="AG75" s="1119"/>
      <c r="AK75" s="2051"/>
    </row>
    <row r="76" spans="1:37" ht="25.5">
      <c r="A76" s="2128" t="s">
        <v>2057</v>
      </c>
      <c r="B76" s="1324" t="str">
        <f>估价对象房地状况!C21</f>
        <v>估价对象所在区域公共配套设施齐备情况较好</v>
      </c>
      <c r="C76" s="2042"/>
      <c r="D76" s="1064">
        <f t="shared" si="17"/>
        <v>0</v>
      </c>
      <c r="E76" s="746"/>
      <c r="F76" s="1812"/>
      <c r="G76" s="1062"/>
      <c r="H76" s="1065" t="str">
        <f t="shared" si="18"/>
        <v>——</v>
      </c>
      <c r="I76" s="3363">
        <v>0.08</v>
      </c>
      <c r="J76" s="1063">
        <f t="shared" si="19"/>
        <v>0</v>
      </c>
      <c r="K76" s="1063">
        <f t="shared" si="20"/>
        <v>0</v>
      </c>
      <c r="L76" s="1063">
        <v>0</v>
      </c>
      <c r="M76" s="1063">
        <f t="shared" si="21"/>
        <v>0</v>
      </c>
      <c r="N76" s="1063">
        <f t="shared" si="21"/>
        <v>0</v>
      </c>
      <c r="O76" s="1117"/>
      <c r="P76" s="1117"/>
      <c r="Z76" s="1996"/>
      <c r="AA76" s="2051"/>
      <c r="AG76" s="1119"/>
      <c r="AK76" s="2051"/>
    </row>
    <row r="77" spans="1:37" ht="25.5">
      <c r="A77" s="2128" t="s">
        <v>2058</v>
      </c>
      <c r="B77" s="1324" t="str">
        <f>估价对象房地状况!C22</f>
        <v>估价对象所在区域基础设施水平七通</v>
      </c>
      <c r="C77" s="2042"/>
      <c r="D77" s="1064">
        <f t="shared" si="17"/>
        <v>0</v>
      </c>
      <c r="E77" s="746"/>
      <c r="F77" s="1812"/>
      <c r="G77" s="1062"/>
      <c r="H77" s="1065" t="str">
        <f t="shared" si="18"/>
        <v>——</v>
      </c>
      <c r="I77" s="3363">
        <v>0.09</v>
      </c>
      <c r="J77" s="1063">
        <f t="shared" si="19"/>
        <v>0</v>
      </c>
      <c r="K77" s="1063">
        <f t="shared" si="20"/>
        <v>0</v>
      </c>
      <c r="L77" s="1063">
        <v>0</v>
      </c>
      <c r="M77" s="1063">
        <f t="shared" si="21"/>
        <v>0</v>
      </c>
      <c r="N77" s="1063">
        <f t="shared" si="21"/>
        <v>0</v>
      </c>
      <c r="O77" s="1117"/>
      <c r="P77" s="1117"/>
      <c r="Z77" s="1996"/>
      <c r="AA77" s="2051"/>
      <c r="AG77" s="1119"/>
      <c r="AK77" s="2051"/>
    </row>
    <row r="78" spans="1:37" ht="24">
      <c r="A78" s="2128" t="s">
        <v>2055</v>
      </c>
      <c r="B78" s="2134" t="s">
        <v>2056</v>
      </c>
      <c r="C78" s="2042"/>
      <c r="D78" s="1064">
        <f t="shared" si="17"/>
        <v>0</v>
      </c>
      <c r="E78" s="746"/>
      <c r="F78" s="1812"/>
      <c r="G78" s="1062"/>
      <c r="H78" s="1065" t="str">
        <f t="shared" si="18"/>
        <v>——</v>
      </c>
      <c r="I78" s="3363">
        <v>0.05</v>
      </c>
      <c r="J78" s="1063">
        <f t="shared" si="19"/>
        <v>0</v>
      </c>
      <c r="K78" s="1063">
        <f t="shared" si="20"/>
        <v>0</v>
      </c>
      <c r="L78" s="1063">
        <v>0</v>
      </c>
      <c r="M78" s="1063">
        <f t="shared" si="21"/>
        <v>0</v>
      </c>
      <c r="N78" s="1063">
        <f t="shared" si="21"/>
        <v>0</v>
      </c>
      <c r="O78" s="1995"/>
      <c r="P78" s="1995"/>
      <c r="Z78" s="1996"/>
      <c r="AA78" s="2051"/>
      <c r="AG78" s="1119"/>
      <c r="AK78" s="2051"/>
    </row>
    <row r="79" spans="1:37" ht="51">
      <c r="A79" s="2128" t="s">
        <v>2059</v>
      </c>
      <c r="B79" s="2131" t="str">
        <f>估价对象房地状况!C20</f>
        <v>区域自然环境：北京动物园、官园公园；人文环境：北京天文馆、北京建筑大学；综合评价环境状况较好</v>
      </c>
      <c r="C79" s="2042"/>
      <c r="D79" s="1064">
        <f t="shared" si="17"/>
        <v>0</v>
      </c>
      <c r="E79" s="746"/>
      <c r="F79" s="1812"/>
      <c r="G79" s="1062"/>
      <c r="H79" s="1065" t="str">
        <f t="shared" si="18"/>
        <v>——</v>
      </c>
      <c r="I79" s="3363">
        <v>0.12</v>
      </c>
      <c r="J79" s="1063">
        <f t="shared" si="19"/>
        <v>0</v>
      </c>
      <c r="K79" s="1063">
        <f t="shared" si="20"/>
        <v>0</v>
      </c>
      <c r="L79" s="1063">
        <v>0</v>
      </c>
      <c r="M79" s="1063">
        <f t="shared" si="21"/>
        <v>0</v>
      </c>
      <c r="N79" s="1063">
        <f t="shared" si="21"/>
        <v>0</v>
      </c>
      <c r="Z79" s="1996"/>
      <c r="AA79" s="2051"/>
      <c r="AG79" s="1119"/>
      <c r="AK79" s="2051"/>
    </row>
    <row r="80" spans="1:37" ht="24.75" thickBot="1">
      <c r="A80" s="2136" t="s">
        <v>2066</v>
      </c>
      <c r="B80" s="2140"/>
      <c r="C80" s="2042"/>
      <c r="D80" s="1064">
        <f t="shared" si="17"/>
        <v>0</v>
      </c>
      <c r="E80" s="747"/>
      <c r="F80" s="1812"/>
      <c r="G80" s="1062"/>
      <c r="H80" s="1065" t="str">
        <f t="shared" si="18"/>
        <v>——</v>
      </c>
      <c r="I80" s="3364">
        <v>0.05</v>
      </c>
      <c r="J80" s="1063">
        <f t="shared" si="19"/>
        <v>0</v>
      </c>
      <c r="K80" s="1063">
        <f t="shared" si="20"/>
        <v>0</v>
      </c>
      <c r="L80" s="1063">
        <v>0</v>
      </c>
      <c r="M80" s="1063">
        <f t="shared" si="21"/>
        <v>0</v>
      </c>
      <c r="N80" s="1063">
        <f t="shared" si="21"/>
        <v>0</v>
      </c>
      <c r="Z80" s="1996"/>
      <c r="AA80" s="2051"/>
      <c r="AG80" s="1119"/>
      <c r="AK80" s="2051"/>
    </row>
    <row r="81" spans="1:37" ht="15">
      <c r="A81" s="2124" t="s">
        <v>2067</v>
      </c>
      <c r="B81" s="2125">
        <f>1+E83</f>
        <v>1</v>
      </c>
      <c r="C81" s="740"/>
      <c r="D81" s="740"/>
      <c r="E81" s="741"/>
      <c r="F81" s="2127"/>
      <c r="G81" s="3"/>
      <c r="H81" s="3"/>
      <c r="I81" s="3"/>
      <c r="J81" s="4"/>
      <c r="K81" s="4"/>
      <c r="L81" s="4"/>
      <c r="M81" s="4"/>
      <c r="N81" s="4"/>
      <c r="Z81" s="1996"/>
      <c r="AA81" s="2051"/>
      <c r="AG81" s="1119"/>
      <c r="AK81" s="2051"/>
    </row>
    <row r="82" spans="1:37" ht="24.75">
      <c r="A82" s="2128" t="s">
        <v>2042</v>
      </c>
      <c r="B82" s="1349"/>
      <c r="C82" s="1349" t="s">
        <v>2044</v>
      </c>
      <c r="D82" s="1349" t="s">
        <v>2045</v>
      </c>
      <c r="E82" s="742" t="s">
        <v>2046</v>
      </c>
      <c r="F82" s="2129" t="s">
        <v>2061</v>
      </c>
      <c r="G82" s="1349" t="s">
        <v>310</v>
      </c>
      <c r="H82" s="2130" t="s">
        <v>2048</v>
      </c>
      <c r="I82" s="1349" t="s">
        <v>2049</v>
      </c>
      <c r="J82" s="552" t="s">
        <v>1719</v>
      </c>
      <c r="K82" s="552" t="s">
        <v>1720</v>
      </c>
      <c r="L82" s="552" t="s">
        <v>1721</v>
      </c>
      <c r="M82" s="552" t="s">
        <v>1722</v>
      </c>
      <c r="N82" s="552" t="s">
        <v>1723</v>
      </c>
      <c r="Z82" s="1996"/>
      <c r="AA82" s="2051"/>
      <c r="AG82" s="1119"/>
      <c r="AK82" s="2051"/>
    </row>
    <row r="83" spans="1:37" ht="38.25">
      <c r="A83" s="2128" t="s">
        <v>2068</v>
      </c>
      <c r="B83" s="2132" t="str">
        <f>估价对象房地状况!G15</f>
        <v>估价对象位于XX开发区，园区建设成熟度XX，产业集聚程度XX</v>
      </c>
      <c r="C83" s="2042"/>
      <c r="D83" s="1064">
        <f t="shared" ref="D83:D90" si="22">SUMIF($J$82:$N$82,C83,J83:N83)</f>
        <v>0</v>
      </c>
      <c r="E83" s="743">
        <f>ROUND(SUM(D83:D90),4)</f>
        <v>0</v>
      </c>
      <c r="F83" s="1812" t="str">
        <f>IF(E2="工业",SUMIF(L1:L12,G2,N1:N12),"——")</f>
        <v>——</v>
      </c>
      <c r="G83" s="1062"/>
      <c r="H83" s="1065" t="str">
        <f t="shared" ref="H83:H90" si="23">IFERROR(ROUNDDOWN($F$83*I83/2,4),"——")</f>
        <v>——</v>
      </c>
      <c r="I83" s="3363">
        <v>0.26</v>
      </c>
      <c r="J83" s="1063">
        <f t="shared" ref="J83:J90" si="24">K83+$G83</f>
        <v>0</v>
      </c>
      <c r="K83" s="1063">
        <f t="shared" ref="K83:K90" si="25">$L83+$G83</f>
        <v>0</v>
      </c>
      <c r="L83" s="1063">
        <v>0</v>
      </c>
      <c r="M83" s="1063">
        <f t="shared" ref="M83:N90" si="26">L83-$G83</f>
        <v>0</v>
      </c>
      <c r="N83" s="1063">
        <f t="shared" si="26"/>
        <v>0</v>
      </c>
      <c r="Z83" s="1996"/>
      <c r="AA83" s="2051"/>
      <c r="AG83" s="1119"/>
      <c r="AK83" s="2051"/>
    </row>
    <row r="84" spans="1:37" ht="38.25">
      <c r="A84" s="2128" t="s">
        <v>2051</v>
      </c>
      <c r="B84" s="2132" t="str">
        <f>估价对象房地状况!G16</f>
        <v>估价对象周边道路状况、公共交通通达情况、停车便捷程度，综合评价交通便捷度较好</v>
      </c>
      <c r="C84" s="2042"/>
      <c r="D84" s="1064">
        <f t="shared" si="22"/>
        <v>0</v>
      </c>
      <c r="E84" s="746"/>
      <c r="F84" s="1812"/>
      <c r="G84" s="1062"/>
      <c r="H84" s="1065" t="str">
        <f t="shared" si="23"/>
        <v>——</v>
      </c>
      <c r="I84" s="3363">
        <v>0.3</v>
      </c>
      <c r="J84" s="1063">
        <f t="shared" si="24"/>
        <v>0</v>
      </c>
      <c r="K84" s="1063">
        <f t="shared" si="25"/>
        <v>0</v>
      </c>
      <c r="L84" s="1063">
        <v>0</v>
      </c>
      <c r="M84" s="1063">
        <f t="shared" si="26"/>
        <v>0</v>
      </c>
      <c r="N84" s="1063">
        <f t="shared" si="26"/>
        <v>0</v>
      </c>
      <c r="Z84" s="1996"/>
      <c r="AA84" s="2051"/>
      <c r="AG84" s="1119"/>
      <c r="AK84" s="2051"/>
    </row>
    <row r="85" spans="1:37" ht="36">
      <c r="A85" s="3365" t="s">
        <v>3267</v>
      </c>
      <c r="B85" s="2132">
        <f>估价对象房地状况!G17</f>
        <v>0</v>
      </c>
      <c r="C85" s="2042"/>
      <c r="D85" s="1064">
        <f t="shared" si="22"/>
        <v>0</v>
      </c>
      <c r="E85" s="746"/>
      <c r="F85" s="1812"/>
      <c r="G85" s="1062"/>
      <c r="H85" s="1065" t="str">
        <f t="shared" si="23"/>
        <v>——</v>
      </c>
      <c r="I85" s="3363">
        <v>0.1</v>
      </c>
      <c r="J85" s="1063">
        <f t="shared" si="24"/>
        <v>0</v>
      </c>
      <c r="K85" s="1063">
        <f t="shared" si="25"/>
        <v>0</v>
      </c>
      <c r="L85" s="1063">
        <v>0</v>
      </c>
      <c r="M85" s="1063">
        <f t="shared" si="26"/>
        <v>0</v>
      </c>
      <c r="N85" s="1063">
        <f t="shared" si="26"/>
        <v>0</v>
      </c>
      <c r="Z85" s="1996"/>
      <c r="AA85" s="2051"/>
      <c r="AG85" s="1119"/>
      <c r="AK85" s="2051"/>
    </row>
    <row r="86" spans="1:37" ht="14.25">
      <c r="A86" s="2128" t="s">
        <v>2065</v>
      </c>
      <c r="B86" s="2132">
        <f>估价对象房地状况!G22</f>
        <v>0</v>
      </c>
      <c r="C86" s="2042"/>
      <c r="D86" s="1064">
        <f t="shared" si="22"/>
        <v>0</v>
      </c>
      <c r="E86" s="746"/>
      <c r="F86" s="1812"/>
      <c r="G86" s="1062"/>
      <c r="H86" s="1065" t="str">
        <f t="shared" si="23"/>
        <v>——</v>
      </c>
      <c r="I86" s="3363">
        <v>0.05</v>
      </c>
      <c r="J86" s="1063">
        <f t="shared" si="24"/>
        <v>0</v>
      </c>
      <c r="K86" s="1063">
        <f t="shared" si="25"/>
        <v>0</v>
      </c>
      <c r="L86" s="1063">
        <v>0</v>
      </c>
      <c r="M86" s="1063">
        <f t="shared" si="26"/>
        <v>0</v>
      </c>
      <c r="N86" s="1063">
        <f t="shared" si="26"/>
        <v>0</v>
      </c>
      <c r="Z86" s="1996"/>
      <c r="AA86" s="2051"/>
      <c r="AG86" s="1119"/>
      <c r="AK86" s="2051"/>
    </row>
    <row r="87" spans="1:37" ht="25.5">
      <c r="A87" s="2128" t="s">
        <v>2057</v>
      </c>
      <c r="B87" s="1324" t="str">
        <f>估价对象房地状况!G19</f>
        <v>估价对象所在区域公共配套设施齐备情况</v>
      </c>
      <c r="C87" s="2042"/>
      <c r="D87" s="1064">
        <f t="shared" si="22"/>
        <v>0</v>
      </c>
      <c r="E87" s="746"/>
      <c r="F87" s="1812"/>
      <c r="G87" s="1062"/>
      <c r="H87" s="1065" t="str">
        <f t="shared" si="23"/>
        <v>——</v>
      </c>
      <c r="I87" s="3363">
        <v>0.06</v>
      </c>
      <c r="J87" s="1063">
        <f t="shared" si="24"/>
        <v>0</v>
      </c>
      <c r="K87" s="1063">
        <f t="shared" si="25"/>
        <v>0</v>
      </c>
      <c r="L87" s="1063">
        <v>0</v>
      </c>
      <c r="M87" s="1063">
        <f t="shared" si="26"/>
        <v>0</v>
      </c>
      <c r="N87" s="1063">
        <f t="shared" si="26"/>
        <v>0</v>
      </c>
    </row>
    <row r="88" spans="1:37" ht="25.5">
      <c r="A88" s="2128" t="s">
        <v>2058</v>
      </c>
      <c r="B88" s="1324" t="str">
        <f>估价对象房地状况!G20</f>
        <v>估价对象所在区域基础设施水平</v>
      </c>
      <c r="C88" s="2042"/>
      <c r="D88" s="1064">
        <f t="shared" si="22"/>
        <v>0</v>
      </c>
      <c r="E88" s="746"/>
      <c r="F88" s="1812"/>
      <c r="G88" s="1062"/>
      <c r="H88" s="1065" t="str">
        <f t="shared" si="23"/>
        <v>——</v>
      </c>
      <c r="I88" s="3363">
        <v>0.12</v>
      </c>
      <c r="J88" s="1063">
        <f t="shared" si="24"/>
        <v>0</v>
      </c>
      <c r="K88" s="1063">
        <f t="shared" si="25"/>
        <v>0</v>
      </c>
      <c r="L88" s="1063">
        <v>0</v>
      </c>
      <c r="M88" s="1063">
        <f t="shared" si="26"/>
        <v>0</v>
      </c>
      <c r="N88" s="1063">
        <f t="shared" si="26"/>
        <v>0</v>
      </c>
    </row>
    <row r="89" spans="1:37" ht="24">
      <c r="A89" s="2128" t="s">
        <v>2055</v>
      </c>
      <c r="B89" s="2134" t="s">
        <v>2069</v>
      </c>
      <c r="C89" s="2042"/>
      <c r="D89" s="1064">
        <f t="shared" si="22"/>
        <v>0</v>
      </c>
      <c r="E89" s="746"/>
      <c r="F89" s="1812"/>
      <c r="G89" s="1062"/>
      <c r="H89" s="1065" t="str">
        <f t="shared" si="23"/>
        <v>——</v>
      </c>
      <c r="I89" s="3363">
        <v>0.06</v>
      </c>
      <c r="J89" s="1063">
        <f t="shared" si="24"/>
        <v>0</v>
      </c>
      <c r="K89" s="1063">
        <f t="shared" si="25"/>
        <v>0</v>
      </c>
      <c r="L89" s="1063">
        <v>0</v>
      </c>
      <c r="M89" s="1063">
        <f t="shared" si="26"/>
        <v>0</v>
      </c>
      <c r="N89" s="1063">
        <f t="shared" si="26"/>
        <v>0</v>
      </c>
    </row>
    <row r="90" spans="1:37" ht="39" thickBot="1">
      <c r="A90" s="2136" t="s">
        <v>2070</v>
      </c>
      <c r="B90" s="2141" t="str">
        <f>估价对象房地状况!G18</f>
        <v>该园区内是否有污染型企业，绿化情况，卫生条件，整体环境状况判断</v>
      </c>
      <c r="C90" s="2042"/>
      <c r="D90" s="1064">
        <f t="shared" si="22"/>
        <v>0</v>
      </c>
      <c r="E90" s="747"/>
      <c r="F90" s="1812"/>
      <c r="G90" s="1062"/>
      <c r="H90" s="1065" t="str">
        <f t="shared" si="23"/>
        <v>——</v>
      </c>
      <c r="I90" s="3364">
        <v>0.05</v>
      </c>
      <c r="J90" s="1063">
        <f t="shared" si="24"/>
        <v>0</v>
      </c>
      <c r="K90" s="1063">
        <f t="shared" si="25"/>
        <v>0</v>
      </c>
      <c r="L90" s="1063">
        <v>0</v>
      </c>
      <c r="M90" s="1063">
        <f t="shared" si="26"/>
        <v>0</v>
      </c>
      <c r="N90" s="1063">
        <f t="shared" si="26"/>
        <v>0</v>
      </c>
    </row>
    <row r="91" spans="1:37" ht="15">
      <c r="A91" s="3373" t="s">
        <v>2609</v>
      </c>
      <c r="B91" s="3374">
        <f>1+E93</f>
        <v>1</v>
      </c>
      <c r="C91" s="3367"/>
      <c r="D91" s="3368"/>
      <c r="E91" s="1812"/>
      <c r="F91" s="1812"/>
      <c r="G91" s="3369"/>
      <c r="H91" s="3370"/>
      <c r="I91" s="3371"/>
      <c r="J91" s="3372"/>
      <c r="K91" s="3372"/>
      <c r="L91" s="3372"/>
      <c r="M91" s="3372"/>
      <c r="N91" s="3372"/>
    </row>
    <row r="92" spans="1:37" ht="24.75">
      <c r="A92" s="3375" t="s">
        <v>3268</v>
      </c>
      <c r="B92" s="3362"/>
      <c r="C92" s="3362" t="s">
        <v>3277</v>
      </c>
      <c r="D92" s="3362" t="s">
        <v>3278</v>
      </c>
      <c r="E92" s="3344" t="s">
        <v>3279</v>
      </c>
      <c r="F92" s="3377" t="s">
        <v>3280</v>
      </c>
      <c r="G92" s="3362" t="s">
        <v>3281</v>
      </c>
      <c r="H92" s="3384" t="s">
        <v>3284</v>
      </c>
      <c r="I92" s="3362" t="s">
        <v>3285</v>
      </c>
      <c r="J92" s="3385" t="s">
        <v>3286</v>
      </c>
      <c r="K92" s="3385" t="s">
        <v>3287</v>
      </c>
      <c r="L92" s="3385" t="s">
        <v>3288</v>
      </c>
      <c r="M92" s="3385" t="s">
        <v>3289</v>
      </c>
      <c r="N92" s="3385" t="s">
        <v>3290</v>
      </c>
    </row>
    <row r="93" spans="1:37" ht="24">
      <c r="A93" s="3365" t="s">
        <v>3269</v>
      </c>
      <c r="B93" s="1304"/>
      <c r="C93" s="2042"/>
      <c r="D93" s="3362">
        <f>SUMIF($J$92:$N$92,C93,J93:N93)</f>
        <v>0</v>
      </c>
      <c r="E93" s="3378">
        <f>ROUND(SUM(D93:D101),4)</f>
        <v>0</v>
      </c>
      <c r="F93" s="1812"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63.75">
      <c r="A94" s="3375" t="s">
        <v>3270</v>
      </c>
      <c r="B94" s="3366" t="str">
        <f>估价对象房地状况!C18</f>
        <v>估价对象周边道路状况较好、有7、16、105等公交线路及地铁2、4号线经过，公共交通通达情况较好、停车便捷程度一般，综合评价交通便捷度较好</v>
      </c>
      <c r="C94" s="2042"/>
      <c r="D94" s="3362">
        <f t="shared" ref="D94:D101" si="30">SUMIF($J$60:$N$60,C94,J94:N94)</f>
        <v>0</v>
      </c>
      <c r="E94" s="3379"/>
      <c r="F94" s="1812"/>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3266</v>
      </c>
      <c r="B95" s="3366">
        <f>估价对象房地状况!C19</f>
        <v>0</v>
      </c>
      <c r="C95" s="2042"/>
      <c r="D95" s="3362">
        <f t="shared" si="30"/>
        <v>0</v>
      </c>
      <c r="E95" s="3379"/>
      <c r="F95" s="1812"/>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3271</v>
      </c>
      <c r="B96" s="3381" t="s">
        <v>3282</v>
      </c>
      <c r="C96" s="2042"/>
      <c r="D96" s="3362">
        <f t="shared" si="30"/>
        <v>0</v>
      </c>
      <c r="E96" s="3379"/>
      <c r="F96" s="1812"/>
      <c r="G96" s="3369"/>
      <c r="H96" s="3417" t="str">
        <f t="shared" si="31"/>
        <v>——</v>
      </c>
      <c r="I96" s="3363">
        <v>0.05</v>
      </c>
      <c r="J96" s="3341">
        <f t="shared" si="27"/>
        <v>0</v>
      </c>
      <c r="K96" s="3341">
        <f t="shared" si="28"/>
        <v>0</v>
      </c>
      <c r="L96" s="3341">
        <v>0</v>
      </c>
      <c r="M96" s="3341">
        <f t="shared" si="29"/>
        <v>0</v>
      </c>
      <c r="N96" s="3341">
        <f t="shared" si="29"/>
        <v>0</v>
      </c>
    </row>
    <row r="97" spans="1:14" ht="24">
      <c r="A97" s="3375" t="s">
        <v>3272</v>
      </c>
      <c r="B97" s="3366" t="str">
        <f>估价对象房地状况!C24</f>
        <v>主干道-西直门外大街</v>
      </c>
      <c r="C97" s="2042"/>
      <c r="D97" s="3362">
        <f t="shared" si="30"/>
        <v>0</v>
      </c>
      <c r="E97" s="3379"/>
      <c r="F97" s="1812"/>
      <c r="G97" s="3369"/>
      <c r="H97" s="3417" t="str">
        <f t="shared" si="31"/>
        <v>——</v>
      </c>
      <c r="I97" s="3363">
        <v>0.05</v>
      </c>
      <c r="J97" s="3341">
        <f t="shared" si="27"/>
        <v>0</v>
      </c>
      <c r="K97" s="3341">
        <f t="shared" si="28"/>
        <v>0</v>
      </c>
      <c r="L97" s="3341">
        <v>0</v>
      </c>
      <c r="M97" s="3341">
        <f t="shared" si="29"/>
        <v>0</v>
      </c>
      <c r="N97" s="3341">
        <f t="shared" si="29"/>
        <v>0</v>
      </c>
    </row>
    <row r="98" spans="1:14" ht="24">
      <c r="A98" s="3375" t="s">
        <v>3273</v>
      </c>
      <c r="B98" s="3382" t="s">
        <v>3283</v>
      </c>
      <c r="C98" s="2042"/>
      <c r="D98" s="3362">
        <f t="shared" si="30"/>
        <v>0</v>
      </c>
      <c r="E98" s="3379"/>
      <c r="F98" s="1812"/>
      <c r="G98" s="3369"/>
      <c r="H98" s="3417" t="str">
        <f t="shared" si="31"/>
        <v>——</v>
      </c>
      <c r="I98" s="3363">
        <v>0.06</v>
      </c>
      <c r="J98" s="3341">
        <f t="shared" si="27"/>
        <v>0</v>
      </c>
      <c r="K98" s="3341">
        <f t="shared" si="28"/>
        <v>0</v>
      </c>
      <c r="L98" s="3341">
        <v>0</v>
      </c>
      <c r="M98" s="3341">
        <f t="shared" si="29"/>
        <v>0</v>
      </c>
      <c r="N98" s="3341">
        <f t="shared" si="29"/>
        <v>0</v>
      </c>
    </row>
    <row r="99" spans="1:14" ht="25.5">
      <c r="A99" s="3375" t="s">
        <v>3274</v>
      </c>
      <c r="B99" s="3366" t="str">
        <f>估价对象房地状况!C21</f>
        <v>估价对象所在区域公共配套设施齐备情况较好</v>
      </c>
      <c r="C99" s="2042"/>
      <c r="D99" s="3362">
        <f t="shared" si="30"/>
        <v>0</v>
      </c>
      <c r="E99" s="3379"/>
      <c r="F99" s="1812"/>
      <c r="G99" s="3369"/>
      <c r="H99" s="3417" t="str">
        <f t="shared" si="31"/>
        <v>——</v>
      </c>
      <c r="I99" s="3363">
        <v>0.06</v>
      </c>
      <c r="J99" s="3341">
        <f t="shared" si="27"/>
        <v>0</v>
      </c>
      <c r="K99" s="3341">
        <f t="shared" si="28"/>
        <v>0</v>
      </c>
      <c r="L99" s="3341">
        <v>0</v>
      </c>
      <c r="M99" s="3341">
        <f t="shared" si="29"/>
        <v>0</v>
      </c>
      <c r="N99" s="3341">
        <f t="shared" si="29"/>
        <v>0</v>
      </c>
    </row>
    <row r="100" spans="1:14" ht="25.5">
      <c r="A100" s="3375" t="s">
        <v>3275</v>
      </c>
      <c r="B100" s="3366" t="str">
        <f>估价对象房地状况!C22</f>
        <v>估价对象所在区域基础设施水平七通</v>
      </c>
      <c r="C100" s="2042"/>
      <c r="D100" s="3362">
        <f t="shared" si="30"/>
        <v>0</v>
      </c>
      <c r="E100" s="3379"/>
      <c r="F100" s="1812"/>
      <c r="G100" s="3369"/>
      <c r="H100" s="3417" t="str">
        <f t="shared" si="31"/>
        <v>——</v>
      </c>
      <c r="I100" s="3363">
        <v>0.09</v>
      </c>
      <c r="J100" s="3341">
        <f t="shared" si="27"/>
        <v>0</v>
      </c>
      <c r="K100" s="3341">
        <f t="shared" si="28"/>
        <v>0</v>
      </c>
      <c r="L100" s="3341">
        <v>0</v>
      </c>
      <c r="M100" s="3341">
        <f t="shared" si="29"/>
        <v>0</v>
      </c>
      <c r="N100" s="3341">
        <f t="shared" si="29"/>
        <v>0</v>
      </c>
    </row>
    <row r="101" spans="1:14" ht="51.75" thickBot="1">
      <c r="A101" s="3376" t="s">
        <v>3276</v>
      </c>
      <c r="B101" s="3383" t="str">
        <f>估价对象房地状况!C20</f>
        <v>区域自然环境：北京动物园、官园公园；人文环境：北京天文馆、北京建筑大学；综合评价环境状况较好</v>
      </c>
      <c r="C101" s="2042"/>
      <c r="D101" s="3362">
        <f t="shared" si="30"/>
        <v>0</v>
      </c>
      <c r="E101" s="3380"/>
      <c r="F101" s="1812"/>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825" t="s">
        <v>3291</v>
      </c>
      <c r="B103" s="3825"/>
      <c r="C103" s="3825"/>
      <c r="D103" s="3825"/>
      <c r="E103" s="3825"/>
      <c r="F103" s="3825"/>
      <c r="G103" s="3825"/>
      <c r="H103" s="3825"/>
      <c r="I103" s="3825"/>
      <c r="J103" s="3825"/>
      <c r="K103" s="3386"/>
      <c r="L103" s="3386"/>
      <c r="M103" s="3386"/>
      <c r="N103" s="3386"/>
    </row>
    <row r="104" spans="1:14">
      <c r="A104" s="3826" t="s">
        <v>3292</v>
      </c>
      <c r="B104" s="3826" t="s">
        <v>3293</v>
      </c>
      <c r="C104" s="3387" t="s">
        <v>3294</v>
      </c>
      <c r="D104" s="3388"/>
      <c r="E104" s="3388"/>
      <c r="F104" s="3388"/>
      <c r="G104" s="3388"/>
      <c r="H104" s="3388"/>
      <c r="I104" s="3388"/>
      <c r="J104" s="3389"/>
      <c r="K104" s="3390"/>
      <c r="L104" s="3390"/>
      <c r="M104" s="3390"/>
      <c r="N104" s="3390"/>
    </row>
    <row r="105" spans="1:14">
      <c r="A105" s="3826"/>
      <c r="B105" s="3826"/>
      <c r="C105" s="3391" t="s">
        <v>3295</v>
      </c>
      <c r="D105" s="3391" t="s">
        <v>3296</v>
      </c>
      <c r="E105" s="3391" t="s">
        <v>3297</v>
      </c>
      <c r="F105" s="3391" t="s">
        <v>3298</v>
      </c>
      <c r="G105" s="3391" t="s">
        <v>3299</v>
      </c>
      <c r="H105" s="3391" t="s">
        <v>3300</v>
      </c>
      <c r="I105" s="3391" t="s">
        <v>3301</v>
      </c>
      <c r="J105" s="3391" t="s">
        <v>3302</v>
      </c>
      <c r="K105" s="3391" t="s">
        <v>3303</v>
      </c>
      <c r="L105" s="3391" t="s">
        <v>3304</v>
      </c>
      <c r="M105" s="3391" t="s">
        <v>3305</v>
      </c>
      <c r="N105" s="3391" t="s">
        <v>3306</v>
      </c>
    </row>
    <row r="106" spans="1:14">
      <c r="A106" s="3812" t="s">
        <v>3307</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813"/>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813"/>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813"/>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813"/>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813"/>
      <c r="B111" s="3391" t="s">
        <v>3265</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814"/>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815" t="s">
        <v>3308</v>
      </c>
      <c r="B113" s="3815"/>
      <c r="C113" s="3815"/>
      <c r="D113" s="3815"/>
      <c r="E113" s="3815"/>
      <c r="F113" s="3815"/>
      <c r="G113" s="3815"/>
      <c r="H113" s="3815"/>
      <c r="I113" s="3815"/>
      <c r="J113" s="3815"/>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3309</v>
      </c>
      <c r="B116" s="3412">
        <f>G3</f>
        <v>0</v>
      </c>
      <c r="C116" s="3396" t="s">
        <v>3310</v>
      </c>
      <c r="D116" s="3397">
        <f>SUMPRODUCT((A118:A122=F116)*(B117:M117=H116)*B118:M122)</f>
        <v>0</v>
      </c>
      <c r="E116" s="1998" t="s">
        <v>3311</v>
      </c>
      <c r="F116" s="3398">
        <f>E2</f>
        <v>0</v>
      </c>
      <c r="G116" s="1998" t="s">
        <v>3312</v>
      </c>
      <c r="H116" s="3398">
        <f>G2</f>
        <v>0</v>
      </c>
      <c r="I116" s="1998"/>
      <c r="J116" s="3399"/>
      <c r="K116" s="3399"/>
      <c r="L116" s="3399"/>
      <c r="M116" s="3399"/>
      <c r="N116" s="3394"/>
    </row>
    <row r="117" spans="1:14">
      <c r="A117" s="3400"/>
      <c r="B117" s="3401" t="s">
        <v>3313</v>
      </c>
      <c r="C117" s="3401" t="s">
        <v>3314</v>
      </c>
      <c r="D117" s="3401" t="s">
        <v>3315</v>
      </c>
      <c r="E117" s="3402" t="s">
        <v>3316</v>
      </c>
      <c r="F117" s="3402" t="s">
        <v>3317</v>
      </c>
      <c r="G117" s="3402" t="s">
        <v>3318</v>
      </c>
      <c r="H117" s="3403" t="s">
        <v>3319</v>
      </c>
      <c r="I117" s="3403" t="s">
        <v>3320</v>
      </c>
      <c r="J117" s="3404" t="s">
        <v>3321</v>
      </c>
      <c r="K117" s="3404" t="s">
        <v>3322</v>
      </c>
      <c r="L117" s="3404" t="s">
        <v>3323</v>
      </c>
      <c r="M117" s="3405" t="s">
        <v>3324</v>
      </c>
      <c r="N117" s="3394"/>
    </row>
    <row r="118" spans="1:14">
      <c r="A118" s="3406" t="s">
        <v>3325</v>
      </c>
      <c r="B118" s="3384">
        <f>ROUND(0.9968-0.011*B116,4)</f>
        <v>0.99680000000000002</v>
      </c>
      <c r="C118" s="3384">
        <f>B118</f>
        <v>0.99680000000000002</v>
      </c>
      <c r="D118" s="3384">
        <f>ROUND(0.949-0.014*B116,4)</f>
        <v>0.94899999999999995</v>
      </c>
      <c r="E118" s="3384">
        <f>D118</f>
        <v>0.94899999999999995</v>
      </c>
      <c r="F118" s="3384">
        <f>E118</f>
        <v>0.94899999999999995</v>
      </c>
      <c r="G118" s="3384">
        <f>F118</f>
        <v>0.94899999999999995</v>
      </c>
      <c r="H118" s="3384">
        <f>G118</f>
        <v>0.94899999999999995</v>
      </c>
      <c r="I118" s="3384">
        <f>ROUND(0.8486-0.018*B116,4)</f>
        <v>0.84860000000000002</v>
      </c>
      <c r="J118" s="3384">
        <f t="shared" ref="J118:M122" si="35">I118</f>
        <v>0.84860000000000002</v>
      </c>
      <c r="K118" s="3384">
        <f t="shared" si="35"/>
        <v>0.84860000000000002</v>
      </c>
      <c r="L118" s="3384">
        <f t="shared" si="35"/>
        <v>0.84860000000000002</v>
      </c>
      <c r="M118" s="3407">
        <f t="shared" si="35"/>
        <v>0.84860000000000002</v>
      </c>
      <c r="N118" s="3394"/>
    </row>
    <row r="119" spans="1:14">
      <c r="A119" s="3406" t="s">
        <v>3326</v>
      </c>
      <c r="B119" s="3384">
        <f>ROUND(0.993-0.0112*B116,4)</f>
        <v>0.99299999999999999</v>
      </c>
      <c r="C119" s="3384">
        <f>B119</f>
        <v>0.99299999999999999</v>
      </c>
      <c r="D119" s="3384">
        <f>ROUND(0.9415-0.0142*B116,4)</f>
        <v>0.9415</v>
      </c>
      <c r="E119" s="3384">
        <f t="shared" ref="E119:H120" si="36">D119</f>
        <v>0.9415</v>
      </c>
      <c r="F119" s="3384">
        <f t="shared" si="36"/>
        <v>0.9415</v>
      </c>
      <c r="G119" s="3384">
        <f t="shared" si="36"/>
        <v>0.9415</v>
      </c>
      <c r="H119" s="3384">
        <f t="shared" si="36"/>
        <v>0.9415</v>
      </c>
      <c r="I119" s="3384">
        <f>ROUND(0.838-0.0182*B116,4)</f>
        <v>0.83799999999999997</v>
      </c>
      <c r="J119" s="3384">
        <f t="shared" si="35"/>
        <v>0.83799999999999997</v>
      </c>
      <c r="K119" s="3384">
        <f t="shared" si="35"/>
        <v>0.83799999999999997</v>
      </c>
      <c r="L119" s="3384">
        <f t="shared" si="35"/>
        <v>0.83799999999999997</v>
      </c>
      <c r="M119" s="3407">
        <f t="shared" si="35"/>
        <v>0.83799999999999997</v>
      </c>
      <c r="N119" s="3394"/>
    </row>
    <row r="120" spans="1:14">
      <c r="A120" s="3406" t="s">
        <v>3327</v>
      </c>
      <c r="B120" s="3384">
        <f>ROUND(0.9448-0.0115*B116,4)</f>
        <v>0.94479999999999997</v>
      </c>
      <c r="C120" s="3384">
        <f>B120</f>
        <v>0.94479999999999997</v>
      </c>
      <c r="D120" s="3384">
        <f>ROUND(0.937-0.0145*B116,4)</f>
        <v>0.93700000000000006</v>
      </c>
      <c r="E120" s="3384">
        <f t="shared" si="36"/>
        <v>0.93700000000000006</v>
      </c>
      <c r="F120" s="3384">
        <f t="shared" si="36"/>
        <v>0.93700000000000006</v>
      </c>
      <c r="G120" s="3384">
        <f t="shared" si="36"/>
        <v>0.93700000000000006</v>
      </c>
      <c r="H120" s="3384">
        <f t="shared" si="36"/>
        <v>0.93700000000000006</v>
      </c>
      <c r="I120" s="3384">
        <f>ROUND(0.7965-0.0185*B116,4)</f>
        <v>0.79649999999999999</v>
      </c>
      <c r="J120" s="3384">
        <f t="shared" si="35"/>
        <v>0.79649999999999999</v>
      </c>
      <c r="K120" s="3384">
        <f t="shared" si="35"/>
        <v>0.79649999999999999</v>
      </c>
      <c r="L120" s="3384">
        <f t="shared" si="35"/>
        <v>0.79649999999999999</v>
      </c>
      <c r="M120" s="3407">
        <f t="shared" si="35"/>
        <v>0.79649999999999999</v>
      </c>
      <c r="N120" s="3394"/>
    </row>
    <row r="121" spans="1:14" ht="13.5" thickBot="1">
      <c r="A121" s="3408" t="s">
        <v>3328</v>
      </c>
      <c r="B121" s="3409">
        <f>ROUND(0.7836-0.012*B116,4)</f>
        <v>0.78359999999999996</v>
      </c>
      <c r="C121" s="3409">
        <f>B121</f>
        <v>0.78359999999999996</v>
      </c>
      <c r="D121" s="3409">
        <f>ROUND(0.753-0.015*B116,4)</f>
        <v>0.753</v>
      </c>
      <c r="E121" s="3409">
        <f>D121</f>
        <v>0.753</v>
      </c>
      <c r="F121" s="3409">
        <f>E121</f>
        <v>0.753</v>
      </c>
      <c r="G121" s="3409">
        <f>ROUND(0.6612-0.018*B116,4)</f>
        <v>0.66120000000000001</v>
      </c>
      <c r="H121" s="3409">
        <f>G121</f>
        <v>0.66120000000000001</v>
      </c>
      <c r="I121" s="3409">
        <f>ROUND(0.5905-0.019*B116,4)</f>
        <v>0.59050000000000002</v>
      </c>
      <c r="J121" s="3409">
        <f t="shared" si="35"/>
        <v>0.59050000000000002</v>
      </c>
      <c r="K121" s="3409">
        <f t="shared" si="35"/>
        <v>0.59050000000000002</v>
      </c>
      <c r="L121" s="3409">
        <f t="shared" si="35"/>
        <v>0.59050000000000002</v>
      </c>
      <c r="M121" s="3410">
        <f t="shared" si="35"/>
        <v>0.59050000000000002</v>
      </c>
      <c r="N121" s="3394"/>
    </row>
    <row r="122" spans="1:14">
      <c r="A122" s="3411" t="s">
        <v>2609</v>
      </c>
      <c r="B122" s="3384">
        <f>ROUND(0.9404-0.0106*B116,4)</f>
        <v>0.94040000000000001</v>
      </c>
      <c r="C122" s="3384">
        <f>B122</f>
        <v>0.94040000000000001</v>
      </c>
      <c r="D122" s="3384">
        <f>ROUND(0.8955-0.0135*B116,4)</f>
        <v>0.89549999999999996</v>
      </c>
      <c r="E122" s="3384">
        <f t="shared" ref="E122:H122" si="37">D122</f>
        <v>0.89549999999999996</v>
      </c>
      <c r="F122" s="3384">
        <f t="shared" si="37"/>
        <v>0.89549999999999996</v>
      </c>
      <c r="G122" s="3384">
        <f t="shared" si="37"/>
        <v>0.89549999999999996</v>
      </c>
      <c r="H122" s="3384">
        <f t="shared" si="37"/>
        <v>0.89549999999999996</v>
      </c>
      <c r="I122" s="3384">
        <f>ROUND(0.7632-0.0166*B116,4)</f>
        <v>0.76319999999999999</v>
      </c>
      <c r="J122" s="3384">
        <f t="shared" si="35"/>
        <v>0.76319999999999999</v>
      </c>
      <c r="K122" s="3384">
        <f t="shared" si="35"/>
        <v>0.76319999999999999</v>
      </c>
      <c r="L122" s="3384">
        <f t="shared" si="35"/>
        <v>0.76319999999999999</v>
      </c>
      <c r="M122" s="3407">
        <f t="shared" si="35"/>
        <v>0.76319999999999999</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41" priority="6" stopIfTrue="1" operator="notEqual">
      <formula>"——"</formula>
    </cfRule>
  </conditionalFormatting>
  <conditionalFormatting sqref="F61">
    <cfRule type="cellIs" dxfId="40" priority="5" stopIfTrue="1" operator="notEqual">
      <formula>"——"</formula>
    </cfRule>
  </conditionalFormatting>
  <conditionalFormatting sqref="F72">
    <cfRule type="cellIs" dxfId="39" priority="4" stopIfTrue="1" operator="notEqual">
      <formula>"——"</formula>
    </cfRule>
  </conditionalFormatting>
  <conditionalFormatting sqref="F83">
    <cfRule type="cellIs" dxfId="38" priority="3" stopIfTrue="1" operator="notEqual">
      <formula>"——"</formula>
    </cfRule>
  </conditionalFormatting>
  <conditionalFormatting sqref="H50:H58 H61:H69 H72:H80 H83:H91">
    <cfRule type="cellIs" dxfId="37" priority="2" operator="notEqual">
      <formula>"——"</formula>
    </cfRule>
  </conditionalFormatting>
  <conditionalFormatting sqref="H93:H101">
    <cfRule type="cellIs" dxfId="3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2591</v>
      </c>
      <c r="B1" s="3068" t="s">
        <v>2592</v>
      </c>
      <c r="C1" s="3068" t="s">
        <v>2593</v>
      </c>
      <c r="D1" s="3068" t="s">
        <v>2594</v>
      </c>
      <c r="E1" s="3068" t="s">
        <v>2595</v>
      </c>
      <c r="F1" s="3068" t="s">
        <v>2596</v>
      </c>
      <c r="G1" s="3068" t="s">
        <v>2597</v>
      </c>
      <c r="H1" s="3068" t="s">
        <v>2598</v>
      </c>
      <c r="I1" s="3068" t="s">
        <v>2599</v>
      </c>
      <c r="J1" s="3068" t="s">
        <v>2600</v>
      </c>
      <c r="K1" s="3068" t="s">
        <v>2601</v>
      </c>
      <c r="L1" s="3068" t="s">
        <v>2602</v>
      </c>
      <c r="M1" s="3069" t="s">
        <v>2603</v>
      </c>
    </row>
    <row r="2" spans="1:13" ht="19.5" customHeight="1">
      <c r="A2" s="3071" t="s">
        <v>2604</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2605</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2606</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2607</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2608</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2609</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2610</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2611</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2612</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2613</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2614</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2615</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2616</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2617</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2618</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2619</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2620</v>
      </c>
      <c r="B18" s="3093"/>
      <c r="C18" s="3094"/>
      <c r="D18" s="3094"/>
      <c r="E18" s="3093"/>
      <c r="F18" s="3094"/>
      <c r="G18" s="3094"/>
    </row>
    <row r="19" spans="1:13" ht="19.5" customHeight="1" thickBot="1">
      <c r="A19" s="3091" t="s">
        <v>2621</v>
      </c>
      <c r="B19" s="3096" t="s">
        <v>2622</v>
      </c>
      <c r="C19" s="3096" t="s">
        <v>2623</v>
      </c>
      <c r="D19" s="3097"/>
      <c r="E19" s="3091" t="s">
        <v>2624</v>
      </c>
      <c r="F19" s="3098"/>
      <c r="G19" s="3098"/>
    </row>
    <row r="20" spans="1:13" ht="19.5" customHeight="1">
      <c r="A20" s="3838" t="s">
        <v>2604</v>
      </c>
      <c r="B20" s="3831" t="s">
        <v>2625</v>
      </c>
      <c r="C20" s="3099" t="s">
        <v>2436</v>
      </c>
      <c r="D20" s="3100"/>
      <c r="E20" s="3101">
        <v>1</v>
      </c>
      <c r="F20" s="3102" t="s">
        <v>2437</v>
      </c>
      <c r="G20" s="3102"/>
    </row>
    <row r="21" spans="1:13" ht="19.5" customHeight="1">
      <c r="A21" s="3839"/>
      <c r="B21" s="3832"/>
      <c r="C21" s="3103" t="s">
        <v>2438</v>
      </c>
      <c r="D21" s="3104"/>
      <c r="E21" s="3105">
        <v>1</v>
      </c>
      <c r="F21" s="3102" t="s">
        <v>2439</v>
      </c>
      <c r="G21" s="3102"/>
    </row>
    <row r="22" spans="1:13" ht="19.5" customHeight="1">
      <c r="A22" s="3839"/>
      <c r="B22" s="3832"/>
      <c r="C22" s="3103" t="s">
        <v>2440</v>
      </c>
      <c r="D22" s="3104"/>
      <c r="E22" s="3105">
        <v>0.9</v>
      </c>
      <c r="F22" s="3102" t="s">
        <v>2441</v>
      </c>
      <c r="G22" s="3102"/>
    </row>
    <row r="23" spans="1:13" ht="19.5" customHeight="1">
      <c r="A23" s="3839"/>
      <c r="B23" s="3832"/>
      <c r="C23" s="3103" t="s">
        <v>2442</v>
      </c>
      <c r="D23" s="3104"/>
      <c r="E23" s="3105">
        <v>0.9</v>
      </c>
      <c r="F23" s="3102" t="s">
        <v>2443</v>
      </c>
      <c r="G23" s="3102"/>
    </row>
    <row r="24" spans="1:13" ht="19.5" customHeight="1">
      <c r="A24" s="3839"/>
      <c r="B24" s="3832"/>
      <c r="C24" s="3103" t="s">
        <v>2444</v>
      </c>
      <c r="D24" s="3104"/>
      <c r="E24" s="3105">
        <v>0.8</v>
      </c>
      <c r="F24" s="3102" t="s">
        <v>2445</v>
      </c>
      <c r="G24" s="3102"/>
    </row>
    <row r="25" spans="1:13" ht="19.5" customHeight="1" thickBot="1">
      <c r="A25" s="3840"/>
      <c r="B25" s="3833"/>
      <c r="C25" s="3106" t="s">
        <v>2446</v>
      </c>
      <c r="D25" s="3107"/>
      <c r="E25" s="3108">
        <v>0.8</v>
      </c>
      <c r="F25" s="3102" t="s">
        <v>2447</v>
      </c>
      <c r="G25" s="3102"/>
    </row>
    <row r="26" spans="1:13" ht="19.5" customHeight="1" thickBot="1">
      <c r="A26" s="3109" t="s">
        <v>2626</v>
      </c>
      <c r="B26" s="3110" t="s">
        <v>2625</v>
      </c>
      <c r="C26" s="3111" t="s">
        <v>2627</v>
      </c>
      <c r="D26" s="3112"/>
      <c r="E26" s="3113">
        <v>1</v>
      </c>
      <c r="F26" s="3102" t="s">
        <v>2448</v>
      </c>
      <c r="G26" s="3102"/>
    </row>
    <row r="27" spans="1:13" ht="19.5" customHeight="1">
      <c r="A27" s="3834" t="s">
        <v>2628</v>
      </c>
      <c r="B27" s="3831" t="s">
        <v>2609</v>
      </c>
      <c r="C27" s="3099" t="s">
        <v>2449</v>
      </c>
      <c r="D27" s="3100"/>
      <c r="E27" s="3101">
        <v>1</v>
      </c>
      <c r="F27" s="3102" t="s">
        <v>2450</v>
      </c>
      <c r="G27" s="3102"/>
    </row>
    <row r="28" spans="1:13" ht="19.5" customHeight="1">
      <c r="A28" s="3835"/>
      <c r="B28" s="3832"/>
      <c r="C28" s="3103" t="s">
        <v>2451</v>
      </c>
      <c r="D28" s="3104"/>
      <c r="E28" s="3105">
        <v>1</v>
      </c>
      <c r="F28" s="3102" t="s">
        <v>2452</v>
      </c>
      <c r="G28" s="3102"/>
    </row>
    <row r="29" spans="1:13" ht="19.5" customHeight="1">
      <c r="A29" s="3835"/>
      <c r="B29" s="3832"/>
      <c r="C29" s="3103" t="s">
        <v>2453</v>
      </c>
      <c r="D29" s="3104"/>
      <c r="E29" s="3105">
        <v>0.8</v>
      </c>
      <c r="F29" s="3102" t="s">
        <v>2454</v>
      </c>
      <c r="G29" s="3102"/>
    </row>
    <row r="30" spans="1:13" ht="19.5" customHeight="1">
      <c r="A30" s="3835"/>
      <c r="B30" s="3832"/>
      <c r="C30" s="3103" t="s">
        <v>2455</v>
      </c>
      <c r="D30" s="3104"/>
      <c r="E30" s="3105">
        <v>0.8</v>
      </c>
      <c r="F30" s="3102" t="s">
        <v>2456</v>
      </c>
      <c r="G30" s="3102"/>
    </row>
    <row r="31" spans="1:13" ht="19.5" customHeight="1">
      <c r="A31" s="3835"/>
      <c r="B31" s="3832"/>
      <c r="C31" s="3103" t="s">
        <v>2457</v>
      </c>
      <c r="D31" s="3104"/>
      <c r="E31" s="3105">
        <v>0.8</v>
      </c>
      <c r="F31" s="3102" t="s">
        <v>2458</v>
      </c>
      <c r="G31" s="3102"/>
    </row>
    <row r="32" spans="1:13" ht="19.5" customHeight="1">
      <c r="A32" s="3835"/>
      <c r="B32" s="3832"/>
      <c r="C32" s="3103" t="s">
        <v>2459</v>
      </c>
      <c r="D32" s="3104"/>
      <c r="E32" s="3105">
        <v>0.7</v>
      </c>
      <c r="F32" s="3102" t="s">
        <v>2460</v>
      </c>
      <c r="G32" s="3102"/>
    </row>
    <row r="33" spans="1:7" ht="19.5" customHeight="1">
      <c r="A33" s="3835"/>
      <c r="B33" s="3832"/>
      <c r="C33" s="3103" t="s">
        <v>2461</v>
      </c>
      <c r="D33" s="3104"/>
      <c r="E33" s="3105">
        <v>0.8</v>
      </c>
      <c r="F33" s="3102" t="s">
        <v>2462</v>
      </c>
      <c r="G33" s="3102"/>
    </row>
    <row r="34" spans="1:7" ht="19.5" customHeight="1">
      <c r="A34" s="3835"/>
      <c r="B34" s="3832"/>
      <c r="C34" s="3103" t="s">
        <v>2463</v>
      </c>
      <c r="D34" s="3104"/>
      <c r="E34" s="3105">
        <v>0.6</v>
      </c>
      <c r="F34" s="3102" t="s">
        <v>2464</v>
      </c>
      <c r="G34" s="3102"/>
    </row>
    <row r="35" spans="1:7" ht="19.5" customHeight="1">
      <c r="A35" s="3835"/>
      <c r="B35" s="3832"/>
      <c r="C35" s="3103" t="s">
        <v>2465</v>
      </c>
      <c r="D35" s="3104"/>
      <c r="E35" s="3105">
        <v>0.2</v>
      </c>
      <c r="F35" s="3102" t="s">
        <v>2466</v>
      </c>
      <c r="G35" s="3102"/>
    </row>
    <row r="36" spans="1:7" ht="19.5" customHeight="1">
      <c r="A36" s="3835"/>
      <c r="B36" s="3832"/>
      <c r="C36" s="3103" t="s">
        <v>2467</v>
      </c>
      <c r="D36" s="3104"/>
      <c r="E36" s="3105">
        <v>0.2</v>
      </c>
      <c r="F36" s="3102" t="s">
        <v>2468</v>
      </c>
      <c r="G36" s="3102"/>
    </row>
    <row r="37" spans="1:7" ht="19.5" customHeight="1">
      <c r="A37" s="3835"/>
      <c r="B37" s="3837" t="s">
        <v>2629</v>
      </c>
      <c r="C37" s="3103" t="s">
        <v>2469</v>
      </c>
      <c r="D37" s="3104"/>
      <c r="E37" s="3105">
        <v>0.6</v>
      </c>
      <c r="F37" s="3102" t="s">
        <v>2470</v>
      </c>
      <c r="G37" s="3102"/>
    </row>
    <row r="38" spans="1:7" ht="19.5" customHeight="1">
      <c r="A38" s="3835"/>
      <c r="B38" s="3832"/>
      <c r="C38" s="3103" t="s">
        <v>2471</v>
      </c>
      <c r="D38" s="3104"/>
      <c r="E38" s="3105">
        <v>0.6</v>
      </c>
      <c r="F38" s="3102" t="s">
        <v>2472</v>
      </c>
      <c r="G38" s="3102"/>
    </row>
    <row r="39" spans="1:7" ht="19.5" customHeight="1" thickBot="1">
      <c r="A39" s="3836"/>
      <c r="B39" s="3833"/>
      <c r="C39" s="3106" t="s">
        <v>2473</v>
      </c>
      <c r="D39" s="3107"/>
      <c r="E39" s="3108">
        <v>0.6</v>
      </c>
      <c r="F39" s="3102" t="s">
        <v>2474</v>
      </c>
      <c r="G39" s="3102"/>
    </row>
    <row r="40" spans="1:7" ht="19.5" customHeight="1" thickBot="1">
      <c r="A40" s="3109" t="s">
        <v>2606</v>
      </c>
      <c r="B40" s="3110" t="s">
        <v>2606</v>
      </c>
      <c r="C40" s="3111" t="s">
        <v>2630</v>
      </c>
      <c r="D40" s="3112"/>
      <c r="E40" s="3113">
        <v>1</v>
      </c>
      <c r="F40" s="3102" t="s">
        <v>2475</v>
      </c>
      <c r="G40" s="3102"/>
    </row>
    <row r="41" spans="1:7" ht="19.5" customHeight="1">
      <c r="A41" s="3838" t="s">
        <v>2607</v>
      </c>
      <c r="B41" s="3831" t="s">
        <v>2631</v>
      </c>
      <c r="C41" s="3099" t="s">
        <v>2476</v>
      </c>
      <c r="D41" s="3100"/>
      <c r="E41" s="3101">
        <v>1</v>
      </c>
      <c r="F41" s="3102" t="s">
        <v>2477</v>
      </c>
      <c r="G41" s="3102"/>
    </row>
    <row r="42" spans="1:7" ht="19.5" customHeight="1">
      <c r="A42" s="3839"/>
      <c r="B42" s="3832"/>
      <c r="C42" s="3103" t="s">
        <v>2478</v>
      </c>
      <c r="D42" s="3104"/>
      <c r="E42" s="3105">
        <v>1</v>
      </c>
      <c r="F42" s="3102" t="s">
        <v>2479</v>
      </c>
      <c r="G42" s="3102"/>
    </row>
    <row r="43" spans="1:7" ht="19.5" customHeight="1">
      <c r="A43" s="3839"/>
      <c r="B43" s="3841"/>
      <c r="C43" s="3103" t="s">
        <v>2480</v>
      </c>
      <c r="D43" s="3104"/>
      <c r="E43" s="3105">
        <v>1.5</v>
      </c>
      <c r="F43" s="3102" t="s">
        <v>2481</v>
      </c>
      <c r="G43" s="3102"/>
    </row>
    <row r="44" spans="1:7" ht="19.5" customHeight="1">
      <c r="A44" s="3839"/>
      <c r="B44" s="3114" t="s">
        <v>2632</v>
      </c>
      <c r="C44" s="3103" t="s">
        <v>2633</v>
      </c>
      <c r="D44" s="3104"/>
      <c r="E44" s="3105">
        <v>2</v>
      </c>
      <c r="F44" s="3102" t="s">
        <v>2482</v>
      </c>
      <c r="G44" s="3102"/>
    </row>
    <row r="45" spans="1:7" ht="19.5" customHeight="1">
      <c r="A45" s="3839"/>
      <c r="B45" s="3837" t="s">
        <v>2634</v>
      </c>
      <c r="C45" s="3103" t="s">
        <v>2483</v>
      </c>
      <c r="D45" s="3104"/>
      <c r="E45" s="3105">
        <v>1</v>
      </c>
      <c r="F45" s="3102" t="s">
        <v>2484</v>
      </c>
      <c r="G45" s="3102"/>
    </row>
    <row r="46" spans="1:7" ht="19.5" customHeight="1">
      <c r="A46" s="3839"/>
      <c r="B46" s="3832"/>
      <c r="C46" s="3103" t="s">
        <v>2485</v>
      </c>
      <c r="D46" s="3104"/>
      <c r="E46" s="3105">
        <v>1</v>
      </c>
      <c r="F46" s="3102" t="s">
        <v>2486</v>
      </c>
      <c r="G46" s="3102"/>
    </row>
    <row r="47" spans="1:7" ht="19.5" customHeight="1">
      <c r="A47" s="3839"/>
      <c r="B47" s="3832"/>
      <c r="C47" s="3103" t="s">
        <v>2487</v>
      </c>
      <c r="D47" s="3104"/>
      <c r="E47" s="3105">
        <v>1</v>
      </c>
      <c r="F47" s="3102" t="s">
        <v>2488</v>
      </c>
      <c r="G47" s="3102"/>
    </row>
    <row r="48" spans="1:7" ht="19.5" customHeight="1">
      <c r="A48" s="3839"/>
      <c r="B48" s="3832"/>
      <c r="C48" s="3103" t="s">
        <v>2489</v>
      </c>
      <c r="D48" s="3104"/>
      <c r="E48" s="3105">
        <v>1</v>
      </c>
      <c r="F48" s="3102" t="s">
        <v>2490</v>
      </c>
      <c r="G48" s="3102"/>
    </row>
    <row r="49" spans="1:7" ht="19.5" customHeight="1">
      <c r="A49" s="3839"/>
      <c r="B49" s="3832"/>
      <c r="C49" s="3103" t="s">
        <v>2491</v>
      </c>
      <c r="D49" s="3104"/>
      <c r="E49" s="3105">
        <v>1</v>
      </c>
      <c r="F49" s="3102" t="s">
        <v>2492</v>
      </c>
      <c r="G49" s="3102"/>
    </row>
    <row r="50" spans="1:7" ht="19.5" customHeight="1">
      <c r="A50" s="3839"/>
      <c r="B50" s="3832"/>
      <c r="C50" s="3103" t="s">
        <v>2493</v>
      </c>
      <c r="D50" s="3104"/>
      <c r="E50" s="3105">
        <v>1</v>
      </c>
      <c r="F50" s="3102" t="s">
        <v>2494</v>
      </c>
      <c r="G50" s="3102"/>
    </row>
    <row r="51" spans="1:7" ht="19.5" customHeight="1" thickBot="1">
      <c r="A51" s="3840"/>
      <c r="B51" s="3833"/>
      <c r="C51" s="3106" t="s">
        <v>2495</v>
      </c>
      <c r="D51" s="3107"/>
      <c r="E51" s="3108">
        <v>1</v>
      </c>
      <c r="F51" s="3102" t="s">
        <v>2496</v>
      </c>
      <c r="G51" s="3102"/>
    </row>
    <row r="52" spans="1:7" ht="19.5" customHeight="1">
      <c r="A52" s="3115"/>
      <c r="B52" s="3115"/>
      <c r="C52" s="3115"/>
      <c r="D52" s="3115"/>
      <c r="E52" s="3115"/>
      <c r="F52" s="3115"/>
      <c r="G52" s="3115"/>
    </row>
    <row r="54" spans="1:7" ht="19.5" customHeight="1">
      <c r="A54" s="3116"/>
      <c r="B54" s="3088" t="s">
        <v>2635</v>
      </c>
      <c r="C54" s="3088" t="s">
        <v>2635</v>
      </c>
      <c r="D54" s="3088" t="s">
        <v>2635</v>
      </c>
      <c r="E54" s="3091" t="s">
        <v>2635</v>
      </c>
      <c r="F54" s="3091" t="s">
        <v>2636</v>
      </c>
      <c r="G54" s="3091" t="s">
        <v>2637</v>
      </c>
    </row>
    <row r="55" spans="1:7" ht="19.5" customHeight="1">
      <c r="A55" s="3117"/>
      <c r="B55" s="3091" t="s">
        <v>2604</v>
      </c>
      <c r="C55" s="3091" t="s">
        <v>2604</v>
      </c>
      <c r="D55" s="3091" t="s">
        <v>2604</v>
      </c>
      <c r="E55" s="3088" t="s">
        <v>2605</v>
      </c>
      <c r="F55" s="3088" t="s">
        <v>2607</v>
      </c>
      <c r="G55" s="3088" t="s">
        <v>2638</v>
      </c>
    </row>
    <row r="56" spans="1:7" ht="19.5" customHeight="1">
      <c r="A56" s="3118"/>
      <c r="B56" s="3088">
        <v>1</v>
      </c>
      <c r="C56" s="3088">
        <v>2</v>
      </c>
      <c r="D56" s="3088">
        <v>3</v>
      </c>
      <c r="E56" s="3119" t="s">
        <v>2639</v>
      </c>
      <c r="F56" s="3119" t="s">
        <v>2639</v>
      </c>
      <c r="G56" s="3119" t="s">
        <v>2639</v>
      </c>
    </row>
    <row r="57" spans="1:7" ht="19.5" customHeight="1">
      <c r="A57" s="3120" t="s">
        <v>2592</v>
      </c>
      <c r="B57" s="3088">
        <v>0.7</v>
      </c>
      <c r="C57" s="3088">
        <v>0.4</v>
      </c>
      <c r="D57" s="3088">
        <v>0.3</v>
      </c>
      <c r="E57" s="3119">
        <v>0.3</v>
      </c>
      <c r="F57" s="3088">
        <v>0.3</v>
      </c>
      <c r="G57" s="3088">
        <v>0.2</v>
      </c>
    </row>
    <row r="58" spans="1:7" ht="19.5" customHeight="1">
      <c r="A58" s="3120" t="s">
        <v>2593</v>
      </c>
      <c r="B58" s="3088">
        <v>0.7</v>
      </c>
      <c r="C58" s="3088">
        <v>0.4</v>
      </c>
      <c r="D58" s="3088">
        <v>0.3</v>
      </c>
      <c r="E58" s="3088">
        <v>0.3</v>
      </c>
      <c r="F58" s="3088">
        <v>0.3</v>
      </c>
      <c r="G58" s="3088">
        <v>0.2</v>
      </c>
    </row>
    <row r="59" spans="1:7" ht="19.5" customHeight="1">
      <c r="A59" s="3120" t="s">
        <v>2594</v>
      </c>
      <c r="B59" s="3088">
        <v>0.6</v>
      </c>
      <c r="C59" s="3088">
        <v>0.3</v>
      </c>
      <c r="D59" s="3088">
        <v>0.25</v>
      </c>
      <c r="E59" s="3088">
        <v>0.25</v>
      </c>
      <c r="F59" s="3088">
        <v>0.25</v>
      </c>
      <c r="G59" s="3088">
        <v>0.15</v>
      </c>
    </row>
    <row r="60" spans="1:7" ht="19.5" customHeight="1">
      <c r="A60" s="3120" t="s">
        <v>2595</v>
      </c>
      <c r="B60" s="3088">
        <v>0.6</v>
      </c>
      <c r="C60" s="3088">
        <v>0.3</v>
      </c>
      <c r="D60" s="3088">
        <v>0.25</v>
      </c>
      <c r="E60" s="3088">
        <v>0.25</v>
      </c>
      <c r="F60" s="3088">
        <v>0.25</v>
      </c>
      <c r="G60" s="3088">
        <v>0.15</v>
      </c>
    </row>
    <row r="61" spans="1:7" ht="19.5" customHeight="1">
      <c r="A61" s="3120" t="s">
        <v>2596</v>
      </c>
      <c r="B61" s="3088">
        <v>0.6</v>
      </c>
      <c r="C61" s="3088">
        <v>0.3</v>
      </c>
      <c r="D61" s="3088">
        <v>0.25</v>
      </c>
      <c r="E61" s="3088">
        <v>0.25</v>
      </c>
      <c r="F61" s="3088">
        <v>0.25</v>
      </c>
      <c r="G61" s="3088">
        <v>0.15</v>
      </c>
    </row>
    <row r="62" spans="1:7" ht="19.5" customHeight="1">
      <c r="A62" s="3120" t="s">
        <v>2597</v>
      </c>
      <c r="B62" s="3088">
        <v>0.6</v>
      </c>
      <c r="C62" s="3088">
        <v>0.3</v>
      </c>
      <c r="D62" s="3088">
        <v>0.25</v>
      </c>
      <c r="E62" s="3088">
        <v>0.25</v>
      </c>
      <c r="F62" s="3088">
        <v>0.25</v>
      </c>
      <c r="G62" s="3088">
        <v>0.15</v>
      </c>
    </row>
    <row r="63" spans="1:7" ht="19.5" customHeight="1">
      <c r="A63" s="3120" t="s">
        <v>2598</v>
      </c>
      <c r="B63" s="3088">
        <v>0.6</v>
      </c>
      <c r="C63" s="3088">
        <v>0.3</v>
      </c>
      <c r="D63" s="3088">
        <v>0.25</v>
      </c>
      <c r="E63" s="3088">
        <v>0.25</v>
      </c>
      <c r="F63" s="3088">
        <v>0.25</v>
      </c>
      <c r="G63" s="3088">
        <v>0.15</v>
      </c>
    </row>
    <row r="64" spans="1:7" ht="19.5" customHeight="1">
      <c r="A64" s="3120" t="s">
        <v>2599</v>
      </c>
      <c r="B64" s="3088">
        <v>0.5</v>
      </c>
      <c r="C64" s="3088">
        <v>0.2</v>
      </c>
      <c r="D64" s="3088">
        <v>0.2</v>
      </c>
      <c r="E64" s="3088">
        <v>0.2</v>
      </c>
      <c r="F64" s="3088">
        <v>0.2</v>
      </c>
      <c r="G64" s="3088">
        <v>0.1</v>
      </c>
    </row>
    <row r="65" spans="1:7" ht="19.5" customHeight="1">
      <c r="A65" s="3120" t="s">
        <v>2600</v>
      </c>
      <c r="B65" s="3088">
        <v>0.5</v>
      </c>
      <c r="C65" s="3088">
        <v>0.2</v>
      </c>
      <c r="D65" s="3088">
        <v>0.2</v>
      </c>
      <c r="E65" s="3088">
        <v>0.2</v>
      </c>
      <c r="F65" s="3088">
        <v>0.2</v>
      </c>
      <c r="G65" s="3088">
        <v>0.1</v>
      </c>
    </row>
    <row r="66" spans="1:7" ht="19.5" customHeight="1">
      <c r="A66" s="3120" t="s">
        <v>2601</v>
      </c>
      <c r="B66" s="3088">
        <v>0.5</v>
      </c>
      <c r="C66" s="3088">
        <v>0.2</v>
      </c>
      <c r="D66" s="3088">
        <v>0.2</v>
      </c>
      <c r="E66" s="3088">
        <v>0.2</v>
      </c>
      <c r="F66" s="3088">
        <v>0.2</v>
      </c>
      <c r="G66" s="3088">
        <v>0.1</v>
      </c>
    </row>
    <row r="67" spans="1:7" ht="19.5" customHeight="1">
      <c r="A67" s="3120" t="s">
        <v>2602</v>
      </c>
      <c r="B67" s="3088">
        <v>0.5</v>
      </c>
      <c r="C67" s="3088">
        <v>0.2</v>
      </c>
      <c r="D67" s="3088">
        <v>0.2</v>
      </c>
      <c r="E67" s="3088">
        <v>0.2</v>
      </c>
      <c r="F67" s="3088">
        <v>0.2</v>
      </c>
      <c r="G67" s="3088">
        <v>0.1</v>
      </c>
    </row>
    <row r="68" spans="1:7" ht="19.5" customHeight="1">
      <c r="A68" s="3120" t="s">
        <v>2603</v>
      </c>
      <c r="B68" s="3088">
        <v>0.5</v>
      </c>
      <c r="C68" s="3088">
        <v>0.2</v>
      </c>
      <c r="D68" s="3088">
        <v>0.2</v>
      </c>
      <c r="E68" s="3088">
        <v>0.2</v>
      </c>
      <c r="F68" s="3088">
        <v>0.2</v>
      </c>
      <c r="G68" s="3088">
        <v>0.1</v>
      </c>
    </row>
    <row r="70" spans="1:7" ht="19.5" customHeight="1">
      <c r="A70" s="3121"/>
      <c r="B70" s="3122"/>
      <c r="C70" s="3122"/>
      <c r="D70" s="3122" t="s">
        <v>2640</v>
      </c>
      <c r="E70" s="3122"/>
      <c r="F70" s="3122"/>
    </row>
    <row r="71" spans="1:7" ht="19.5" customHeight="1">
      <c r="A71" s="3114" t="s">
        <v>2641</v>
      </c>
      <c r="B71" s="3114" t="s">
        <v>2642</v>
      </c>
      <c r="C71" s="3114" t="s">
        <v>2643</v>
      </c>
      <c r="D71" s="3114" t="s">
        <v>2644</v>
      </c>
      <c r="E71" s="3114" t="s">
        <v>2645</v>
      </c>
      <c r="F71" s="3114" t="s">
        <v>2646</v>
      </c>
    </row>
    <row r="72" spans="1:7" ht="13.5">
      <c r="A72" s="3114"/>
      <c r="B72" s="3114"/>
      <c r="C72" s="3114" t="s">
        <v>2647</v>
      </c>
      <c r="D72" s="3114"/>
      <c r="E72" s="3114" t="s">
        <v>2618</v>
      </c>
      <c r="F72" s="3114" t="s">
        <v>2618</v>
      </c>
    </row>
    <row r="73" spans="1:7" ht="13.5">
      <c r="A73" s="3114">
        <v>1</v>
      </c>
      <c r="B73" s="3837" t="s">
        <v>2648</v>
      </c>
      <c r="C73" s="3088" t="s">
        <v>2649</v>
      </c>
      <c r="D73" s="3088" t="s">
        <v>2650</v>
      </c>
      <c r="E73" s="3114">
        <v>0.2</v>
      </c>
      <c r="F73" s="3114">
        <v>25</v>
      </c>
    </row>
    <row r="74" spans="1:7" ht="24">
      <c r="A74" s="3114">
        <v>2</v>
      </c>
      <c r="B74" s="3832"/>
      <c r="C74" s="3088" t="s">
        <v>2651</v>
      </c>
      <c r="D74" s="3088" t="s">
        <v>2652</v>
      </c>
      <c r="E74" s="3114">
        <v>0.2</v>
      </c>
      <c r="F74" s="3114">
        <v>25</v>
      </c>
    </row>
    <row r="75" spans="1:7" ht="24">
      <c r="A75" s="3114">
        <v>3</v>
      </c>
      <c r="B75" s="3832"/>
      <c r="C75" s="3088" t="s">
        <v>2653</v>
      </c>
      <c r="D75" s="3088" t="s">
        <v>2654</v>
      </c>
      <c r="E75" s="3114">
        <v>0.2</v>
      </c>
      <c r="F75" s="3114">
        <v>25</v>
      </c>
    </row>
    <row r="76" spans="1:7" ht="13.5">
      <c r="A76" s="3114">
        <v>4</v>
      </c>
      <c r="B76" s="3832"/>
      <c r="C76" s="3088" t="s">
        <v>2655</v>
      </c>
      <c r="D76" s="3088" t="s">
        <v>2656</v>
      </c>
      <c r="E76" s="3114">
        <v>0.15</v>
      </c>
      <c r="F76" s="3114">
        <v>20</v>
      </c>
    </row>
    <row r="77" spans="1:7" ht="24">
      <c r="A77" s="3114">
        <v>5</v>
      </c>
      <c r="B77" s="3832"/>
      <c r="C77" s="3088" t="s">
        <v>2657</v>
      </c>
      <c r="D77" s="3088" t="s">
        <v>2658</v>
      </c>
      <c r="E77" s="3114">
        <v>0.15</v>
      </c>
      <c r="F77" s="3114">
        <v>20</v>
      </c>
    </row>
    <row r="78" spans="1:7" ht="24">
      <c r="A78" s="3114">
        <v>6</v>
      </c>
      <c r="B78" s="3832"/>
      <c r="C78" s="3088" t="s">
        <v>2659</v>
      </c>
      <c r="D78" s="3088" t="s">
        <v>2660</v>
      </c>
      <c r="E78" s="3114">
        <v>0.15</v>
      </c>
      <c r="F78" s="3114">
        <v>20</v>
      </c>
    </row>
    <row r="79" spans="1:7" ht="24">
      <c r="A79" s="3114">
        <v>7</v>
      </c>
      <c r="B79" s="3832"/>
      <c r="C79" s="3088" t="s">
        <v>2661</v>
      </c>
      <c r="D79" s="3088" t="s">
        <v>2662</v>
      </c>
      <c r="E79" s="3114">
        <v>0.15</v>
      </c>
      <c r="F79" s="3114">
        <v>20</v>
      </c>
    </row>
    <row r="80" spans="1:7" ht="24">
      <c r="A80" s="3114">
        <v>8</v>
      </c>
      <c r="B80" s="3832"/>
      <c r="C80" s="3088" t="s">
        <v>2663</v>
      </c>
      <c r="D80" s="3088" t="s">
        <v>2664</v>
      </c>
      <c r="E80" s="3114">
        <v>0.1</v>
      </c>
      <c r="F80" s="3114">
        <v>15</v>
      </c>
    </row>
    <row r="81" spans="1:6" ht="24">
      <c r="A81" s="3114">
        <v>9</v>
      </c>
      <c r="B81" s="3832"/>
      <c r="C81" s="3088" t="s">
        <v>2665</v>
      </c>
      <c r="D81" s="3088" t="s">
        <v>2666</v>
      </c>
      <c r="E81" s="3114">
        <v>0.1</v>
      </c>
      <c r="F81" s="3114">
        <v>15</v>
      </c>
    </row>
    <row r="82" spans="1:6" ht="24">
      <c r="A82" s="3114">
        <v>10</v>
      </c>
      <c r="B82" s="3832"/>
      <c r="C82" s="3088" t="s">
        <v>2667</v>
      </c>
      <c r="D82" s="3088" t="s">
        <v>2668</v>
      </c>
      <c r="E82" s="3114">
        <v>0.1</v>
      </c>
      <c r="F82" s="3114">
        <v>15</v>
      </c>
    </row>
    <row r="83" spans="1:6" ht="24">
      <c r="A83" s="3114">
        <v>11</v>
      </c>
      <c r="B83" s="3832"/>
      <c r="C83" s="3088" t="s">
        <v>2669</v>
      </c>
      <c r="D83" s="3088" t="s">
        <v>2670</v>
      </c>
      <c r="E83" s="3114">
        <v>0.1</v>
      </c>
      <c r="F83" s="3114">
        <v>15</v>
      </c>
    </row>
    <row r="84" spans="1:6" ht="24">
      <c r="A84" s="3114">
        <v>12</v>
      </c>
      <c r="B84" s="3832"/>
      <c r="C84" s="3088" t="s">
        <v>2671</v>
      </c>
      <c r="D84" s="3088" t="s">
        <v>2672</v>
      </c>
      <c r="E84" s="3114">
        <v>0.1</v>
      </c>
      <c r="F84" s="3114">
        <v>15</v>
      </c>
    </row>
    <row r="85" spans="1:6" ht="13.5">
      <c r="A85" s="3114">
        <v>13</v>
      </c>
      <c r="B85" s="3832"/>
      <c r="C85" s="3088" t="s">
        <v>2673</v>
      </c>
      <c r="D85" s="3088" t="s">
        <v>2674</v>
      </c>
      <c r="E85" s="3114">
        <v>0.1</v>
      </c>
      <c r="F85" s="3114">
        <v>15</v>
      </c>
    </row>
    <row r="86" spans="1:6" ht="13.5">
      <c r="A86" s="3114">
        <v>14</v>
      </c>
      <c r="B86" s="3832"/>
      <c r="C86" s="3088" t="s">
        <v>2675</v>
      </c>
      <c r="D86" s="3088" t="s">
        <v>2676</v>
      </c>
      <c r="E86" s="3114">
        <v>0.1</v>
      </c>
      <c r="F86" s="3114">
        <v>15</v>
      </c>
    </row>
    <row r="87" spans="1:6" ht="13.5">
      <c r="A87" s="3114">
        <v>15</v>
      </c>
      <c r="B87" s="3832"/>
      <c r="C87" s="3088" t="s">
        <v>2677</v>
      </c>
      <c r="D87" s="3088" t="s">
        <v>2678</v>
      </c>
      <c r="E87" s="3114">
        <v>0.1</v>
      </c>
      <c r="F87" s="3114">
        <v>15</v>
      </c>
    </row>
    <row r="88" spans="1:6" ht="24">
      <c r="A88" s="3114">
        <v>16</v>
      </c>
      <c r="B88" s="3832"/>
      <c r="C88" s="3088" t="s">
        <v>2679</v>
      </c>
      <c r="D88" s="3088" t="s">
        <v>2680</v>
      </c>
      <c r="E88" s="3114">
        <v>0.1</v>
      </c>
      <c r="F88" s="3114">
        <v>15</v>
      </c>
    </row>
    <row r="89" spans="1:6" ht="24">
      <c r="A89" s="3114">
        <v>17</v>
      </c>
      <c r="B89" s="3841"/>
      <c r="C89" s="3088" t="s">
        <v>2681</v>
      </c>
      <c r="D89" s="3088" t="s">
        <v>2682</v>
      </c>
      <c r="E89" s="3114">
        <v>0.1</v>
      </c>
      <c r="F89" s="3114">
        <v>15</v>
      </c>
    </row>
    <row r="90" spans="1:6" ht="13.5">
      <c r="A90" s="3114">
        <v>18</v>
      </c>
      <c r="B90" s="3837" t="s">
        <v>2683</v>
      </c>
      <c r="C90" s="3088" t="s">
        <v>2684</v>
      </c>
      <c r="D90" s="3088" t="s">
        <v>2685</v>
      </c>
      <c r="E90" s="3114">
        <v>0.2</v>
      </c>
      <c r="F90" s="3114">
        <v>25</v>
      </c>
    </row>
    <row r="91" spans="1:6" ht="24">
      <c r="A91" s="3114">
        <v>19</v>
      </c>
      <c r="B91" s="3832"/>
      <c r="C91" s="3088" t="s">
        <v>2686</v>
      </c>
      <c r="D91" s="3088" t="s">
        <v>2687</v>
      </c>
      <c r="E91" s="3114">
        <v>0.2</v>
      </c>
      <c r="F91" s="3114">
        <v>25</v>
      </c>
    </row>
    <row r="92" spans="1:6" ht="13.5">
      <c r="A92" s="3114">
        <v>20</v>
      </c>
      <c r="B92" s="3832"/>
      <c r="C92" s="3088" t="s">
        <v>2688</v>
      </c>
      <c r="D92" s="3088" t="s">
        <v>2689</v>
      </c>
      <c r="E92" s="3114">
        <v>0.15</v>
      </c>
      <c r="F92" s="3114">
        <v>20</v>
      </c>
    </row>
    <row r="93" spans="1:6" ht="13.5">
      <c r="A93" s="3114">
        <v>21</v>
      </c>
      <c r="B93" s="3832"/>
      <c r="C93" s="3088" t="s">
        <v>2690</v>
      </c>
      <c r="D93" s="3088" t="s">
        <v>2691</v>
      </c>
      <c r="E93" s="3114">
        <v>0.15</v>
      </c>
      <c r="F93" s="3114">
        <v>20</v>
      </c>
    </row>
    <row r="94" spans="1:6" ht="13.5">
      <c r="A94" s="3114">
        <v>22</v>
      </c>
      <c r="B94" s="3832"/>
      <c r="C94" s="3088" t="s">
        <v>2692</v>
      </c>
      <c r="D94" s="3088" t="s">
        <v>2693</v>
      </c>
      <c r="E94" s="3114">
        <v>0.15</v>
      </c>
      <c r="F94" s="3114">
        <v>20</v>
      </c>
    </row>
    <row r="95" spans="1:6" ht="36">
      <c r="A95" s="3114">
        <v>23</v>
      </c>
      <c r="B95" s="3832"/>
      <c r="C95" s="3088" t="s">
        <v>2694</v>
      </c>
      <c r="D95" s="3088" t="s">
        <v>2695</v>
      </c>
      <c r="E95" s="3114">
        <v>0.15</v>
      </c>
      <c r="F95" s="3114">
        <v>20</v>
      </c>
    </row>
    <row r="96" spans="1:6" ht="13.5">
      <c r="A96" s="3114">
        <v>24</v>
      </c>
      <c r="B96" s="3832"/>
      <c r="C96" s="3088" t="s">
        <v>2696</v>
      </c>
      <c r="D96" s="3088" t="s">
        <v>2697</v>
      </c>
      <c r="E96" s="3114">
        <v>0.1</v>
      </c>
      <c r="F96" s="3114">
        <v>15</v>
      </c>
    </row>
    <row r="97" spans="1:6" ht="13.5">
      <c r="A97" s="3114">
        <v>25</v>
      </c>
      <c r="B97" s="3832"/>
      <c r="C97" s="3088" t="s">
        <v>2698</v>
      </c>
      <c r="D97" s="3088" t="s">
        <v>2699</v>
      </c>
      <c r="E97" s="3114">
        <v>0.1</v>
      </c>
      <c r="F97" s="3114">
        <v>15</v>
      </c>
    </row>
    <row r="98" spans="1:6" ht="24">
      <c r="A98" s="3114">
        <v>26</v>
      </c>
      <c r="B98" s="3832"/>
      <c r="C98" s="3088" t="s">
        <v>2700</v>
      </c>
      <c r="D98" s="3088" t="s">
        <v>2701</v>
      </c>
      <c r="E98" s="3114">
        <v>0.1</v>
      </c>
      <c r="F98" s="3114">
        <v>15</v>
      </c>
    </row>
    <row r="99" spans="1:6" ht="24">
      <c r="A99" s="3114">
        <v>27</v>
      </c>
      <c r="B99" s="3832"/>
      <c r="C99" s="3088" t="s">
        <v>2702</v>
      </c>
      <c r="D99" s="3088" t="s">
        <v>2703</v>
      </c>
      <c r="E99" s="3114">
        <v>0.1</v>
      </c>
      <c r="F99" s="3114">
        <v>15</v>
      </c>
    </row>
    <row r="100" spans="1:6" ht="13.5">
      <c r="A100" s="3114">
        <v>28</v>
      </c>
      <c r="B100" s="3832"/>
      <c r="C100" s="3088" t="s">
        <v>2704</v>
      </c>
      <c r="D100" s="3088" t="s">
        <v>2705</v>
      </c>
      <c r="E100" s="3114">
        <v>0.1</v>
      </c>
      <c r="F100" s="3114">
        <v>15</v>
      </c>
    </row>
    <row r="101" spans="1:6" ht="13.5">
      <c r="A101" s="3114">
        <v>29</v>
      </c>
      <c r="B101" s="3832"/>
      <c r="C101" s="3088" t="s">
        <v>2706</v>
      </c>
      <c r="D101" s="3088" t="s">
        <v>2707</v>
      </c>
      <c r="E101" s="3114">
        <v>0.1</v>
      </c>
      <c r="F101" s="3114">
        <v>15</v>
      </c>
    </row>
    <row r="102" spans="1:6" ht="13.5">
      <c r="A102" s="3114">
        <v>30</v>
      </c>
      <c r="B102" s="3832"/>
      <c r="C102" s="3088" t="s">
        <v>2708</v>
      </c>
      <c r="D102" s="3088" t="s">
        <v>2709</v>
      </c>
      <c r="E102" s="3114">
        <v>0.1</v>
      </c>
      <c r="F102" s="3114">
        <v>15</v>
      </c>
    </row>
    <row r="103" spans="1:6" ht="24">
      <c r="A103" s="3114">
        <v>31</v>
      </c>
      <c r="B103" s="3832"/>
      <c r="C103" s="3088" t="s">
        <v>2710</v>
      </c>
      <c r="D103" s="3088" t="s">
        <v>2711</v>
      </c>
      <c r="E103" s="3114">
        <v>0.1</v>
      </c>
      <c r="F103" s="3114">
        <v>15</v>
      </c>
    </row>
    <row r="104" spans="1:6" ht="24">
      <c r="A104" s="3114">
        <v>32</v>
      </c>
      <c r="B104" s="3832"/>
      <c r="C104" s="3088" t="s">
        <v>2712</v>
      </c>
      <c r="D104" s="3088" t="s">
        <v>2713</v>
      </c>
      <c r="E104" s="3114">
        <v>0.1</v>
      </c>
      <c r="F104" s="3114">
        <v>15</v>
      </c>
    </row>
    <row r="105" spans="1:6" ht="24">
      <c r="A105" s="3114">
        <v>33</v>
      </c>
      <c r="B105" s="3832"/>
      <c r="C105" s="3088" t="s">
        <v>2714</v>
      </c>
      <c r="D105" s="3088" t="s">
        <v>2715</v>
      </c>
      <c r="E105" s="3114">
        <v>0.1</v>
      </c>
      <c r="F105" s="3114">
        <v>15</v>
      </c>
    </row>
    <row r="106" spans="1:6" ht="24">
      <c r="A106" s="3114">
        <v>34</v>
      </c>
      <c r="B106" s="3841"/>
      <c r="C106" s="3088" t="s">
        <v>2716</v>
      </c>
      <c r="D106" s="3088" t="s">
        <v>2717</v>
      </c>
      <c r="E106" s="3114">
        <v>0.1</v>
      </c>
      <c r="F106" s="3114">
        <v>15</v>
      </c>
    </row>
    <row r="107" spans="1:6" ht="24">
      <c r="A107" s="3114">
        <v>35</v>
      </c>
      <c r="B107" s="3837" t="s">
        <v>2718</v>
      </c>
      <c r="C107" s="3114" t="s">
        <v>2719</v>
      </c>
      <c r="D107" s="3088" t="s">
        <v>2720</v>
      </c>
      <c r="E107" s="3114">
        <v>0.15</v>
      </c>
      <c r="F107" s="3114">
        <v>20</v>
      </c>
    </row>
    <row r="108" spans="1:6" ht="13.5">
      <c r="A108" s="3114">
        <v>36</v>
      </c>
      <c r="B108" s="3832"/>
      <c r="C108" s="3114" t="s">
        <v>2721</v>
      </c>
      <c r="D108" s="3088" t="s">
        <v>2722</v>
      </c>
      <c r="E108" s="3114">
        <v>0.15</v>
      </c>
      <c r="F108" s="3114">
        <v>20</v>
      </c>
    </row>
    <row r="109" spans="1:6" ht="13.5">
      <c r="A109" s="3114">
        <v>37</v>
      </c>
      <c r="B109" s="3832"/>
      <c r="C109" s="3114" t="s">
        <v>2723</v>
      </c>
      <c r="D109" s="3088" t="s">
        <v>2724</v>
      </c>
      <c r="E109" s="3114">
        <v>0.15</v>
      </c>
      <c r="F109" s="3114">
        <v>20</v>
      </c>
    </row>
    <row r="110" spans="1:6" ht="13.5">
      <c r="A110" s="3114">
        <v>38</v>
      </c>
      <c r="B110" s="3832"/>
      <c r="C110" s="3114" t="s">
        <v>2725</v>
      </c>
      <c r="D110" s="3088" t="s">
        <v>2726</v>
      </c>
      <c r="E110" s="3114">
        <v>0.1</v>
      </c>
      <c r="F110" s="3114">
        <v>15</v>
      </c>
    </row>
    <row r="111" spans="1:6" ht="24">
      <c r="A111" s="3114">
        <v>39</v>
      </c>
      <c r="B111" s="3832"/>
      <c r="C111" s="3114" t="s">
        <v>2727</v>
      </c>
      <c r="D111" s="3088" t="s">
        <v>2728</v>
      </c>
      <c r="E111" s="3114">
        <v>0.1</v>
      </c>
      <c r="F111" s="3114">
        <v>15</v>
      </c>
    </row>
    <row r="112" spans="1:6" ht="24">
      <c r="A112" s="3114">
        <v>40</v>
      </c>
      <c r="B112" s="3841"/>
      <c r="C112" s="3114" t="s">
        <v>2729</v>
      </c>
      <c r="D112" s="3088" t="s">
        <v>2730</v>
      </c>
      <c r="E112" s="3114">
        <v>0.1</v>
      </c>
      <c r="F112" s="3114">
        <v>15</v>
      </c>
    </row>
    <row r="113" spans="1:6" ht="13.5">
      <c r="A113" s="3114">
        <v>41</v>
      </c>
      <c r="B113" s="3842" t="s">
        <v>2731</v>
      </c>
      <c r="C113" s="3114" t="s">
        <v>2732</v>
      </c>
      <c r="D113" s="3088" t="s">
        <v>2733</v>
      </c>
      <c r="E113" s="3114">
        <v>0.1</v>
      </c>
      <c r="F113" s="3114">
        <v>15</v>
      </c>
    </row>
    <row r="114" spans="1:6" ht="13.5">
      <c r="A114" s="3114">
        <v>42</v>
      </c>
      <c r="B114" s="3842"/>
      <c r="C114" s="3114" t="s">
        <v>2734</v>
      </c>
      <c r="D114" s="3088" t="s">
        <v>2735</v>
      </c>
      <c r="E114" s="3114">
        <v>0.1</v>
      </c>
      <c r="F114" s="3114">
        <v>15</v>
      </c>
    </row>
    <row r="115" spans="1:6" ht="24">
      <c r="A115" s="3114">
        <v>43</v>
      </c>
      <c r="B115" s="3842"/>
      <c r="C115" s="3114" t="s">
        <v>2736</v>
      </c>
      <c r="D115" s="3088" t="s">
        <v>2737</v>
      </c>
      <c r="E115" s="3114">
        <v>0.1</v>
      </c>
      <c r="F115" s="3114">
        <v>15</v>
      </c>
    </row>
    <row r="116" spans="1:6" ht="13.5">
      <c r="A116" s="3114">
        <v>44</v>
      </c>
      <c r="B116" s="3837" t="s">
        <v>2738</v>
      </c>
      <c r="C116" s="3114" t="s">
        <v>2739</v>
      </c>
      <c r="D116" s="3088" t="s">
        <v>2740</v>
      </c>
      <c r="E116" s="3114">
        <v>0.1</v>
      </c>
      <c r="F116" s="3114">
        <v>15</v>
      </c>
    </row>
    <row r="117" spans="1:6" ht="24">
      <c r="A117" s="3114">
        <v>45</v>
      </c>
      <c r="B117" s="3841"/>
      <c r="C117" s="3088" t="s">
        <v>2741</v>
      </c>
      <c r="D117" s="3088" t="s">
        <v>2742</v>
      </c>
      <c r="E117" s="3114">
        <v>0.1</v>
      </c>
      <c r="F117" s="3114">
        <v>15</v>
      </c>
    </row>
    <row r="118" spans="1:6" ht="24">
      <c r="A118" s="3114">
        <v>46</v>
      </c>
      <c r="B118" s="3837" t="s">
        <v>2743</v>
      </c>
      <c r="C118" s="3114" t="s">
        <v>2744</v>
      </c>
      <c r="D118" s="3088" t="s">
        <v>2745</v>
      </c>
      <c r="E118" s="3114">
        <v>0.1</v>
      </c>
      <c r="F118" s="3114">
        <v>15</v>
      </c>
    </row>
    <row r="119" spans="1:6" ht="24">
      <c r="A119" s="3114">
        <v>47</v>
      </c>
      <c r="B119" s="3841"/>
      <c r="C119" s="3114" t="s">
        <v>2746</v>
      </c>
      <c r="D119" s="3088" t="s">
        <v>2747</v>
      </c>
      <c r="E119" s="3114">
        <v>0.1</v>
      </c>
      <c r="F119" s="3114">
        <v>15</v>
      </c>
    </row>
    <row r="120" spans="1:6" ht="13.5">
      <c r="A120" s="3114">
        <v>48</v>
      </c>
      <c r="B120" s="3837" t="s">
        <v>2748</v>
      </c>
      <c r="C120" s="3114" t="s">
        <v>2749</v>
      </c>
      <c r="D120" s="3088" t="s">
        <v>2750</v>
      </c>
      <c r="E120" s="3114">
        <v>0.1</v>
      </c>
      <c r="F120" s="3114">
        <v>15</v>
      </c>
    </row>
    <row r="121" spans="1:6" ht="13.5">
      <c r="A121" s="3114">
        <v>49</v>
      </c>
      <c r="B121" s="3841"/>
      <c r="C121" s="3114" t="s">
        <v>2751</v>
      </c>
      <c r="D121" s="3088" t="s">
        <v>2752</v>
      </c>
      <c r="E121" s="3114">
        <v>0.1</v>
      </c>
      <c r="F121" s="3114">
        <v>15</v>
      </c>
    </row>
    <row r="122" spans="1:6" ht="24">
      <c r="A122" s="3114">
        <v>50</v>
      </c>
      <c r="B122" s="3842" t="s">
        <v>2753</v>
      </c>
      <c r="C122" s="3114" t="s">
        <v>2754</v>
      </c>
      <c r="D122" s="3088" t="s">
        <v>2755</v>
      </c>
      <c r="E122" s="3114">
        <v>0.1</v>
      </c>
      <c r="F122" s="3114">
        <v>15</v>
      </c>
    </row>
    <row r="123" spans="1:6" ht="24">
      <c r="A123" s="3114">
        <v>51</v>
      </c>
      <c r="B123" s="3842"/>
      <c r="C123" s="3114" t="s">
        <v>2756</v>
      </c>
      <c r="D123" s="3088" t="s">
        <v>2757</v>
      </c>
      <c r="E123" s="3114">
        <v>0.1</v>
      </c>
      <c r="F123" s="3114">
        <v>15</v>
      </c>
    </row>
    <row r="124" spans="1:6" ht="24">
      <c r="A124" s="3114">
        <v>52</v>
      </c>
      <c r="B124" s="3842" t="s">
        <v>2758</v>
      </c>
      <c r="C124" s="3114" t="s">
        <v>2759</v>
      </c>
      <c r="D124" s="3088" t="s">
        <v>2760</v>
      </c>
      <c r="E124" s="3114">
        <v>0.1</v>
      </c>
      <c r="F124" s="3114">
        <v>15</v>
      </c>
    </row>
    <row r="125" spans="1:6" ht="24">
      <c r="A125" s="3114">
        <v>53</v>
      </c>
      <c r="B125" s="3842"/>
      <c r="C125" s="3114" t="s">
        <v>2761</v>
      </c>
      <c r="D125" s="3088" t="s">
        <v>2762</v>
      </c>
      <c r="E125" s="3114">
        <v>0.1</v>
      </c>
      <c r="F125" s="3114">
        <v>15</v>
      </c>
    </row>
    <row r="126" spans="1:6" ht="13.5">
      <c r="A126" s="3114">
        <v>54</v>
      </c>
      <c r="B126" s="3114" t="s">
        <v>2763</v>
      </c>
      <c r="C126" s="3114" t="s">
        <v>2764</v>
      </c>
      <c r="D126" s="3088" t="s">
        <v>2765</v>
      </c>
      <c r="E126" s="3114">
        <v>0.1</v>
      </c>
      <c r="F126" s="3114">
        <v>15</v>
      </c>
    </row>
    <row r="127" spans="1:6" ht="13.5">
      <c r="A127" s="3114">
        <v>55</v>
      </c>
      <c r="B127" s="3842" t="s">
        <v>2766</v>
      </c>
      <c r="C127" s="3114" t="s">
        <v>2767</v>
      </c>
      <c r="D127" s="3088" t="s">
        <v>2768</v>
      </c>
      <c r="E127" s="3114">
        <v>0.1</v>
      </c>
      <c r="F127" s="3114">
        <v>15</v>
      </c>
    </row>
    <row r="128" spans="1:6" ht="13.5">
      <c r="A128" s="3114">
        <v>56</v>
      </c>
      <c r="B128" s="3842"/>
      <c r="C128" s="3114" t="s">
        <v>2769</v>
      </c>
      <c r="D128" s="3088" t="s">
        <v>2770</v>
      </c>
      <c r="E128" s="3114">
        <v>0.1</v>
      </c>
      <c r="F128" s="3114">
        <v>15</v>
      </c>
    </row>
    <row r="129" spans="1:6" ht="24">
      <c r="A129" s="3114">
        <v>57</v>
      </c>
      <c r="B129" s="3842"/>
      <c r="C129" s="3114" t="s">
        <v>2771</v>
      </c>
      <c r="D129" s="3088" t="s">
        <v>2772</v>
      </c>
      <c r="E129" s="3114">
        <v>0.1</v>
      </c>
      <c r="F129" s="3114">
        <v>15</v>
      </c>
    </row>
    <row r="130" spans="1:6" ht="24">
      <c r="A130" s="3114">
        <v>58</v>
      </c>
      <c r="B130" s="3842" t="s">
        <v>2773</v>
      </c>
      <c r="C130" s="3114" t="s">
        <v>2774</v>
      </c>
      <c r="D130" s="3088" t="s">
        <v>2775</v>
      </c>
      <c r="E130" s="3114">
        <v>0.1</v>
      </c>
      <c r="F130" s="3114">
        <v>15</v>
      </c>
    </row>
    <row r="131" spans="1:6" ht="13.5">
      <c r="A131" s="3114">
        <v>59</v>
      </c>
      <c r="B131" s="3842"/>
      <c r="C131" s="3114" t="s">
        <v>2776</v>
      </c>
      <c r="D131" s="3088" t="s">
        <v>2777</v>
      </c>
      <c r="E131" s="3114">
        <v>0.1</v>
      </c>
      <c r="F131" s="3114">
        <v>15</v>
      </c>
    </row>
    <row r="132" spans="1:6" ht="13.5">
      <c r="A132" s="3114">
        <v>60</v>
      </c>
      <c r="B132" s="3837" t="s">
        <v>2778</v>
      </c>
      <c r="C132" s="3114" t="s">
        <v>2779</v>
      </c>
      <c r="D132" s="3088" t="s">
        <v>2780</v>
      </c>
      <c r="E132" s="3114">
        <v>0.1</v>
      </c>
      <c r="F132" s="3114">
        <v>15</v>
      </c>
    </row>
    <row r="133" spans="1:6" ht="13.5">
      <c r="A133" s="3114">
        <v>61</v>
      </c>
      <c r="B133" s="3841"/>
      <c r="C133" s="3114" t="s">
        <v>2781</v>
      </c>
      <c r="D133" s="3088" t="s">
        <v>2782</v>
      </c>
      <c r="E133" s="3114">
        <v>0.1</v>
      </c>
      <c r="F133" s="3114">
        <v>15</v>
      </c>
    </row>
    <row r="134" spans="1:6" ht="24">
      <c r="A134" s="3114">
        <v>62</v>
      </c>
      <c r="B134" s="3114" t="s">
        <v>2783</v>
      </c>
      <c r="C134" s="3114" t="s">
        <v>2784</v>
      </c>
      <c r="D134" s="3088" t="s">
        <v>2785</v>
      </c>
      <c r="E134" s="3114">
        <v>0.1</v>
      </c>
      <c r="F134" s="3114">
        <v>15</v>
      </c>
    </row>
    <row r="135" spans="1:6" ht="13.5">
      <c r="A135" s="3114">
        <v>63</v>
      </c>
      <c r="B135" s="3842" t="s">
        <v>2786</v>
      </c>
      <c r="C135" s="3114" t="s">
        <v>2787</v>
      </c>
      <c r="D135" s="3088" t="s">
        <v>2788</v>
      </c>
      <c r="E135" s="3114">
        <v>0.1</v>
      </c>
      <c r="F135" s="3114">
        <v>15</v>
      </c>
    </row>
    <row r="136" spans="1:6" ht="13.5">
      <c r="A136" s="3114">
        <v>64</v>
      </c>
      <c r="B136" s="3842"/>
      <c r="C136" s="3114" t="s">
        <v>2789</v>
      </c>
      <c r="D136" s="3088" t="s">
        <v>2790</v>
      </c>
      <c r="E136" s="3114">
        <v>0.1</v>
      </c>
      <c r="F136" s="3114">
        <v>15</v>
      </c>
    </row>
    <row r="137" spans="1:6" ht="13.5">
      <c r="A137" s="3114">
        <v>65</v>
      </c>
      <c r="B137" s="3114" t="s">
        <v>2791</v>
      </c>
      <c r="C137" s="3114" t="s">
        <v>2792</v>
      </c>
      <c r="D137" s="3088" t="s">
        <v>2793</v>
      </c>
      <c r="E137" s="3114">
        <v>0.1</v>
      </c>
      <c r="F137" s="3114">
        <v>15</v>
      </c>
    </row>
    <row r="138" spans="1:6" ht="13.5">
      <c r="A138" s="3114"/>
      <c r="B138" s="3114"/>
      <c r="C138" s="3114"/>
      <c r="D138" s="3114"/>
      <c r="E138" s="3114" t="s">
        <v>2794</v>
      </c>
      <c r="F138" s="3114" t="s">
        <v>2794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49"/>
  </cols>
  <sheetData>
    <row r="1" spans="1:20" ht="15" thickBot="1">
      <c r="A1" s="3123" t="s">
        <v>2795</v>
      </c>
      <c r="B1" s="3123"/>
      <c r="C1" s="3123"/>
      <c r="D1" s="3123"/>
      <c r="E1" s="3123"/>
      <c r="F1" s="3123"/>
      <c r="G1" s="3123"/>
      <c r="H1" s="3123"/>
      <c r="I1" s="3123"/>
      <c r="J1" s="3123"/>
      <c r="K1" s="3123"/>
      <c r="L1" s="3123"/>
      <c r="M1" s="3123"/>
      <c r="N1" s="748"/>
    </row>
    <row r="2" spans="1:20">
      <c r="A2" s="3124" t="s">
        <v>2796</v>
      </c>
      <c r="B2" s="3125" t="s">
        <v>2592</v>
      </c>
      <c r="C2" s="3125" t="s">
        <v>2593</v>
      </c>
      <c r="D2" s="3125" t="s">
        <v>2594</v>
      </c>
      <c r="E2" s="3125" t="s">
        <v>2595</v>
      </c>
      <c r="F2" s="3125" t="s">
        <v>2596</v>
      </c>
      <c r="G2" s="3125" t="s">
        <v>2597</v>
      </c>
      <c r="H2" s="3126" t="s">
        <v>2598</v>
      </c>
      <c r="I2" s="3126" t="s">
        <v>2599</v>
      </c>
      <c r="J2" s="3127" t="s">
        <v>2600</v>
      </c>
      <c r="K2" s="3127" t="s">
        <v>2601</v>
      </c>
      <c r="L2" s="3127" t="s">
        <v>2602</v>
      </c>
      <c r="M2" s="3128" t="s">
        <v>2603</v>
      </c>
      <c r="Q2" s="3138" t="s">
        <v>2801</v>
      </c>
      <c r="R2" s="3138" t="s">
        <v>2802</v>
      </c>
      <c r="S2" s="3138" t="s">
        <v>2803</v>
      </c>
      <c r="T2" s="3138" t="s">
        <v>2804</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0"/>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0"/>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0"/>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2797</v>
      </c>
      <c r="B93" s="3123"/>
      <c r="C93" s="3123"/>
      <c r="D93" s="3123"/>
      <c r="E93" s="3123"/>
      <c r="F93" s="3123"/>
      <c r="G93" s="3123"/>
      <c r="H93" s="3123"/>
      <c r="I93" s="3123"/>
      <c r="J93" s="3123"/>
      <c r="K93" s="3123"/>
      <c r="L93" s="3123"/>
      <c r="M93" s="3123"/>
    </row>
    <row r="94" spans="1:20">
      <c r="A94" s="3124" t="s">
        <v>2796</v>
      </c>
      <c r="B94" s="3125" t="s">
        <v>2592</v>
      </c>
      <c r="C94" s="3125" t="s">
        <v>2593</v>
      </c>
      <c r="D94" s="3125" t="s">
        <v>2594</v>
      </c>
      <c r="E94" s="3125" t="s">
        <v>2595</v>
      </c>
      <c r="F94" s="3125" t="s">
        <v>2596</v>
      </c>
      <c r="G94" s="3125" t="s">
        <v>2597</v>
      </c>
      <c r="H94" s="3126" t="s">
        <v>2598</v>
      </c>
      <c r="I94" s="3126" t="s">
        <v>2599</v>
      </c>
      <c r="J94" s="3127" t="s">
        <v>2600</v>
      </c>
      <c r="K94" s="3127" t="s">
        <v>2601</v>
      </c>
      <c r="L94" s="3127" t="s">
        <v>2602</v>
      </c>
      <c r="M94" s="3128" t="s">
        <v>2603</v>
      </c>
      <c r="N94" s="749">
        <f>SUMPRODUCT((A95:A184=ROUNDDOWN(基准地价修正!G3,1))*(B94:M94=基准地价修正!G2)*(B95:M184))</f>
        <v>0</v>
      </c>
      <c r="Q94" s="3138" t="s">
        <v>2801</v>
      </c>
      <c r="R94" s="3138" t="s">
        <v>2802</v>
      </c>
      <c r="S94" s="3138" t="s">
        <v>2803</v>
      </c>
      <c r="T94" s="3138" t="s">
        <v>2804</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8"/>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8"/>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2798</v>
      </c>
      <c r="B185" s="3123"/>
      <c r="C185" s="3123"/>
      <c r="D185" s="3123"/>
      <c r="E185" s="3123"/>
      <c r="F185" s="3123"/>
      <c r="G185" s="3123"/>
      <c r="H185" s="3123"/>
      <c r="I185" s="3123"/>
      <c r="J185" s="3123"/>
      <c r="K185" s="3123"/>
      <c r="L185" s="3123"/>
      <c r="M185" s="3123"/>
    </row>
    <row r="186" spans="1:20">
      <c r="A186" s="3124" t="s">
        <v>2796</v>
      </c>
      <c r="B186" s="3125" t="s">
        <v>2592</v>
      </c>
      <c r="C186" s="3125" t="s">
        <v>2593</v>
      </c>
      <c r="D186" s="3125" t="s">
        <v>2594</v>
      </c>
      <c r="E186" s="3125" t="s">
        <v>2595</v>
      </c>
      <c r="F186" s="3125" t="s">
        <v>2596</v>
      </c>
      <c r="G186" s="3125" t="s">
        <v>2597</v>
      </c>
      <c r="H186" s="3126" t="s">
        <v>2598</v>
      </c>
      <c r="I186" s="3126" t="s">
        <v>2599</v>
      </c>
      <c r="J186" s="3127" t="s">
        <v>2600</v>
      </c>
      <c r="K186" s="3127" t="s">
        <v>2601</v>
      </c>
      <c r="L186" s="3127" t="s">
        <v>2602</v>
      </c>
      <c r="M186" s="3128" t="s">
        <v>2603</v>
      </c>
      <c r="Q186" s="3138" t="s">
        <v>2801</v>
      </c>
      <c r="R186" s="3138" t="s">
        <v>2802</v>
      </c>
      <c r="S186" s="3138" t="s">
        <v>2803</v>
      </c>
      <c r="T186" s="3138" t="s">
        <v>2804</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2799</v>
      </c>
      <c r="B277" s="3123"/>
      <c r="C277" s="3123"/>
      <c r="D277" s="3123"/>
      <c r="E277" s="3123"/>
      <c r="F277" s="3123"/>
      <c r="G277" s="3123"/>
      <c r="H277" s="3123"/>
      <c r="I277" s="3123"/>
      <c r="J277" s="3123"/>
      <c r="K277" s="3123"/>
      <c r="L277" s="3123"/>
      <c r="M277" s="3123"/>
    </row>
    <row r="278" spans="1:21">
      <c r="A278" s="3124" t="s">
        <v>2796</v>
      </c>
      <c r="B278" s="3125" t="s">
        <v>2592</v>
      </c>
      <c r="C278" s="3125" t="s">
        <v>2593</v>
      </c>
      <c r="D278" s="3125" t="s">
        <v>2594</v>
      </c>
      <c r="E278" s="3125" t="s">
        <v>2595</v>
      </c>
      <c r="F278" s="3125" t="s">
        <v>2596</v>
      </c>
      <c r="G278" s="3125" t="s">
        <v>2597</v>
      </c>
      <c r="H278" s="3126" t="s">
        <v>2598</v>
      </c>
      <c r="I278" s="3126" t="s">
        <v>2599</v>
      </c>
      <c r="J278" s="3127" t="s">
        <v>2600</v>
      </c>
      <c r="K278" s="3127" t="s">
        <v>2601</v>
      </c>
      <c r="L278" s="3127" t="s">
        <v>2602</v>
      </c>
      <c r="M278" s="3128" t="s">
        <v>2603</v>
      </c>
      <c r="Q278" s="3138" t="s">
        <v>2801</v>
      </c>
      <c r="R278" s="3138" t="s">
        <v>2802</v>
      </c>
      <c r="S278" s="3138" t="s">
        <v>2805</v>
      </c>
      <c r="T278" s="3138" t="s">
        <v>2806</v>
      </c>
      <c r="U278" s="3138" t="s">
        <v>2804</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2800</v>
      </c>
      <c r="B369" s="3136"/>
      <c r="C369" s="3136"/>
      <c r="D369" s="3136"/>
      <c r="E369" s="3136"/>
      <c r="F369" s="3136"/>
      <c r="G369" s="3136"/>
      <c r="H369" s="3136"/>
      <c r="I369" s="3136"/>
      <c r="J369" s="3136"/>
      <c r="K369" s="3136"/>
      <c r="L369" s="3136"/>
      <c r="M369" s="3136"/>
    </row>
    <row r="370" spans="1:20">
      <c r="A370" s="3124" t="s">
        <v>2796</v>
      </c>
      <c r="B370" s="3125" t="s">
        <v>2592</v>
      </c>
      <c r="C370" s="3125" t="s">
        <v>2593</v>
      </c>
      <c r="D370" s="3125" t="s">
        <v>2594</v>
      </c>
      <c r="E370" s="3125" t="s">
        <v>2595</v>
      </c>
      <c r="F370" s="3125" t="s">
        <v>2596</v>
      </c>
      <c r="G370" s="3125" t="s">
        <v>2597</v>
      </c>
      <c r="H370" s="3126" t="s">
        <v>2598</v>
      </c>
      <c r="I370" s="3126" t="s">
        <v>2599</v>
      </c>
      <c r="J370" s="3127" t="s">
        <v>2600</v>
      </c>
      <c r="K370" s="3127" t="s">
        <v>2601</v>
      </c>
      <c r="L370" s="3127" t="s">
        <v>2602</v>
      </c>
      <c r="M370" s="3128" t="s">
        <v>2603</v>
      </c>
      <c r="N370" s="749">
        <f>SUMPRODUCT((A371:A460=ROUNDDOWN(基准地价修正!G3,1))*(B370:M370=基准地价修正!G2)*(B371:M460))</f>
        <v>0</v>
      </c>
      <c r="Q370" s="3138" t="s">
        <v>2801</v>
      </c>
      <c r="R370" s="3138" t="s">
        <v>2802</v>
      </c>
      <c r="S370" s="3138" t="s">
        <v>2803</v>
      </c>
      <c r="T370" s="3138" t="s">
        <v>2804</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906</v>
      </c>
      <c r="B1" s="1489"/>
      <c r="C1" s="1489"/>
      <c r="D1" s="1489"/>
      <c r="E1" s="1489"/>
    </row>
    <row r="2" spans="1:5" ht="78" customHeight="1">
      <c r="A2" s="352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3"/>
      <c r="C2" s="3523"/>
      <c r="D2" s="3523"/>
      <c r="E2" s="3523"/>
    </row>
    <row r="3" spans="1:5" ht="18">
      <c r="A3" s="3524" t="str">
        <f>IF(项目基本情况!B9="房地产市场价值","估价结果一览表（市场价值不需“结果表-1”）","估价结果一览表")</f>
        <v>估价结果一览表</v>
      </c>
      <c r="B3" s="3524"/>
      <c r="C3" s="3524"/>
      <c r="D3" s="3524"/>
      <c r="E3" s="3524"/>
    </row>
    <row r="4" spans="1:5" ht="19.5" thickBot="1">
      <c r="A4" s="1491"/>
      <c r="B4" s="3522" t="s">
        <v>915</v>
      </c>
      <c r="C4" s="3522"/>
      <c r="D4" s="3522"/>
      <c r="E4" s="1491"/>
    </row>
    <row r="5" spans="1:5" ht="16.5" thickTop="1">
      <c r="A5" s="1489"/>
      <c r="B5" s="3520" t="s">
        <v>907</v>
      </c>
      <c r="C5" s="1492" t="s">
        <v>908</v>
      </c>
      <c r="D5" s="849">
        <f ca="1">结果表!H101</f>
        <v>855</v>
      </c>
      <c r="E5" s="1489"/>
    </row>
    <row r="6" spans="1:5" ht="15.75">
      <c r="A6" s="1489"/>
      <c r="B6" s="3520"/>
      <c r="C6" s="1492" t="s">
        <v>909</v>
      </c>
      <c r="D6" s="849" t="str">
        <f ca="1">NUMBERSTRING(INT(D5*10000),2)&amp;"元整"</f>
        <v>捌佰伍拾伍万元整</v>
      </c>
      <c r="E6" s="1489"/>
    </row>
    <row r="7" spans="1:5" ht="15.75">
      <c r="A7" s="1489"/>
      <c r="B7" s="3525"/>
      <c r="C7" s="1493" t="s">
        <v>910</v>
      </c>
      <c r="D7" s="850">
        <f ca="1">结果表!H102</f>
        <v>41490</v>
      </c>
      <c r="E7" s="1489"/>
    </row>
    <row r="8" spans="1:5" ht="15.75">
      <c r="A8" s="1489"/>
      <c r="B8" s="3526" t="str">
        <f>结果表!E103</f>
        <v>2.估价师知悉的法定优先受偿款</v>
      </c>
      <c r="C8" s="1494" t="s">
        <v>911</v>
      </c>
      <c r="D8" s="850">
        <f>结果表!H103</f>
        <v>0</v>
      </c>
      <c r="E8" s="1489"/>
    </row>
    <row r="9" spans="1:5" ht="15.75">
      <c r="A9" s="1489"/>
      <c r="B9" s="3528"/>
      <c r="C9" s="1492" t="s">
        <v>909</v>
      </c>
      <c r="D9" s="849" t="str">
        <f>NUMBERSTRING(INT(D8*10000),2)&amp;"元整"</f>
        <v>零元整</v>
      </c>
      <c r="E9" s="1489"/>
    </row>
    <row r="10" spans="1:5" ht="15">
      <c r="A10" s="1489"/>
      <c r="B10" s="1495" t="s">
        <v>914</v>
      </c>
      <c r="C10" s="1496" t="s">
        <v>912</v>
      </c>
      <c r="D10" s="851">
        <f>结果表!H104</f>
        <v>0</v>
      </c>
      <c r="E10" s="1489"/>
    </row>
    <row r="11" spans="1:5" ht="15">
      <c r="A11" s="1489"/>
      <c r="B11" s="1495" t="s">
        <v>916</v>
      </c>
      <c r="C11" s="1496" t="s">
        <v>917</v>
      </c>
      <c r="D11" s="851">
        <f>结果表!H105</f>
        <v>0</v>
      </c>
      <c r="E11" s="1489"/>
    </row>
    <row r="12" spans="1:5" ht="15">
      <c r="A12" s="1489"/>
      <c r="B12" s="1495" t="s">
        <v>918</v>
      </c>
      <c r="C12" s="1496" t="s">
        <v>917</v>
      </c>
      <c r="D12" s="851">
        <f>结果表!H106</f>
        <v>0</v>
      </c>
      <c r="E12" s="1489"/>
    </row>
    <row r="13" spans="1:5" ht="15.75">
      <c r="A13" s="1489"/>
      <c r="B13" s="3519" t="str">
        <f>结果表!E107</f>
        <v>3.房地产抵押价值</v>
      </c>
      <c r="C13" s="1497" t="s">
        <v>908</v>
      </c>
      <c r="D13" s="852">
        <f ca="1">结果表!H107</f>
        <v>855</v>
      </c>
      <c r="E13" s="1489"/>
    </row>
    <row r="14" spans="1:5" ht="15.75">
      <c r="A14" s="1489"/>
      <c r="B14" s="3520"/>
      <c r="C14" s="1492" t="s">
        <v>909</v>
      </c>
      <c r="D14" s="849" t="str">
        <f ca="1">NUMBERSTRING(INT(D13*10000),2)&amp;"元整"</f>
        <v>捌佰伍拾伍万元整</v>
      </c>
      <c r="E14" s="1489"/>
    </row>
    <row r="15" spans="1:5" ht="15">
      <c r="A15" s="1489"/>
      <c r="B15" s="3525"/>
      <c r="C15" s="1493" t="s">
        <v>919</v>
      </c>
      <c r="D15" s="858">
        <f ca="1">结果表!H108</f>
        <v>41490</v>
      </c>
      <c r="E15" s="1489"/>
    </row>
    <row r="16" spans="1:5" ht="15">
      <c r="A16" s="1489"/>
      <c r="B16" s="3526" t="str">
        <f>结果表!E109</f>
        <v>——</v>
      </c>
      <c r="C16" s="1497" t="s">
        <v>920</v>
      </c>
      <c r="D16" s="1498" t="str">
        <f>结果表!H109</f>
        <v>——</v>
      </c>
      <c r="E16" s="1489"/>
    </row>
    <row r="17" spans="1:5" ht="15.75">
      <c r="A17" s="1489"/>
      <c r="B17" s="3527"/>
      <c r="C17" s="1492" t="s">
        <v>921</v>
      </c>
      <c r="D17" s="849" t="e">
        <f>NUMBERSTRING(INT(D16*10000),2)&amp;"元整"</f>
        <v>#VALUE!</v>
      </c>
      <c r="E17" s="1489"/>
    </row>
    <row r="18" spans="1:5" ht="15">
      <c r="A18" s="1489"/>
      <c r="B18" s="3528"/>
      <c r="C18" s="1493" t="s">
        <v>910</v>
      </c>
      <c r="D18" s="858" t="str">
        <f>结果表!H110</f>
        <v>——</v>
      </c>
      <c r="E18" s="1489"/>
    </row>
    <row r="19" spans="1:5" ht="15.75">
      <c r="A19" s="1489"/>
      <c r="B19" s="3519" t="str">
        <f>结果表!E111</f>
        <v>——</v>
      </c>
      <c r="C19" s="1497" t="s">
        <v>908</v>
      </c>
      <c r="D19" s="850" t="str">
        <f>结果表!H111</f>
        <v>——</v>
      </c>
      <c r="E19" s="1489"/>
    </row>
    <row r="20" spans="1:5" ht="15.75">
      <c r="A20" s="1489"/>
      <c r="B20" s="3520"/>
      <c r="C20" s="1492" t="s">
        <v>921</v>
      </c>
      <c r="D20" s="849" t="e">
        <f>NUMBERSTRING(INT(D19*10000),2)&amp;"元整"</f>
        <v>#VALUE!</v>
      </c>
      <c r="E20" s="1489"/>
    </row>
    <row r="21" spans="1:5" ht="15.75" thickBot="1">
      <c r="A21" s="1489"/>
      <c r="B21" s="3521"/>
      <c r="C21" s="1499" t="s">
        <v>919</v>
      </c>
      <c r="D21" s="859" t="str">
        <f>结果表!H112</f>
        <v>——</v>
      </c>
      <c r="E21" s="1489"/>
    </row>
    <row r="22" spans="1:5" ht="15" thickTop="1">
      <c r="A22" s="1489"/>
      <c r="B22" s="1500" t="s">
        <v>922</v>
      </c>
      <c r="C22" s="1489"/>
      <c r="D22" s="1489"/>
      <c r="E22" s="1489"/>
    </row>
    <row r="23" spans="1:5">
      <c r="A23" s="1489"/>
      <c r="B23" s="1489"/>
      <c r="C23" s="1489"/>
      <c r="D23" s="1489"/>
      <c r="E23" s="1489"/>
    </row>
    <row r="24" spans="1:5" ht="18.75">
      <c r="A24" s="1501"/>
      <c r="B24" s="1502" t="s">
        <v>913</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C52</f>
        <v>28771</v>
      </c>
      <c r="C2" s="2" t="s">
        <v>106</v>
      </c>
      <c r="D2" s="199"/>
      <c r="E2" s="199"/>
      <c r="F2" s="199"/>
      <c r="G2" s="199"/>
    </row>
    <row r="3" spans="1:7" s="200" customFormat="1" ht="18" customHeight="1" thickBot="1">
      <c r="A3" s="203" t="s">
        <v>58</v>
      </c>
      <c r="B3" s="204">
        <f>ROUND(B2*10000/'数据-汇总表'!E3,0)</f>
        <v>466388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0</v>
      </c>
      <c r="D10" s="844">
        <f>'数据-汇总表'!E6</f>
        <v>616.89</v>
      </c>
      <c r="E10" s="225">
        <f>'数据-取费表'!B28</f>
        <v>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12</v>
      </c>
      <c r="D19" s="848">
        <f>'数据-汇总表'!E3</f>
        <v>616.89</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2">
        <f>ROUND(SUM(C23:C25),0)</f>
        <v>1419</v>
      </c>
      <c r="D22" s="235">
        <f>C26</f>
        <v>6.9999999999999999E-4</v>
      </c>
      <c r="E22" s="236" t="s">
        <v>99</v>
      </c>
      <c r="F22" s="237">
        <f>'数据-取费表'!B40</f>
        <v>3.3500000000000002E-2</v>
      </c>
      <c r="G22" s="1066" t="str">
        <f>IF('数据-取费表'!B22&lt;=1,"单利计息","复利计息")</f>
        <v>复利计息</v>
      </c>
    </row>
    <row r="23" spans="1:7" s="214" customFormat="1" ht="13.5" customHeight="1">
      <c r="A23" s="779" t="s">
        <v>349</v>
      </c>
      <c r="B23" s="215" t="s">
        <v>423</v>
      </c>
      <c r="C23" s="1103">
        <f>ROUND(IF('数据-取费表'!B22&lt;=1,C5*F22*'数据-取费表'!B23,C5*(POWER((1+F22),'数据-取费表'!B23)-1)),0)</f>
        <v>1404</v>
      </c>
      <c r="D23" s="238"/>
      <c r="E23" s="238"/>
      <c r="F23" s="239"/>
      <c r="G23" s="240" t="s">
        <v>81</v>
      </c>
    </row>
    <row r="24" spans="1:7" s="214" customFormat="1" ht="13.5" customHeight="1">
      <c r="A24" s="779" t="s">
        <v>347</v>
      </c>
      <c r="B24" s="215" t="s">
        <v>418</v>
      </c>
      <c r="C24" s="1103">
        <f>ROUND(IF('数据-取费表'!B22&lt;=1,C19*F22*('数据-取费表'!B19/2+'数据-取费表'!B21),C19*(POWER((1+F22),('数据-取费表'!B19/2+'数据-取费表'!B21))-1)),0)</f>
        <v>1</v>
      </c>
      <c r="D24" s="238"/>
      <c r="E24" s="238"/>
      <c r="F24" s="239"/>
      <c r="G24" s="240" t="s">
        <v>82</v>
      </c>
    </row>
    <row r="25" spans="1:7" s="214" customFormat="1" ht="24">
      <c r="A25" s="779" t="s">
        <v>348</v>
      </c>
      <c r="B25" s="215" t="s">
        <v>420</v>
      </c>
      <c r="C25" s="1103">
        <f>ROUND(IF('数据-取费表'!B22&lt;=1,C20*F22*'数据-取费表'!B23/2,C20*(POWER((1+F22),'数据-取费表'!B23/2)-1)),0)</f>
        <v>14</v>
      </c>
      <c r="D25" s="238"/>
      <c r="E25" s="241"/>
      <c r="F25" s="239"/>
      <c r="G25" s="242" t="s">
        <v>83</v>
      </c>
    </row>
    <row r="26" spans="1:7" s="214" customFormat="1">
      <c r="A26" s="779" t="s">
        <v>350</v>
      </c>
      <c r="B26" s="215" t="s">
        <v>422</v>
      </c>
      <c r="C26" s="238">
        <f>ROUND(IF('数据-取费表'!B22&lt;=1,F21*F22*'数据-取费表'!B23/2,F21*(POWER((1+F22),'数据-取费表'!B23/2)-1)),4)</f>
        <v>6.9999999999999999E-4</v>
      </c>
      <c r="D26" s="238"/>
      <c r="E26" s="241"/>
      <c r="F26" s="239"/>
      <c r="G26" s="243"/>
    </row>
    <row r="27" spans="1:7" s="214" customFormat="1" ht="24.75">
      <c r="A27" s="776" t="s">
        <v>342</v>
      </c>
      <c r="B27" s="244" t="s">
        <v>85</v>
      </c>
      <c r="C27" s="245">
        <f>C28</f>
        <v>3786</v>
      </c>
      <c r="D27" s="235">
        <f>C29</f>
        <v>3.5999999999999999E-3</v>
      </c>
      <c r="E27" s="236" t="s">
        <v>99</v>
      </c>
      <c r="F27" s="246">
        <f>'数据-取费表'!Q16</f>
        <v>0.18</v>
      </c>
      <c r="G27" s="247" t="s">
        <v>431</v>
      </c>
    </row>
    <row r="28" spans="1:7" s="214" customFormat="1" ht="13.5" customHeight="1">
      <c r="A28" s="779" t="s">
        <v>349</v>
      </c>
      <c r="B28" s="248" t="s">
        <v>424</v>
      </c>
      <c r="C28" s="249">
        <f>ROUND((C5+C19+C20)*F27*'数据-取费表'!B21/'数据-取费表'!B20,0)</f>
        <v>3786</v>
      </c>
      <c r="D28" s="235"/>
      <c r="E28" s="236"/>
      <c r="F28" s="246"/>
      <c r="G28" s="247"/>
    </row>
    <row r="29" spans="1:7" s="214" customFormat="1" ht="13.5" customHeight="1">
      <c r="A29" s="779" t="s">
        <v>347</v>
      </c>
      <c r="B29" s="248" t="s">
        <v>425</v>
      </c>
      <c r="C29" s="238">
        <f>ROUND(C21*F27*'数据-取费表'!B21/'数据-取费表'!B20,4)</f>
        <v>3.5999999999999999E-3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ROUND((C5+C19+C20+C22+C27)/(1-C21-D22-D27-C30/(1+'数据-取费表'!B42)),0)</f>
        <v>28447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310</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278</v>
      </c>
      <c r="D34" s="217"/>
      <c r="E34" s="220"/>
      <c r="F34" s="257">
        <f>IF('数据-取费表'!B24=0,1,'数据-取费表'!N16)</f>
        <v>1</v>
      </c>
      <c r="G34" s="219" t="s">
        <v>89</v>
      </c>
    </row>
    <row r="35" spans="1:7" ht="13.5" customHeight="1">
      <c r="A35" s="779" t="s">
        <v>351</v>
      </c>
      <c r="B35" s="215" t="s">
        <v>33</v>
      </c>
      <c r="C35" s="220">
        <f>ROUND(C34*F35,0)</f>
        <v>14</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12</v>
      </c>
      <c r="D37" s="217">
        <f>'数据-汇总表'!E3</f>
        <v>616.89</v>
      </c>
      <c r="E37" s="249">
        <f>'数据-取费表'!B35</f>
        <v>200</v>
      </c>
      <c r="F37" s="259"/>
      <c r="G37" s="261" t="s">
        <v>92</v>
      </c>
    </row>
    <row r="38" spans="1:7" ht="13.5" customHeight="1">
      <c r="A38" s="779" t="s">
        <v>354</v>
      </c>
      <c r="B38" s="215" t="s">
        <v>36</v>
      </c>
      <c r="C38" s="220">
        <f>ROUND(C34*F38,0)</f>
        <v>6</v>
      </c>
      <c r="D38" s="220"/>
      <c r="E38" s="220"/>
      <c r="F38" s="259">
        <f>'数据-取费表'!B36</f>
        <v>0.02</v>
      </c>
      <c r="G38" s="219" t="s">
        <v>90</v>
      </c>
    </row>
    <row r="39" spans="1:7" s="214" customFormat="1" ht="13.5" customHeight="1">
      <c r="A39" s="776" t="s">
        <v>338</v>
      </c>
      <c r="B39" s="210" t="s">
        <v>77</v>
      </c>
      <c r="C39" s="232">
        <f>ROUND(C33*F20,0)</f>
        <v>6</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ROUND(SUM(C42:C43),0)</f>
        <v>10</v>
      </c>
      <c r="D41" s="235">
        <f>C44</f>
        <v>6.9999999999999999E-4</v>
      </c>
      <c r="E41" s="236" t="s">
        <v>102</v>
      </c>
      <c r="F41" s="237"/>
      <c r="G41" s="1066" t="str">
        <f>IF('数据-取费表'!B22&lt;=1,"单利计息","复利计息")</f>
        <v>复利计息</v>
      </c>
    </row>
    <row r="42" spans="1:7" ht="13.5" customHeight="1">
      <c r="A42" s="779" t="s">
        <v>349</v>
      </c>
      <c r="B42" s="215" t="s">
        <v>423</v>
      </c>
      <c r="C42" s="238">
        <f>ROUND(IF('数据-取费表'!B22&lt;=1,C33*F22*'数据-取费表'!B21/2,C33*(POWER((1+F22),'数据-取费表'!B21/2)-1)),0)</f>
        <v>10</v>
      </c>
      <c r="D42" s="238"/>
      <c r="E42" s="238"/>
      <c r="F42" s="239"/>
      <c r="G42" s="3705" t="s">
        <v>94</v>
      </c>
    </row>
    <row r="43" spans="1:7" ht="13.5" customHeight="1">
      <c r="A43" s="779" t="s">
        <v>347</v>
      </c>
      <c r="B43" s="215" t="s">
        <v>426</v>
      </c>
      <c r="C43" s="238">
        <f>ROUND(IF('数据-取费表'!B22&lt;=1,C39*F22*'数据-取费表'!B21/2,C39*(POWER((1+F22),'数据-取费表'!B21/2)-1)),0)</f>
        <v>0</v>
      </c>
      <c r="D43" s="238"/>
      <c r="E43" s="238"/>
      <c r="F43" s="239"/>
      <c r="G43" s="3706"/>
    </row>
    <row r="44" spans="1:7" ht="13.5" customHeight="1">
      <c r="A44" s="779" t="s">
        <v>348</v>
      </c>
      <c r="B44" s="215" t="s">
        <v>428</v>
      </c>
      <c r="C44" s="238">
        <f>ROUND(IF('数据-取费表'!B22&lt;=1,C40*F22*'数据-取费表'!B21/2,C40*(POWER((1+F22),'数据-取费表'!B21/2)-1)),4)</f>
        <v>6.9999999999999999E-4</v>
      </c>
      <c r="D44" s="238"/>
      <c r="E44" s="238"/>
      <c r="F44" s="239"/>
      <c r="G44" s="3707"/>
    </row>
    <row r="45" spans="1:7" s="214" customFormat="1" ht="13.5" customHeight="1">
      <c r="A45" s="776" t="s">
        <v>341</v>
      </c>
      <c r="B45" s="244" t="s">
        <v>85</v>
      </c>
      <c r="C45" s="245">
        <f>C46</f>
        <v>57</v>
      </c>
      <c r="D45" s="235">
        <f>C47</f>
        <v>3.5999999999999999E-3</v>
      </c>
      <c r="E45" s="236" t="s">
        <v>102</v>
      </c>
      <c r="F45" s="246"/>
      <c r="G45" s="247" t="s">
        <v>434</v>
      </c>
    </row>
    <row r="46" spans="1:7" s="214" customFormat="1" ht="13.5" customHeight="1">
      <c r="A46" s="779" t="s">
        <v>349</v>
      </c>
      <c r="B46" s="248" t="s">
        <v>427</v>
      </c>
      <c r="C46" s="249">
        <f>ROUND((C33+C39)*F27,0)</f>
        <v>57</v>
      </c>
      <c r="D46" s="263"/>
      <c r="E46" s="236"/>
      <c r="F46" s="246"/>
      <c r="G46" s="247"/>
    </row>
    <row r="47" spans="1:7" s="214" customFormat="1" ht="13.5" customHeight="1">
      <c r="A47" s="779" t="s">
        <v>347</v>
      </c>
      <c r="B47" s="248" t="s">
        <v>429</v>
      </c>
      <c r="C47" s="238">
        <f>ROUND(C40*F27,4)</f>
        <v>3.5999999999999999E-3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ROUND((C33+C39+C41+C45)/(1-C40-D41-D45-C48/(1+'数据-取费表'!B42)),0)</f>
        <v>415</v>
      </c>
      <c r="D49" s="232"/>
      <c r="E49" s="232"/>
      <c r="F49" s="264"/>
      <c r="G49" s="234" t="s">
        <v>435</v>
      </c>
    </row>
    <row r="50" spans="1:7" s="258" customFormat="1" ht="24">
      <c r="A50" s="776" t="s">
        <v>344</v>
      </c>
      <c r="B50" s="210" t="s">
        <v>97</v>
      </c>
      <c r="C50" s="232"/>
      <c r="D50" s="232"/>
      <c r="E50" s="232"/>
      <c r="F50" s="264">
        <f>IF('数据-取费表'!B24=0,'数据-取费表'!N16,1)</f>
        <v>0.78</v>
      </c>
      <c r="G50" s="247" t="s">
        <v>98</v>
      </c>
    </row>
    <row r="51" spans="1:7" ht="16.5" customHeight="1">
      <c r="A51" s="776" t="s">
        <v>345</v>
      </c>
      <c r="B51" s="210" t="s">
        <v>105</v>
      </c>
      <c r="C51" s="232">
        <f>ROUND(C49*F50,0)</f>
        <v>324</v>
      </c>
      <c r="D51" s="232"/>
      <c r="E51" s="232"/>
      <c r="F51" s="264"/>
      <c r="G51" s="234" t="s">
        <v>37</v>
      </c>
    </row>
    <row r="52" spans="1:7" s="208" customFormat="1" ht="16.5" thickBot="1">
      <c r="A52" s="265" t="s">
        <v>38</v>
      </c>
      <c r="B52" s="266"/>
      <c r="C52" s="267">
        <f>C31+C51</f>
        <v>28771</v>
      </c>
      <c r="D52" s="266"/>
      <c r="E52" s="266"/>
      <c r="F52" s="266"/>
      <c r="G52" s="268"/>
    </row>
    <row r="55" spans="1:7" ht="15">
      <c r="B55" s="270" t="s">
        <v>39</v>
      </c>
      <c r="C55" s="271"/>
    </row>
    <row r="56" spans="1:7">
      <c r="B56" s="273" t="s">
        <v>40</v>
      </c>
      <c r="C56" s="274">
        <f>ROUND(C51/C52,3)</f>
        <v>1.0999999999999999E-2</v>
      </c>
    </row>
    <row r="57" spans="1:7">
      <c r="B57" s="273" t="s">
        <v>41</v>
      </c>
      <c r="C57" s="275">
        <f>1-C56</f>
        <v>0.98899999999999999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SheetLayoutView="100" zoomScalePageLayoutView="80" workbookViewId="0">
      <selection activeCell="C20" sqref="C20"/>
    </sheetView>
  </sheetViews>
  <sheetFormatPr defaultColWidth="12.625" defaultRowHeight="21.75" customHeight="1"/>
  <cols>
    <col min="1" max="2" width="12.625" style="1751"/>
    <col min="3" max="4" width="12.625" style="1751" customWidth="1"/>
    <col min="5" max="9" width="12.625" style="1751"/>
    <col min="10" max="11" width="12.625" style="724" customWidth="1"/>
    <col min="12" max="12" width="12.625" style="724"/>
    <col min="13" max="13" width="14.125" style="724" bestFit="1" customWidth="1"/>
    <col min="14" max="26" width="12.625" style="724"/>
    <col min="27" max="35" width="12.625" style="1750"/>
    <col min="36" max="16384" width="12.625" style="1751"/>
  </cols>
  <sheetData>
    <row r="1" spans="1:12" ht="21.75" customHeight="1" thickBot="1">
      <c r="A1" s="1635" t="s">
        <v>1260</v>
      </c>
      <c r="B1" s="1745"/>
      <c r="C1" s="1746" t="s">
        <v>671</v>
      </c>
      <c r="D1" s="1745"/>
      <c r="E1" s="1745"/>
      <c r="F1" s="1747" t="s">
        <v>1261</v>
      </c>
      <c r="G1" s="1559" t="s">
        <v>3526</v>
      </c>
      <c r="H1" s="1748" t="str">
        <f>IF(G1="现房","——","估价对象范围")</f>
        <v>——</v>
      </c>
      <c r="I1" s="1749" t="s">
        <v>3527</v>
      </c>
    </row>
    <row r="2" spans="1:12" ht="21.75" customHeight="1" thickBot="1">
      <c r="A2" s="3678" t="str">
        <f>项目基本情况!S2</f>
        <v>北京市房地产</v>
      </c>
      <c r="B2" s="3679"/>
      <c r="C2" s="3679"/>
      <c r="D2" s="3679"/>
      <c r="E2" s="3679"/>
      <c r="F2" s="3679"/>
      <c r="G2" s="3679"/>
      <c r="H2" s="3679"/>
      <c r="I2" s="3680"/>
    </row>
    <row r="3" spans="1:12" ht="12.75">
      <c r="A3" s="3682" t="s">
        <v>1262</v>
      </c>
      <c r="B3" s="3683"/>
      <c r="C3" s="3683"/>
      <c r="D3" s="3683"/>
      <c r="E3" s="3683"/>
      <c r="F3" s="3683"/>
      <c r="G3" s="3683"/>
      <c r="H3" s="3683"/>
      <c r="I3" s="3683"/>
    </row>
    <row r="4" spans="1:12" ht="14.25">
      <c r="A4" s="1752" t="s">
        <v>1263</v>
      </c>
      <c r="B4" s="1753" t="s">
        <v>1264</v>
      </c>
      <c r="C4" s="1754" t="s">
        <v>3562</v>
      </c>
      <c r="D4" s="1754" t="s">
        <v>3563</v>
      </c>
      <c r="E4" s="3687" t="s">
        <v>1265</v>
      </c>
      <c r="F4" s="3688"/>
      <c r="G4" s="3688"/>
      <c r="H4" s="3688"/>
      <c r="I4" s="3689"/>
      <c r="K4" s="146" t="str">
        <f>IF(ISNUMBER(FIND("比较法",'结果表 (2)'!C4)),"比较法",IF(ISNUMBER(FIND("成本法",'结果表 (2)'!C4)),"成本法",IF(ISNUMBER(FIND("假设开发法",'结果表 (2)'!C4)),"假设开发法",IF(ISNUMBER(FIND("收益法",'结果表 (2)'!C4)),"收益法","基准地价系数修正法"))))</f>
        <v>比较法</v>
      </c>
      <c r="L4" s="146" t="str">
        <f>IF(ISNUMBER(FIND("比较法",'结果表 (2)'!D4)),"比较法",IF(ISNUMBER(FIND("成本法",'结果表 (2)'!D4)),"成本法",IF(ISNUMBER(FIND("假设开发法",'结果表 (2)'!D4)),"假设开发法",IF(ISNUMBER(FIND("收益法",'结果表 (2)'!D4)),"收益法","基准地价系数修正法"))))</f>
        <v>收益法</v>
      </c>
    </row>
    <row r="5" spans="1:12" ht="12.75">
      <c r="A5" s="3626" t="s">
        <v>1266</v>
      </c>
      <c r="B5" s="3681">
        <v>25</v>
      </c>
      <c r="C5" s="3684"/>
      <c r="D5" s="3672"/>
      <c r="E5" s="131" t="s">
        <v>1267</v>
      </c>
      <c r="F5" s="1755"/>
      <c r="G5" s="1755"/>
      <c r="H5" s="1755"/>
      <c r="I5" s="1371"/>
    </row>
    <row r="6" spans="1:12" ht="12.75">
      <c r="A6" s="3626"/>
      <c r="B6" s="3681"/>
      <c r="C6" s="3686"/>
      <c r="D6" s="3672"/>
      <c r="E6" s="131" t="s">
        <v>1268</v>
      </c>
      <c r="F6" s="1755"/>
      <c r="G6" s="1755"/>
      <c r="H6" s="1755"/>
      <c r="I6" s="1371"/>
    </row>
    <row r="7" spans="1:12" ht="12.75">
      <c r="A7" s="3626"/>
      <c r="B7" s="3681"/>
      <c r="C7" s="3685"/>
      <c r="D7" s="3672"/>
      <c r="E7" s="131" t="s">
        <v>1269</v>
      </c>
      <c r="F7" s="1755"/>
      <c r="G7" s="1755"/>
      <c r="H7" s="1755"/>
      <c r="I7" s="1371"/>
    </row>
    <row r="8" spans="1:12" ht="12.75">
      <c r="A8" s="3626" t="s">
        <v>1270</v>
      </c>
      <c r="B8" s="3681">
        <v>15</v>
      </c>
      <c r="C8" s="3684"/>
      <c r="D8" s="3672"/>
      <c r="E8" s="131" t="s">
        <v>1271</v>
      </c>
      <c r="F8" s="1755"/>
      <c r="G8" s="1755"/>
      <c r="H8" s="1755"/>
      <c r="I8" s="1371"/>
    </row>
    <row r="9" spans="1:12" ht="12.75">
      <c r="A9" s="3626"/>
      <c r="B9" s="3681"/>
      <c r="C9" s="3685"/>
      <c r="D9" s="3672"/>
      <c r="E9" s="131" t="s">
        <v>1272</v>
      </c>
      <c r="F9" s="1755"/>
      <c r="G9" s="1755"/>
      <c r="H9" s="1755"/>
      <c r="I9" s="1371"/>
    </row>
    <row r="10" spans="1:12" ht="12.75">
      <c r="A10" s="3626" t="s">
        <v>1273</v>
      </c>
      <c r="B10" s="3681">
        <v>15</v>
      </c>
      <c r="C10" s="3684"/>
      <c r="D10" s="3672"/>
      <c r="E10" s="131" t="s">
        <v>1274</v>
      </c>
      <c r="F10" s="1755"/>
      <c r="G10" s="1755"/>
      <c r="H10" s="1755"/>
      <c r="I10" s="1371"/>
    </row>
    <row r="11" spans="1:12" ht="12.75">
      <c r="A11" s="3626"/>
      <c r="B11" s="3681"/>
      <c r="C11" s="3685"/>
      <c r="D11" s="3672"/>
      <c r="E11" s="131" t="s">
        <v>1275</v>
      </c>
      <c r="F11" s="1755"/>
      <c r="G11" s="1755"/>
      <c r="H11" s="1755"/>
      <c r="I11" s="1371"/>
    </row>
    <row r="12" spans="1:12" ht="12.75">
      <c r="A12" s="3626" t="s">
        <v>1276</v>
      </c>
      <c r="B12" s="3681">
        <v>15</v>
      </c>
      <c r="C12" s="3684"/>
      <c r="D12" s="3672"/>
      <c r="E12" s="131" t="s">
        <v>1277</v>
      </c>
      <c r="F12" s="1755"/>
      <c r="G12" s="1755"/>
      <c r="H12" s="1755"/>
      <c r="I12" s="1371"/>
    </row>
    <row r="13" spans="1:12" ht="12.75">
      <c r="A13" s="3626"/>
      <c r="B13" s="3681"/>
      <c r="C13" s="3685"/>
      <c r="D13" s="3672"/>
      <c r="E13" s="131" t="s">
        <v>1278</v>
      </c>
      <c r="F13" s="1755"/>
      <c r="G13" s="1755"/>
      <c r="H13" s="1755"/>
      <c r="I13" s="1371"/>
    </row>
    <row r="14" spans="1:12" ht="12.75">
      <c r="A14" s="3626" t="s">
        <v>1279</v>
      </c>
      <c r="B14" s="3681">
        <v>30</v>
      </c>
      <c r="C14" s="3684">
        <v>6</v>
      </c>
      <c r="D14" s="3672">
        <v>4</v>
      </c>
      <c r="E14" s="131" t="s">
        <v>1280</v>
      </c>
      <c r="F14" s="1755"/>
      <c r="G14" s="1755"/>
      <c r="H14" s="1755"/>
      <c r="I14" s="1371"/>
    </row>
    <row r="15" spans="1:12" ht="12.75">
      <c r="A15" s="3626"/>
      <c r="B15" s="3681"/>
      <c r="C15" s="3686"/>
      <c r="D15" s="3672"/>
      <c r="E15" s="131" t="s">
        <v>1281</v>
      </c>
      <c r="F15" s="1755"/>
      <c r="G15" s="1755"/>
      <c r="H15" s="1755"/>
      <c r="I15" s="1371"/>
    </row>
    <row r="16" spans="1:12" ht="12.75">
      <c r="A16" s="3626"/>
      <c r="B16" s="3681"/>
      <c r="C16" s="3685"/>
      <c r="D16" s="3672"/>
      <c r="E16" s="131" t="s">
        <v>1282</v>
      </c>
      <c r="F16" s="1755"/>
      <c r="G16" s="1755"/>
      <c r="H16" s="1755"/>
      <c r="I16" s="1371"/>
    </row>
    <row r="17" spans="1:36" ht="15">
      <c r="A17" s="1756" t="s">
        <v>1283</v>
      </c>
      <c r="B17" s="56"/>
      <c r="C17" s="132">
        <f>SUM(C5:C16)</f>
        <v>6</v>
      </c>
      <c r="D17" s="132">
        <f>SUM(D5:D16)</f>
        <v>4</v>
      </c>
      <c r="E17" s="129"/>
      <c r="F17" s="129"/>
      <c r="G17" s="129"/>
      <c r="H17" s="129"/>
      <c r="I17" s="129"/>
      <c r="K17" s="302"/>
      <c r="L17" s="302" t="s">
        <v>1284</v>
      </c>
      <c r="M17" s="302" t="s">
        <v>1285</v>
      </c>
    </row>
    <row r="18" spans="1:36" ht="31.9" customHeight="1" thickBot="1">
      <c r="A18" s="1757" t="s">
        <v>1286</v>
      </c>
      <c r="B18" s="1758"/>
      <c r="C18" s="133">
        <f>ROUND(C17/SUM(C17:D17),2)</f>
        <v>0.6</v>
      </c>
      <c r="D18" s="133">
        <f>1-C18</f>
        <v>0.4</v>
      </c>
      <c r="E18" s="3703" t="s">
        <v>2128</v>
      </c>
      <c r="F18" s="3704"/>
      <c r="G18" s="3704"/>
      <c r="H18" s="3704"/>
      <c r="I18" s="3704"/>
      <c r="K18" s="302" t="s">
        <v>1287</v>
      </c>
      <c r="L18" s="302">
        <f>IF(C1="",'数据-汇总表'!E3,SUMIF(项目类型,C1,'数据-汇总表'!E17:E26)+SUMIF(项目类型,C1,'数据-汇总表'!I17:I26))</f>
        <v>410.74</v>
      </c>
      <c r="M18" s="302">
        <f>IF(C1="",'数据-汇总表'!E3,SUMIF(项目类型,C1,'数据-汇总表'!E17:E26))</f>
        <v>410.74</v>
      </c>
    </row>
    <row r="19" spans="1:36" ht="15">
      <c r="A19" s="1759" t="s">
        <v>1288</v>
      </c>
      <c r="B19" s="1760" t="s">
        <v>1289</v>
      </c>
      <c r="C19" s="134">
        <f ca="1">SUMIF(INDIRECT("'"&amp;C4&amp;"'"&amp;"!A:A"),'结果表 (2)'!B19,INDIRECT("'"&amp;C4&amp;"'"&amp;"!B:B"))</f>
        <v>3820.9088999999999</v>
      </c>
      <c r="D19" s="135">
        <f ca="1">SUMIF(INDIRECT("'"&amp;D4&amp;"'"&amp;"!A:A"),'结果表 (2)'!B19,INDIRECT("'"&amp;D4&amp;"'"&amp;"!B:B"))</f>
        <v>1921.6887999999999</v>
      </c>
      <c r="E19" s="1759" t="s">
        <v>1290</v>
      </c>
      <c r="F19" s="1760" t="s">
        <v>1289</v>
      </c>
      <c r="G19" s="136">
        <f ca="1">ROUND(C19*$C$18+D19*$D$18,0)</f>
        <v>3061</v>
      </c>
      <c r="H19" s="1761" t="s">
        <v>1291</v>
      </c>
      <c r="I19" s="129"/>
      <c r="K19" s="302" t="s">
        <v>1292</v>
      </c>
      <c r="L19" s="302">
        <f>IF(C1="",'数据-汇总表'!D3,SUMIF(项目类型,C1,'数据-汇总表'!D17:D26)+SUMIF(项目类型,C1,'数据-汇总表'!H17:H27))</f>
        <v>46.29</v>
      </c>
      <c r="M19" s="302">
        <f>IF(C1="",'数据-汇总表'!D3,SUMIF(项目类型,C1,'数据-汇总表'!D17:D26))</f>
        <v>46.29</v>
      </c>
    </row>
    <row r="20" spans="1:36" ht="15">
      <c r="A20" s="1762"/>
      <c r="B20" s="1025" t="s">
        <v>1293</v>
      </c>
      <c r="C20" s="137">
        <f ca="1">SUMIF(INDIRECT("'"&amp;C4&amp;"'"&amp;"!A:A"),'结果表 (2)'!B20,INDIRECT("'"&amp;C4&amp;"'"&amp;"!B:B"))</f>
        <v>93025</v>
      </c>
      <c r="D20" s="138">
        <f ca="1">SUMIF(INDIRECT("'"&amp;D4&amp;"'"&amp;"!A:A"),'结果表 (2)'!B20,INDIRECT("'"&amp;D4&amp;"'"&amp;"!B:B"))</f>
        <v>46786</v>
      </c>
      <c r="E20" s="1762"/>
      <c r="F20" s="1025" t="s">
        <v>1293</v>
      </c>
      <c r="G20" s="139">
        <f ca="1">ROUND(C20*$C$18+D20*$D$18,0)</f>
        <v>74529</v>
      </c>
      <c r="H20" s="807" t="s">
        <v>1294</v>
      </c>
      <c r="I20" s="129"/>
    </row>
    <row r="21" spans="1:36" ht="15" customHeight="1" thickBot="1">
      <c r="A21" s="827"/>
      <c r="B21" s="1763" t="s">
        <v>1295</v>
      </c>
      <c r="C21" s="718">
        <f ca="1">ROUND(C19*10000/L19,0)</f>
        <v>825429</v>
      </c>
      <c r="D21" s="719">
        <f ca="1">ROUND(D19*10000/L19,0)</f>
        <v>415141</v>
      </c>
      <c r="E21" s="827"/>
      <c r="F21" s="1763" t="s">
        <v>1295</v>
      </c>
      <c r="G21" s="140">
        <f ca="1">ROUND(G19*10000/L19,0)</f>
        <v>661266</v>
      </c>
      <c r="H21" s="1764" t="s">
        <v>1294</v>
      </c>
      <c r="I21" s="129"/>
    </row>
    <row r="22" spans="1:36" ht="15" thickBot="1">
      <c r="A22" s="1686" t="s">
        <v>1296</v>
      </c>
      <c r="B22" s="1765"/>
      <c r="C22" s="1766"/>
      <c r="D22" s="720">
        <f ca="1">IF(C19&lt;D19,D19/C19-1,C19/D19-1)</f>
        <v>0.98830783631564079</v>
      </c>
      <c r="E22" s="129"/>
      <c r="F22" s="129"/>
      <c r="G22" s="129"/>
      <c r="H22" s="129"/>
      <c r="I22" s="129"/>
    </row>
    <row r="23" spans="1:36" ht="13.5" thickBot="1">
      <c r="A23" s="1745"/>
      <c r="B23" s="1745"/>
      <c r="C23" s="1745"/>
      <c r="D23" s="1745"/>
      <c r="E23" s="129"/>
      <c r="F23" s="129"/>
      <c r="G23" s="129"/>
      <c r="H23" s="129"/>
      <c r="I23" s="129"/>
    </row>
    <row r="24" spans="1:36" ht="14.25">
      <c r="A24" s="3696" t="s">
        <v>1297</v>
      </c>
      <c r="B24" s="1760" t="s">
        <v>1289</v>
      </c>
      <c r="C24" s="136">
        <f>IF(B30=0,0,D30)</f>
        <v>0</v>
      </c>
      <c r="D24" s="1767"/>
      <c r="E24" s="129"/>
      <c r="F24" s="129"/>
      <c r="G24" s="129"/>
      <c r="H24" s="129"/>
      <c r="I24" s="129"/>
    </row>
    <row r="25" spans="1:36" ht="14.25">
      <c r="A25" s="3697"/>
      <c r="B25" s="1025" t="s">
        <v>1293</v>
      </c>
      <c r="C25" s="141">
        <f>IF(B30=0,0,C30)</f>
        <v>0</v>
      </c>
      <c r="D25" s="1768"/>
      <c r="E25" s="129"/>
      <c r="F25" s="129"/>
      <c r="G25" s="129"/>
      <c r="H25" s="129"/>
      <c r="I25" s="129"/>
    </row>
    <row r="26" spans="1:36" ht="13.5" customHeight="1">
      <c r="A26" s="1769" t="s">
        <v>1298</v>
      </c>
      <c r="B26" s="142" t="s">
        <v>1299</v>
      </c>
      <c r="C26" s="142" t="s">
        <v>1300</v>
      </c>
      <c r="D26" s="143" t="s">
        <v>1301</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1302</v>
      </c>
      <c r="B30" s="142"/>
      <c r="C30" s="142"/>
      <c r="D30" s="142"/>
      <c r="E30" s="2301" t="s">
        <v>2129</v>
      </c>
      <c r="F30" s="129"/>
      <c r="G30" s="129"/>
      <c r="H30" s="129"/>
      <c r="I30" s="129"/>
    </row>
    <row r="31" spans="1:36" s="2307" customFormat="1" ht="26.45" customHeight="1" thickTop="1" thickBot="1">
      <c r="A31" s="2302"/>
      <c r="B31" s="2303"/>
      <c r="C31" s="2303"/>
      <c r="D31" s="2303"/>
      <c r="E31" s="2303"/>
      <c r="F31" s="2303"/>
      <c r="G31" s="2303"/>
      <c r="H31" s="2303"/>
      <c r="I31" s="2304" t="s">
        <v>2130</v>
      </c>
      <c r="J31" s="2685"/>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1303</v>
      </c>
      <c r="B32" s="1772"/>
      <c r="C32" s="144">
        <f ca="1">IF(D32="总价",G19-C24,G20-C25)</f>
        <v>74529</v>
      </c>
      <c r="D32" s="1773" t="s">
        <v>3576</v>
      </c>
      <c r="E32" s="129"/>
      <c r="F32" s="129"/>
      <c r="G32" s="129"/>
      <c r="H32" s="129"/>
      <c r="I32" s="129"/>
    </row>
    <row r="33" spans="1:15" ht="15">
      <c r="A33" s="785" t="s">
        <v>1304</v>
      </c>
      <c r="B33" s="1774"/>
      <c r="C33" s="1775" t="s">
        <v>3577</v>
      </c>
      <c r="D33" s="1776" t="s">
        <v>3563</v>
      </c>
      <c r="E33" s="1777" t="s">
        <v>1305</v>
      </c>
      <c r="F33" s="1778" t="str">
        <f>IF(D32="楼面单价","取值（单价）","取值（总价）")</f>
        <v>取值（单价）</v>
      </c>
      <c r="G33" s="129"/>
      <c r="H33" s="129"/>
      <c r="I33" s="129"/>
    </row>
    <row r="34" spans="1:15" ht="15">
      <c r="A34" s="1779"/>
      <c r="B34" s="1780" t="s">
        <v>1306</v>
      </c>
      <c r="C34" s="148">
        <f ca="1">IF(C33="自定义",F34,C32-C35)</f>
        <v>66480</v>
      </c>
      <c r="D34" s="860">
        <f ca="1">IF(C33="自定义",ROUND(C34/C32,3),IF(C33="收益比率",SUMIF(INDIRECT("'"&amp;D33&amp;"'"&amp;"!b:b"),"土地收益比率",INDIRECT("'"&amp;D33&amp;"'"&amp;"!c:c")),SUMIF(INDIRECT("'"&amp;D33&amp;"'"&amp;"!b:b"),"土地成本比率",INDIRECT("'"&amp;D33&amp;"'"&amp;"!c:c"))))</f>
        <v>0.89200000000000002</v>
      </c>
      <c r="E34" s="1781" t="s">
        <v>1307</v>
      </c>
      <c r="F34" s="1328"/>
      <c r="G34" s="129"/>
      <c r="H34" s="129"/>
      <c r="I34" s="129"/>
    </row>
    <row r="35" spans="1:15" ht="15.75" thickBot="1">
      <c r="A35" s="1782"/>
      <c r="B35" s="1783" t="s">
        <v>1308</v>
      </c>
      <c r="C35" s="1168">
        <f ca="1">IF(C33="自定义",F35,ROUND(C32*D35,0))</f>
        <v>8049</v>
      </c>
      <c r="D35" s="1169">
        <f ca="1">IF(C33="自定义",ROUND(C35/C32,3),IF(C33="收益比率",SUMIF(INDIRECT("'"&amp;D33&amp;"'"&amp;"!b:b"),"建筑物收益比率",INDIRECT("'"&amp;D33&amp;"'"&amp;"!c:c")),SUMIF(INDIRECT("'"&amp;D33&amp;"'"&amp;"!b:b"),"建筑物成本比率",INDIRECT("'"&amp;D33&amp;"'"&amp;"!c:c"))))</f>
        <v>0.108</v>
      </c>
      <c r="E35" s="1784" t="s">
        <v>1309</v>
      </c>
      <c r="F35" s="154"/>
      <c r="G35" s="129"/>
      <c r="H35" s="129"/>
      <c r="I35" s="129"/>
    </row>
    <row r="36" spans="1:15" ht="15.75" thickBot="1">
      <c r="A36" s="3673" t="s">
        <v>1310</v>
      </c>
      <c r="B36" s="1785" t="s">
        <v>1311</v>
      </c>
      <c r="C36" s="145"/>
      <c r="D36" s="1786"/>
      <c r="E36" s="1787"/>
      <c r="F36" s="1788"/>
      <c r="G36" s="129"/>
      <c r="H36" s="129"/>
      <c r="I36" s="129"/>
    </row>
    <row r="37" spans="1:15" ht="15.75" thickBot="1">
      <c r="A37" s="3674"/>
      <c r="B37" s="1672" t="s">
        <v>1312</v>
      </c>
      <c r="C37" s="147"/>
      <c r="D37" s="1137"/>
      <c r="E37" s="1137"/>
      <c r="F37" s="1788"/>
      <c r="G37" s="129"/>
      <c r="H37" s="129"/>
      <c r="I37" s="129"/>
    </row>
    <row r="38" spans="1:15" ht="15.75" thickBot="1">
      <c r="A38" s="3675"/>
      <c r="B38" s="1789" t="s">
        <v>1313</v>
      </c>
      <c r="C38" s="673"/>
      <c r="D38" s="1790" t="s">
        <v>1314</v>
      </c>
      <c r="E38" s="1137"/>
      <c r="F38" s="1788"/>
      <c r="G38" s="129"/>
      <c r="H38" s="129"/>
      <c r="I38" s="129"/>
    </row>
    <row r="39" spans="1:15" ht="15">
      <c r="A39" s="1762" t="s">
        <v>1315</v>
      </c>
      <c r="B39" s="1791" t="s">
        <v>1316</v>
      </c>
      <c r="C39" s="1792" t="s">
        <v>1300</v>
      </c>
      <c r="D39" s="1792" t="s">
        <v>1318</v>
      </c>
      <c r="E39" s="1793" t="s">
        <v>1301</v>
      </c>
      <c r="F39" s="1788"/>
      <c r="G39" s="129"/>
      <c r="H39" s="129"/>
      <c r="I39" s="129"/>
    </row>
    <row r="40" spans="1:15" ht="14.25">
      <c r="A40" s="1794" t="s">
        <v>1320</v>
      </c>
      <c r="B40" s="149"/>
      <c r="C40" s="150"/>
      <c r="D40" s="150"/>
      <c r="E40" s="151"/>
      <c r="F40" s="1788"/>
      <c r="G40" s="129"/>
      <c r="H40" s="129"/>
      <c r="I40" s="129"/>
    </row>
    <row r="41" spans="1:15" ht="14.25">
      <c r="A41" s="1794" t="s">
        <v>1321</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1322</v>
      </c>
      <c r="B44" s="1799"/>
      <c r="C44" s="1799"/>
      <c r="D44" s="1800"/>
      <c r="E44" s="1800"/>
      <c r="F44" s="1801"/>
      <c r="G44" s="1801"/>
      <c r="H44" s="1801"/>
      <c r="I44" s="1801"/>
      <c r="J44" s="1802" t="s">
        <v>1323</v>
      </c>
      <c r="K44" s="1803"/>
      <c r="L44" s="1803"/>
      <c r="M44" s="1803"/>
      <c r="N44" s="1803"/>
      <c r="O44" s="1803"/>
    </row>
    <row r="45" spans="1:15" ht="14.25" customHeight="1" thickBot="1">
      <c r="A45" s="3693" t="s">
        <v>1324</v>
      </c>
      <c r="B45" s="3694"/>
      <c r="C45" s="3695"/>
      <c r="D45" s="155">
        <f ca="1">ROUND(H101*F45,0)</f>
        <v>3061</v>
      </c>
      <c r="E45" s="156" t="s">
        <v>1325</v>
      </c>
      <c r="F45" s="157">
        <v>1</v>
      </c>
      <c r="G45" s="158" t="s">
        <v>1326</v>
      </c>
      <c r="H45" s="129"/>
      <c r="I45" s="129"/>
      <c r="J45" s="3613" t="s">
        <v>1327</v>
      </c>
      <c r="K45" s="3613"/>
      <c r="L45" s="3613"/>
      <c r="M45" s="3613"/>
      <c r="N45" s="3613"/>
      <c r="O45" s="3613"/>
    </row>
    <row r="46" spans="1:15" ht="14.25" customHeight="1">
      <c r="A46" s="3690" t="s">
        <v>1328</v>
      </c>
      <c r="B46" s="3691"/>
      <c r="C46" s="3691"/>
      <c r="D46" s="3691"/>
      <c r="E46" s="3691"/>
      <c r="F46" s="3691"/>
      <c r="G46" s="3692"/>
      <c r="H46" s="1804"/>
      <c r="I46" s="159"/>
      <c r="J46" s="3456">
        <v>1</v>
      </c>
      <c r="K46" s="3614" t="s">
        <v>1329</v>
      </c>
      <c r="L46" s="3614"/>
      <c r="M46" s="3615"/>
      <c r="N46" s="3615"/>
      <c r="O46" s="3615"/>
    </row>
    <row r="47" spans="1:15" ht="12" customHeight="1">
      <c r="A47" s="160" t="s">
        <v>1330</v>
      </c>
      <c r="B47" s="161"/>
      <c r="C47" s="162"/>
      <c r="D47" s="1085" t="s">
        <v>1331</v>
      </c>
      <c r="E47" s="302" t="s">
        <v>1332</v>
      </c>
      <c r="F47" s="163" t="s">
        <v>1333</v>
      </c>
      <c r="G47" s="2542" t="s">
        <v>1334</v>
      </c>
      <c r="H47" s="2543"/>
      <c r="I47" s="159"/>
      <c r="J47" s="3456">
        <v>2</v>
      </c>
      <c r="K47" s="3614" t="s">
        <v>1335</v>
      </c>
      <c r="L47" s="3614"/>
      <c r="M47" s="3616">
        <f>'数据-取费表'!B2</f>
        <v>45498</v>
      </c>
      <c r="N47" s="3616"/>
      <c r="O47" s="3616"/>
    </row>
    <row r="48" spans="1:15" ht="25.5">
      <c r="A48" s="3676" t="s">
        <v>1336</v>
      </c>
      <c r="B48" s="3677"/>
      <c r="C48" s="3677"/>
      <c r="D48" s="3451" t="b">
        <f>IF(H48="情况1",0,IF(H48="情况2",D52,IF(H48="情况3",D53,IF(H48="情况4",D54))))</f>
        <v>0</v>
      </c>
      <c r="E48" s="3466" t="str">
        <f>IF(H48="情况4","(销售额-原购置价)×税（费）率","销售额×税（费）率")</f>
        <v>销售额×税（费）率</v>
      </c>
      <c r="F48" s="2544">
        <f>IF(H48="情况1","免征",'数据-取费表'!B41)</f>
        <v>5.6000000000000001E-2</v>
      </c>
      <c r="G48" s="2545" t="s">
        <v>1337</v>
      </c>
      <c r="H48" s="2546"/>
      <c r="I48" s="1804"/>
      <c r="J48" s="3456">
        <v>3</v>
      </c>
      <c r="K48" s="3614" t="s">
        <v>1338</v>
      </c>
      <c r="L48" s="3614"/>
      <c r="M48" s="3617">
        <f ca="1">H101</f>
        <v>3061</v>
      </c>
      <c r="N48" s="3617"/>
      <c r="O48" s="3617"/>
    </row>
    <row r="49" spans="1:35" ht="25.5" customHeight="1">
      <c r="A49" s="3465" t="s">
        <v>1339</v>
      </c>
      <c r="B49" s="3662" t="s">
        <v>1340</v>
      </c>
      <c r="C49" s="3662"/>
      <c r="D49" s="1588">
        <v>0</v>
      </c>
      <c r="E49" s="324" t="s">
        <v>1341</v>
      </c>
      <c r="F49" s="3448" t="s">
        <v>28</v>
      </c>
      <c r="G49" s="3645"/>
      <c r="H49" s="2308" t="s">
        <v>2131</v>
      </c>
      <c r="I49" s="2309"/>
      <c r="J49" s="3456">
        <v>4</v>
      </c>
      <c r="K49" s="3614" t="str">
        <f>IF(项目基本情况!E8="房地产抵押价值","房地产抵押价值","抵押担保权已注销时的房地产抵押价值")</f>
        <v>房地产抵押价值</v>
      </c>
      <c r="L49" s="3614"/>
      <c r="M49" s="3617">
        <f ca="1">IF(项目基本情况!E8="房地产抵押价值",H107,H109)</f>
        <v>3061</v>
      </c>
      <c r="N49" s="3617"/>
      <c r="O49" s="3617"/>
    </row>
    <row r="50" spans="1:35" ht="25.5" customHeight="1">
      <c r="A50" s="2547"/>
      <c r="B50" s="3662" t="s">
        <v>1342</v>
      </c>
      <c r="C50" s="3662"/>
      <c r="D50" s="2548"/>
      <c r="E50" s="332"/>
      <c r="F50" s="3448"/>
      <c r="G50" s="3646"/>
      <c r="H50" s="2310" t="s">
        <v>2132</v>
      </c>
      <c r="I50" s="2309"/>
      <c r="J50" s="3613" t="s">
        <v>1343</v>
      </c>
      <c r="K50" s="3613"/>
      <c r="L50" s="3613"/>
      <c r="M50" s="3613"/>
      <c r="N50" s="3613"/>
      <c r="O50" s="3613"/>
    </row>
    <row r="51" spans="1:35" ht="20.45" customHeight="1">
      <c r="A51" s="2549"/>
      <c r="B51" s="3662" t="s">
        <v>1344</v>
      </c>
      <c r="C51" s="3662"/>
      <c r="D51" s="1085"/>
      <c r="E51" s="327"/>
      <c r="F51" s="3448"/>
      <c r="G51" s="3647"/>
      <c r="H51" s="2310" t="s">
        <v>2133</v>
      </c>
      <c r="I51" s="2309"/>
      <c r="J51" s="3450" t="s">
        <v>1345</v>
      </c>
      <c r="K51" s="3614" t="s">
        <v>1346</v>
      </c>
      <c r="L51" s="3614"/>
      <c r="M51" s="3450" t="s">
        <v>1347</v>
      </c>
      <c r="N51" s="3450" t="s">
        <v>1348</v>
      </c>
      <c r="O51" s="3450" t="s">
        <v>1349</v>
      </c>
    </row>
    <row r="52" spans="1:35" ht="24" customHeight="1">
      <c r="A52" s="3468" t="s">
        <v>1350</v>
      </c>
      <c r="B52" s="3662" t="s">
        <v>1351</v>
      </c>
      <c r="C52" s="3662"/>
      <c r="D52" s="1085">
        <f ca="1">ROUND(D45*'数据-取费表'!B41/(1+'数据-取费表'!C42),0)</f>
        <v>163</v>
      </c>
      <c r="E52" s="3466" t="s">
        <v>1352</v>
      </c>
      <c r="F52" s="2550">
        <f>'数据-取费表'!B41</f>
        <v>5.6000000000000001E-2</v>
      </c>
      <c r="G52" s="2551"/>
      <c r="H52" s="2540"/>
      <c r="I52" s="1805"/>
      <c r="J52" s="3456">
        <v>1</v>
      </c>
      <c r="K52" s="3639" t="s">
        <v>1353</v>
      </c>
      <c r="L52" s="3639"/>
      <c r="M52" s="2521" t="b">
        <f>D48</f>
        <v>0</v>
      </c>
      <c r="N52" s="3456" t="str">
        <f>E48</f>
        <v>销售额×税（费）率</v>
      </c>
      <c r="O52" s="2522">
        <f>F48</f>
        <v>5.6000000000000001E-2</v>
      </c>
    </row>
    <row r="53" spans="1:35" ht="12" customHeight="1">
      <c r="A53" s="3468" t="s">
        <v>1354</v>
      </c>
      <c r="B53" s="3663" t="s">
        <v>2284</v>
      </c>
      <c r="C53" s="3664"/>
      <c r="D53" s="1085">
        <f ca="1">ROUND(D45*'数据-取费表'!B41/(1+'数据-取费表'!C42),0)</f>
        <v>163</v>
      </c>
      <c r="E53" s="3466" t="s">
        <v>1352</v>
      </c>
      <c r="F53" s="2550">
        <f>'数据-取费表'!B41</f>
        <v>5.6000000000000001E-2</v>
      </c>
      <c r="G53" s="2551"/>
      <c r="H53" s="2540"/>
      <c r="I53" s="1805"/>
      <c r="J53" s="3456">
        <v>2</v>
      </c>
      <c r="K53" s="3639" t="s">
        <v>1355</v>
      </c>
      <c r="L53" s="3639"/>
      <c r="M53" s="2521">
        <f t="shared" ref="M53:O54" ca="1" si="0">D55</f>
        <v>2</v>
      </c>
      <c r="N53" s="3456" t="str">
        <f t="shared" si="0"/>
        <v>销售额×税（费）率</v>
      </c>
      <c r="O53" s="2522" t="str">
        <f t="shared" si="0"/>
        <v>免征</v>
      </c>
    </row>
    <row r="54" spans="1:35" ht="12" customHeight="1">
      <c r="A54" s="3468" t="s">
        <v>1356</v>
      </c>
      <c r="B54" s="3663" t="s">
        <v>2285</v>
      </c>
      <c r="C54" s="3664"/>
      <c r="D54" s="1085">
        <f ca="1">C68</f>
        <v>163</v>
      </c>
      <c r="E54" s="327" t="s">
        <v>1357</v>
      </c>
      <c r="F54" s="2550">
        <f>'数据-取费表'!B41</f>
        <v>5.6000000000000001E-2</v>
      </c>
      <c r="G54" s="2551"/>
      <c r="H54" s="2552"/>
      <c r="I54" s="1805"/>
      <c r="J54" s="3456">
        <v>3</v>
      </c>
      <c r="K54" s="3639" t="s">
        <v>1358</v>
      </c>
      <c r="L54" s="3639"/>
      <c r="M54" s="2521">
        <f t="shared" ca="1" si="0"/>
        <v>1733</v>
      </c>
      <c r="N54" s="3456" t="str">
        <f t="shared" si="0"/>
        <v>增值额×税（费）率</v>
      </c>
      <c r="O54" s="2523" t="str">
        <f t="shared" si="0"/>
        <v>免征</v>
      </c>
    </row>
    <row r="55" spans="1:35" ht="24" customHeight="1">
      <c r="A55" s="3699" t="s">
        <v>1359</v>
      </c>
      <c r="B55" s="3677"/>
      <c r="C55" s="3677"/>
      <c r="D55" s="3451">
        <f ca="1">IF(H55="个人住宅",0,ROUND(D45*I55,0))</f>
        <v>2</v>
      </c>
      <c r="E55" s="3466" t="s">
        <v>1360</v>
      </c>
      <c r="F55" s="2550" t="str">
        <f>IF(H55="正常",I55,"免征")</f>
        <v>免征</v>
      </c>
      <c r="G55" s="2551"/>
      <c r="H55" s="2546"/>
      <c r="I55" s="165">
        <f>'数据-取费表'!B49</f>
        <v>5.0000000000000001E-4</v>
      </c>
      <c r="J55" s="3456">
        <f>IF(H59="非个人房产","",4)</f>
        <v>4</v>
      </c>
      <c r="K55" s="3639" t="str">
        <f>IF(H59="非个人房产","——","个人所得税")</f>
        <v>个人所得税</v>
      </c>
      <c r="L55" s="3639"/>
      <c r="M55" s="2524">
        <f ca="1">D59</f>
        <v>29</v>
      </c>
      <c r="N55" s="3457" t="str">
        <f>E59</f>
        <v>差额计税</v>
      </c>
      <c r="O55" s="2525">
        <f>F59</f>
        <v>0.01</v>
      </c>
    </row>
    <row r="56" spans="1:35" ht="24.75">
      <c r="A56" s="3699" t="s">
        <v>1361</v>
      </c>
      <c r="B56" s="3677"/>
      <c r="C56" s="3677"/>
      <c r="D56" s="3451">
        <f ca="1">IF(H56="个人住宅",D57,D58)</f>
        <v>1733</v>
      </c>
      <c r="E56" s="3466" t="s">
        <v>1362</v>
      </c>
      <c r="F56" s="2550" t="str">
        <f>IF(H56="正常",F58,"免征")</f>
        <v>免征</v>
      </c>
      <c r="G56" s="2553" t="s">
        <v>1363</v>
      </c>
      <c r="H56" s="2554"/>
      <c r="I56" s="1806"/>
      <c r="J56" s="3456" t="str">
        <f>IF(项目基本情况!K6="上海银行",IF(J55="",4,J55+1),"")</f>
        <v/>
      </c>
      <c r="K56" s="3620" t="str">
        <f>IF(项目基本情况!K6="上海银行","其他处置费用","")</f>
        <v/>
      </c>
      <c r="L56" s="3621"/>
      <c r="M56" s="2521" t="str">
        <f>IF(项目基本情况!K6="上海银行",M69,"")</f>
        <v/>
      </c>
      <c r="N56" s="3620" t="str">
        <f>IF(项目基本情况!K6="上海银行","包含处置中涉及的律师、诉讼、拍卖、评估等费用","")</f>
        <v/>
      </c>
      <c r="O56" s="3623"/>
    </row>
    <row r="57" spans="1:35" ht="12.75">
      <c r="A57" s="3468" t="s">
        <v>1339</v>
      </c>
      <c r="B57" s="3663" t="s">
        <v>1364</v>
      </c>
      <c r="C57" s="3664"/>
      <c r="D57" s="1588">
        <v>0</v>
      </c>
      <c r="E57" s="324" t="s">
        <v>1341</v>
      </c>
      <c r="F57" s="302"/>
      <c r="G57" s="2551"/>
      <c r="H57" s="2555"/>
      <c r="I57" s="1806"/>
      <c r="J57" s="3639">
        <f>IF(AND(J55="",J56=""),4,IF(项目基本情况!K6="上海银行",'结果表 (2)'!J56+1,'结果表 (2)'!J55+1))</f>
        <v>5</v>
      </c>
      <c r="K57" s="3639" t="s">
        <v>1365</v>
      </c>
      <c r="L57" s="2526" t="s">
        <v>1366</v>
      </c>
      <c r="M57" s="2527"/>
      <c r="N57" s="2528">
        <f ca="1">SUMIF(M52:M56,"&lt;9e307")</f>
        <v>1764</v>
      </c>
      <c r="O57" s="2529"/>
      <c r="P57" s="2686">
        <f ca="1">N57/M49</f>
        <v>0.57628226069911792</v>
      </c>
    </row>
    <row r="58" spans="1:35" ht="24.75">
      <c r="A58" s="3468" t="s">
        <v>1350</v>
      </c>
      <c r="B58" s="3663" t="s">
        <v>1367</v>
      </c>
      <c r="C58" s="3662"/>
      <c r="D58" s="3451">
        <f ca="1">IF(H58="转让取得",C81,C97)</f>
        <v>1733</v>
      </c>
      <c r="E58" s="3466" t="s">
        <v>1362</v>
      </c>
      <c r="F58" s="302" t="s">
        <v>28</v>
      </c>
      <c r="G58" s="2551"/>
      <c r="H58" s="2554"/>
      <c r="I58" s="1806"/>
      <c r="J58" s="3639"/>
      <c r="K58" s="3639"/>
      <c r="L58" s="2526" t="s">
        <v>1368</v>
      </c>
      <c r="M58" s="2530"/>
      <c r="N58" s="2531" t="str">
        <f ca="1">NUMBERSTRING(INT(N57*10000),2)&amp;"元整"</f>
        <v>壹仟柒佰陆拾肆万元整</v>
      </c>
      <c r="O58" s="2532"/>
    </row>
    <row r="59" spans="1:35" ht="24.75" thickBot="1">
      <c r="A59" s="3643" t="s">
        <v>1369</v>
      </c>
      <c r="B59" s="3644"/>
      <c r="C59" s="3644"/>
      <c r="D59" s="2556">
        <f ca="1">IF(H59="非个人房产","——",IF(H59="个人住宅（满五唯一有凭证）",0,IF(H59="个人其他（无凭证）",ROUND(D45*F59,0),ROUND(C67*F59,0))))</f>
        <v>29</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1363</v>
      </c>
      <c r="H59" s="2312"/>
      <c r="I59" s="2311" t="s">
        <v>2134</v>
      </c>
      <c r="J59" s="3641">
        <f>J57+1</f>
        <v>6</v>
      </c>
      <c r="K59" s="3639" t="s">
        <v>1370</v>
      </c>
      <c r="L59" s="3456" t="s">
        <v>1366</v>
      </c>
      <c r="M59" s="2533"/>
      <c r="N59" s="2534">
        <f ca="1">M49-N57</f>
        <v>1297</v>
      </c>
      <c r="O59" s="2535"/>
    </row>
    <row r="60" spans="1:35" ht="12" customHeight="1">
      <c r="A60" s="1807"/>
      <c r="B60" s="1745"/>
      <c r="C60" s="1745"/>
      <c r="D60" s="1745"/>
      <c r="E60" s="1576"/>
      <c r="F60" s="1806"/>
      <c r="G60" s="1806"/>
      <c r="H60" s="1808"/>
      <c r="I60" s="129"/>
      <c r="J60" s="3642"/>
      <c r="K60" s="3639"/>
      <c r="L60" s="2526" t="s">
        <v>1368</v>
      </c>
      <c r="M60" s="2530"/>
      <c r="N60" s="2531" t="str">
        <f ca="1">NUMBERSTRING(INT(N59*10000),2)&amp;"元整"</f>
        <v>壹仟贰佰玖拾柒万元整</v>
      </c>
      <c r="O60" s="2532"/>
    </row>
    <row r="61" spans="1:35" ht="13.5" thickBot="1">
      <c r="A61" s="3698" t="s">
        <v>1371</v>
      </c>
      <c r="B61" s="3698"/>
      <c r="C61" s="3698"/>
      <c r="D61" s="3698"/>
      <c r="E61" s="3698"/>
      <c r="F61" s="1806"/>
      <c r="G61" s="1806"/>
      <c r="H61" s="1808"/>
      <c r="I61" s="129"/>
      <c r="J61" s="3456">
        <f>J59+1</f>
        <v>7</v>
      </c>
      <c r="K61" s="3639" t="s">
        <v>1372</v>
      </c>
      <c r="L61" s="3639"/>
      <c r="M61" s="2536"/>
      <c r="N61" s="2537">
        <f ca="1">ROUND(N59*10000/'数据-汇总表'!E3,0)</f>
        <v>21025</v>
      </c>
      <c r="O61" s="2538"/>
    </row>
    <row r="62" spans="1:35" ht="12.75">
      <c r="A62" s="3658" t="s">
        <v>1373</v>
      </c>
      <c r="B62" s="3659"/>
      <c r="C62" s="3461"/>
      <c r="D62" s="3461" t="s">
        <v>1374</v>
      </c>
      <c r="E62" s="166" t="s">
        <v>1375</v>
      </c>
      <c r="F62" s="1806"/>
      <c r="G62" s="1806"/>
      <c r="H62" s="1808"/>
      <c r="I62" s="129"/>
    </row>
    <row r="63" spans="1:35" ht="12.75">
      <c r="A63" s="173" t="s">
        <v>330</v>
      </c>
      <c r="B63" s="167" t="s">
        <v>1376</v>
      </c>
      <c r="C63" s="2560">
        <f ca="1">ROUND((C64+C65)/(1+'数据-取费表'!C42),0)</f>
        <v>2915</v>
      </c>
      <c r="D63" s="167"/>
      <c r="E63" s="168"/>
      <c r="F63" s="1806"/>
      <c r="G63" s="1806"/>
      <c r="H63" s="1808"/>
      <c r="I63" s="129"/>
      <c r="J63" s="3622" t="s">
        <v>1377</v>
      </c>
      <c r="K63" s="3452" t="s">
        <v>1378</v>
      </c>
      <c r="L63" s="3452">
        <f ca="1">IF(M49&gt;10000,M49*0.5%,IF(AND(M49&gt;1000,M49&lt;=10000),M49*1%,IF(AND(M49&gt;100,M49&lt;=1000),M49*3%,IF(AND(M49&gt;10,M49&lt;=100),M49*5%,M49*8%))))</f>
        <v>30.61</v>
      </c>
      <c r="M63" s="302">
        <f ca="1">ROUND(L63,1)</f>
        <v>30.6</v>
      </c>
      <c r="N63" s="2539"/>
      <c r="Z63" s="1750"/>
      <c r="AI63" s="1751"/>
    </row>
    <row r="64" spans="1:35" ht="14.25" customHeight="1">
      <c r="A64" s="169" t="s">
        <v>325</v>
      </c>
      <c r="B64" s="170" t="s">
        <v>1379</v>
      </c>
      <c r="C64" s="2561">
        <f ca="1">D45</f>
        <v>3061</v>
      </c>
      <c r="D64" s="170" t="s">
        <v>26</v>
      </c>
      <c r="E64" s="172"/>
      <c r="F64" s="1806"/>
      <c r="G64" s="1806"/>
      <c r="H64" s="1808"/>
      <c r="I64" s="129"/>
      <c r="J64" s="3622"/>
      <c r="K64" s="3452" t="s">
        <v>1380</v>
      </c>
      <c r="L64" s="3452">
        <f ca="1">IF(M49&gt;2000,M49*0.5%,IF(AND(M49&gt;1000,M49&lt;=2000),M49*0.6%,IF(AND(M49&gt;500,M49&lt;=1000),M49*0.7%,IF(AND(M49&gt;200,M49&lt;=500),M49*0.8%,IF(AND(M49&gt;100,M49&lt;=200),M49*0.9%,IF(AND(M49&gt;50,M49&lt;=100),M49*1%,IF(AND(M49&gt;20,M49&lt;=50),M49*1.5%,IF(AND(M49&gt;10,M49&lt;=20),M49*2%,IF(AND(M49&gt;1,M49&lt;=10),M49*2.5%)))))))))</f>
        <v>15.305</v>
      </c>
      <c r="M64" s="302">
        <f t="shared" ref="M64:M65" ca="1" si="1">ROUND(L64,1)</f>
        <v>15.3</v>
      </c>
      <c r="N64" s="2540" t="s">
        <v>1381</v>
      </c>
      <c r="Z64" s="1750"/>
      <c r="AI64" s="1751"/>
    </row>
    <row r="65" spans="1:35" ht="14.25" customHeight="1">
      <c r="A65" s="169" t="s">
        <v>326</v>
      </c>
      <c r="B65" s="170" t="s">
        <v>1382</v>
      </c>
      <c r="C65" s="2562"/>
      <c r="D65" s="170"/>
      <c r="E65" s="172"/>
      <c r="F65" s="1806"/>
      <c r="G65" s="1806"/>
      <c r="H65" s="1808"/>
      <c r="I65" s="129"/>
      <c r="J65" s="3622"/>
      <c r="K65" s="3452" t="s">
        <v>1383</v>
      </c>
      <c r="L65" s="3452">
        <f ca="1">IF(M49&gt;1000,M49*0.1%,IF(AND(M49&gt;500,M49&lt;=1000),M49*0.5%,IF(AND(M49&gt;50,M49&lt;=500),M49*1%,IF(AND(M49&gt;1,M49&lt;=50),M49*1.5%))))</f>
        <v>3.0609999999999999</v>
      </c>
      <c r="M65" s="302">
        <f t="shared" ca="1" si="1"/>
        <v>3.1</v>
      </c>
      <c r="N65" s="2540" t="s">
        <v>1381</v>
      </c>
      <c r="Z65" s="1750"/>
      <c r="AI65" s="1751"/>
    </row>
    <row r="66" spans="1:35" ht="14.25" customHeight="1">
      <c r="A66" s="173" t="s">
        <v>327</v>
      </c>
      <c r="B66" s="174" t="s">
        <v>1384</v>
      </c>
      <c r="C66" s="2563"/>
      <c r="D66" s="174" t="s">
        <v>26</v>
      </c>
      <c r="E66" s="1336" t="s">
        <v>669</v>
      </c>
      <c r="F66" s="1806"/>
      <c r="G66" s="1806"/>
      <c r="H66" s="1808"/>
      <c r="I66" s="129"/>
      <c r="J66" s="3622"/>
      <c r="K66" s="3452" t="s">
        <v>1385</v>
      </c>
      <c r="L66" s="3452">
        <f ca="1">M49*0.5%</f>
        <v>15.305</v>
      </c>
      <c r="M66" s="302">
        <f ca="1">IF(L66&gt;0.5,0.5,ROUND(L66,0))</f>
        <v>0.5</v>
      </c>
      <c r="N66" s="2540" t="s">
        <v>1386</v>
      </c>
      <c r="Z66" s="1750"/>
      <c r="AI66" s="1751"/>
    </row>
    <row r="67" spans="1:35" ht="14.25" customHeight="1">
      <c r="A67" s="173" t="s">
        <v>328</v>
      </c>
      <c r="B67" s="174" t="s">
        <v>1387</v>
      </c>
      <c r="C67" s="2564">
        <f ca="1">C63-C66</f>
        <v>2915</v>
      </c>
      <c r="D67" s="170" t="s">
        <v>26</v>
      </c>
      <c r="E67" s="172"/>
      <c r="F67" s="1806"/>
      <c r="G67" s="1806"/>
      <c r="H67" s="1808"/>
      <c r="I67" s="129"/>
      <c r="J67" s="3622"/>
      <c r="K67" s="3452" t="s">
        <v>1388</v>
      </c>
      <c r="L67" s="345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39"/>
      <c r="Z67" s="1750"/>
      <c r="AI67" s="1751"/>
    </row>
    <row r="68" spans="1:35" ht="14.25" customHeight="1" thickBot="1">
      <c r="A68" s="176" t="s">
        <v>329</v>
      </c>
      <c r="B68" s="177" t="s">
        <v>1389</v>
      </c>
      <c r="C68" s="2565">
        <f ca="1">IF(C67&lt;=0,0,ROUND(C67*D68,0))</f>
        <v>163</v>
      </c>
      <c r="D68" s="2566">
        <f>'数据-取费表'!B41</f>
        <v>5.6000000000000001E-2</v>
      </c>
      <c r="E68" s="178"/>
      <c r="F68" s="1806"/>
      <c r="G68" s="1806"/>
      <c r="H68" s="1808"/>
      <c r="I68" s="129"/>
      <c r="J68" s="3622"/>
      <c r="K68" s="3452" t="s">
        <v>1390</v>
      </c>
      <c r="L68" s="3452">
        <f ca="1">IF(M49&gt;10000,M49*0.5%,IF(AND(M49&gt;5000,M49&lt;=10000),M49*1%,IF(AND(M49&gt;1000,M49&lt;=5000),M49*2%,IF(AND(M49&gt;200,M49&lt;=1000),M49*3%,M49*5%))))</f>
        <v>61.22</v>
      </c>
      <c r="M68" s="302">
        <f ca="1">ROUND(L68,1)</f>
        <v>61.2</v>
      </c>
      <c r="N68" s="2539"/>
      <c r="Z68" s="1750"/>
      <c r="AI68" s="1751"/>
    </row>
    <row r="69" spans="1:35" s="1770" customFormat="1" ht="16.5" customHeight="1">
      <c r="A69" s="1809"/>
      <c r="B69" s="1810"/>
      <c r="C69" s="1811"/>
      <c r="D69" s="1812"/>
      <c r="E69" s="1813"/>
      <c r="F69" s="1576"/>
      <c r="G69" s="1576"/>
      <c r="H69" s="1575"/>
      <c r="I69" s="1745"/>
      <c r="J69" s="3622"/>
      <c r="K69" s="3452" t="s">
        <v>1391</v>
      </c>
      <c r="L69" s="3452"/>
      <c r="M69" s="302">
        <f ca="1">ROUND(SUM(M63:M68),0)</f>
        <v>113</v>
      </c>
      <c r="N69" s="2541">
        <f ca="1">M69/M49</f>
        <v>3.6916040509637371E-2</v>
      </c>
      <c r="O69" s="724"/>
      <c r="P69" s="724"/>
      <c r="Q69" s="724"/>
      <c r="R69" s="724"/>
      <c r="S69" s="724"/>
      <c r="T69" s="724"/>
      <c r="U69" s="724"/>
      <c r="V69" s="724"/>
      <c r="W69" s="724"/>
      <c r="X69" s="724"/>
      <c r="Y69" s="724"/>
      <c r="Z69" s="1750"/>
      <c r="AA69" s="1750"/>
      <c r="AB69" s="1750"/>
      <c r="AC69" s="1750"/>
      <c r="AD69" s="1750"/>
      <c r="AE69" s="1750"/>
      <c r="AF69" s="1750"/>
      <c r="AG69" s="1750"/>
      <c r="AH69" s="1750"/>
    </row>
    <row r="70" spans="1:35" s="1815" customFormat="1" ht="15" thickBot="1">
      <c r="A70" s="3666" t="s">
        <v>1392</v>
      </c>
      <c r="B70" s="3667"/>
      <c r="C70" s="3667"/>
      <c r="D70" s="3667"/>
      <c r="E70" s="3667"/>
      <c r="F70" s="3667"/>
      <c r="G70" s="3667"/>
      <c r="H70" s="3667"/>
      <c r="I70" s="1814"/>
      <c r="J70" s="2687"/>
      <c r="K70" s="2687"/>
      <c r="L70" s="2687"/>
      <c r="M70" s="2687"/>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58" t="s">
        <v>1373</v>
      </c>
      <c r="B71" s="3659"/>
      <c r="C71" s="3461"/>
      <c r="D71" s="3461" t="s">
        <v>1374</v>
      </c>
      <c r="E71" s="179" t="s">
        <v>1375</v>
      </c>
      <c r="F71" s="180"/>
      <c r="G71" s="180"/>
      <c r="H71" s="181"/>
      <c r="I71" s="1818"/>
      <c r="J71" s="2687"/>
      <c r="K71" s="2687"/>
      <c r="L71" s="2687"/>
      <c r="M71" s="2687"/>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1393</v>
      </c>
      <c r="C72" s="2564">
        <f ca="1">ROUND(D45/(1+'数据-取费表'!C42),0)</f>
        <v>2915</v>
      </c>
      <c r="D72" s="170" t="s">
        <v>26</v>
      </c>
      <c r="E72" s="3463"/>
      <c r="F72" s="3462"/>
      <c r="G72" s="3462"/>
      <c r="H72" s="182"/>
      <c r="I72" s="1818"/>
      <c r="J72" s="2687"/>
      <c r="K72" s="2687"/>
      <c r="L72" s="2687"/>
      <c r="M72" s="2687"/>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1394</v>
      </c>
      <c r="C73" s="2564">
        <f ca="1">C74+C78</f>
        <v>17</v>
      </c>
      <c r="D73" s="170" t="s">
        <v>26</v>
      </c>
      <c r="E73" s="3463"/>
      <c r="F73" s="3462"/>
      <c r="G73" s="3462"/>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1395</v>
      </c>
      <c r="C74" s="170">
        <f>ROUND(IF(G77="2016年5月1日后购买",C75/(1+'数据-取费表'!C42)+C76+C77,C75+C76+C77),0)</f>
        <v>0</v>
      </c>
      <c r="D74" s="170" t="s">
        <v>26</v>
      </c>
      <c r="E74" s="3463"/>
      <c r="F74" s="3462"/>
      <c r="G74" s="3462"/>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1396</v>
      </c>
      <c r="C75" s="2567"/>
      <c r="D75" s="170" t="s">
        <v>26</v>
      </c>
      <c r="E75" s="184" t="s">
        <v>1397</v>
      </c>
      <c r="F75" s="2568"/>
      <c r="G75" s="184" t="s">
        <v>1398</v>
      </c>
      <c r="H75" s="2569"/>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1399</v>
      </c>
      <c r="C76" s="170">
        <f>IF(F75="购房发票",ROUND(C75*H75*D76,0),0)</f>
        <v>0</v>
      </c>
      <c r="D76" s="2570">
        <v>0.05</v>
      </c>
      <c r="E76" s="3663" t="s">
        <v>1400</v>
      </c>
      <c r="F76" s="3662"/>
      <c r="G76" s="3662"/>
      <c r="H76" s="3665"/>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1401</v>
      </c>
      <c r="C77" s="170">
        <f>ROUND(IF(G77="个人住宅",0,IF(G77="2016年5月1日前购买",C75*D77,C75*D77/(1+'数据-取费表'!C42))),0)</f>
        <v>0</v>
      </c>
      <c r="D77" s="2571">
        <f>'数据-取费表'!B48+'数据-取费表'!B49</f>
        <v>3.0499999999999999E-2</v>
      </c>
      <c r="E77" s="3451" t="s">
        <v>1402</v>
      </c>
      <c r="F77" s="186"/>
      <c r="G77" s="1820"/>
      <c r="H77" s="3464"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1403</v>
      </c>
      <c r="C78" s="2572">
        <f ca="1">ROUND(D45*D78/(1+'数据-取费表'!C42),0)</f>
        <v>17</v>
      </c>
      <c r="D78" s="2573">
        <f>'数据-取费表'!B43</f>
        <v>6.000000000000001E-3</v>
      </c>
      <c r="E78" s="3655" t="s">
        <v>1404</v>
      </c>
      <c r="F78" s="3656"/>
      <c r="G78" s="3656"/>
      <c r="H78" s="3657"/>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1405</v>
      </c>
      <c r="C79" s="2564">
        <f ca="1">C72-C73</f>
        <v>2898</v>
      </c>
      <c r="D79" s="170" t="s">
        <v>26</v>
      </c>
      <c r="E79" s="3463"/>
      <c r="F79" s="3462"/>
      <c r="G79" s="3462"/>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1406</v>
      </c>
      <c r="C80" s="2574">
        <f ca="1">IF(C79&lt;=0,0,C79/C73)</f>
        <v>170.47058823529412</v>
      </c>
      <c r="D80" s="170" t="s">
        <v>26</v>
      </c>
      <c r="E80" s="3451" t="str">
        <f ca="1">IF(C80&gt;=200%,"增值额超过扣除项目金额200%",IF(C80&gt;=100%,"增值额超过扣除项目金额100%，未超过200%",IF(C80&gt;=50%,"增值额超过扣除项目金额50%，未超过100%",IF(C80&lt;50%,"增值额未超过扣除项目金额50%"))))</f>
        <v>增值额超过扣除项目金额200%</v>
      </c>
      <c r="F80" s="3462"/>
      <c r="G80" s="3462"/>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1407</v>
      </c>
      <c r="C81" s="2575">
        <f ca="1">ROUND(IF(C79&lt;=0,0,IF(C80&gt;=200%,C79*60%-C73*35%,IF(C80&gt;=100%,C79*50%-C73*15%,IF(C80&gt;=50%,C79*40%-C73*5%,IF(C80&lt;50%,C79*30%,0))))),0)</f>
        <v>1733</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9"/>
      <c r="B82" s="680"/>
      <c r="C82" s="4"/>
      <c r="D82" s="4"/>
      <c r="E82" s="680"/>
      <c r="F82" s="680"/>
      <c r="G82" s="680"/>
      <c r="H82" s="681"/>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66" t="s">
        <v>1408</v>
      </c>
      <c r="B83" s="3667"/>
      <c r="C83" s="3667"/>
      <c r="D83" s="3667"/>
      <c r="E83" s="3667"/>
      <c r="F83" s="3667"/>
      <c r="G83" s="3667"/>
      <c r="H83" s="3667"/>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58" t="s">
        <v>1373</v>
      </c>
      <c r="B84" s="3659"/>
      <c r="C84" s="3461"/>
      <c r="D84" s="3461" t="s">
        <v>1374</v>
      </c>
      <c r="E84" s="179" t="s">
        <v>1375</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1393</v>
      </c>
      <c r="C85" s="2564">
        <f ca="1">ROUND(D45/(1+'数据-取费表'!C42),0)</f>
        <v>2915</v>
      </c>
      <c r="D85" s="170" t="s">
        <v>26</v>
      </c>
      <c r="E85" s="3463"/>
      <c r="F85" s="3462"/>
      <c r="G85" s="3462"/>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1394</v>
      </c>
      <c r="C86" s="2564">
        <f ca="1">IF(H88="仅含出让金",C87+C90+C91+C92+C93+C94,C87+C91+C92+C93+C94)</f>
        <v>17</v>
      </c>
      <c r="D86" s="2577"/>
      <c r="E86" s="3463"/>
      <c r="F86" s="3462"/>
      <c r="G86" s="3462"/>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1409</v>
      </c>
      <c r="C87" s="2572">
        <f>C88+C89</f>
        <v>0</v>
      </c>
      <c r="D87" s="2573"/>
      <c r="E87" s="3458"/>
      <c r="F87" s="3459"/>
      <c r="G87" s="3459"/>
      <c r="H87" s="3460"/>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1410</v>
      </c>
      <c r="C88" s="2578"/>
      <c r="D88" s="2573"/>
      <c r="E88" s="193" t="s">
        <v>1411</v>
      </c>
      <c r="F88" s="3459"/>
      <c r="G88" s="194" t="s">
        <v>1412</v>
      </c>
      <c r="H88" s="1822"/>
      <c r="I88" s="1819"/>
      <c r="J88" s="2517" t="s">
        <v>2281</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1401</v>
      </c>
      <c r="C89" s="2572">
        <f>ROUND(C88*D89,0)</f>
        <v>0</v>
      </c>
      <c r="D89" s="2573">
        <f>'数据-取费表'!B48+'数据-取费表'!B49</f>
        <v>3.0499999999999999E-2</v>
      </c>
      <c r="E89" s="193" t="s">
        <v>1413</v>
      </c>
      <c r="F89" s="3459"/>
      <c r="G89" s="3459"/>
      <c r="H89" s="3460"/>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1414</v>
      </c>
      <c r="C90" s="2578"/>
      <c r="D90" s="2573"/>
      <c r="E90" s="193" t="str">
        <f>IF(H88="-","土地取得成本中已包含该笔费用"," ")</f>
        <v xml:space="preserve"> </v>
      </c>
      <c r="F90" s="3459"/>
      <c r="G90" s="3624" t="s">
        <v>2126</v>
      </c>
      <c r="H90" s="3625"/>
      <c r="I90" s="1819"/>
      <c r="J90" s="2517" t="s">
        <v>2282</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1415</v>
      </c>
      <c r="B91" s="170" t="s">
        <v>1416</v>
      </c>
      <c r="C91" s="2572">
        <f>IF(H91="——",成本法!C33,I91)</f>
        <v>0</v>
      </c>
      <c r="D91" s="2573"/>
      <c r="E91" s="3655" t="s">
        <v>1417</v>
      </c>
      <c r="F91" s="3656"/>
      <c r="G91" s="3656"/>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1418</v>
      </c>
      <c r="B92" s="170" t="s">
        <v>1419</v>
      </c>
      <c r="C92" s="2572">
        <f>ROUND((C87+C90+C91)*D92,0)</f>
        <v>0</v>
      </c>
      <c r="D92" s="2579"/>
      <c r="E92" s="3655" t="s">
        <v>1420</v>
      </c>
      <c r="F92" s="3656"/>
      <c r="G92" s="3656"/>
      <c r="H92" s="3657"/>
      <c r="I92" s="1819"/>
      <c r="J92" s="2518" t="s">
        <v>2283</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1421</v>
      </c>
      <c r="B93" s="170" t="s">
        <v>1403</v>
      </c>
      <c r="C93" s="2572">
        <f ca="1">ROUND(D45*D93/(1+'数据-取费表'!C42),0)</f>
        <v>17</v>
      </c>
      <c r="D93" s="2573">
        <f>'数据-取费表'!B43</f>
        <v>6.000000000000001E-3</v>
      </c>
      <c r="E93" s="3655" t="s">
        <v>1404</v>
      </c>
      <c r="F93" s="3656"/>
      <c r="G93" s="3656"/>
      <c r="H93" s="3657"/>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1422</v>
      </c>
      <c r="B94" s="170" t="s">
        <v>1423</v>
      </c>
      <c r="C94" s="2578">
        <f>ROUND((C87+C90+C91)*D94,0)</f>
        <v>0</v>
      </c>
      <c r="D94" s="2573">
        <v>0.2</v>
      </c>
      <c r="E94" s="3700" t="s">
        <v>1424</v>
      </c>
      <c r="F94" s="3701"/>
      <c r="G94" s="3701"/>
      <c r="H94" s="3702"/>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1405</v>
      </c>
      <c r="C95" s="2564">
        <f ca="1">ROUND(C85-C86,0)</f>
        <v>2898</v>
      </c>
      <c r="D95" s="170" t="s">
        <v>26</v>
      </c>
      <c r="E95" s="3463"/>
      <c r="F95" s="3462"/>
      <c r="G95" s="3462"/>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1406</v>
      </c>
      <c r="C96" s="2574">
        <f ca="1">IF(C95&lt;=0,0,C95/C86)</f>
        <v>170.47058823529412</v>
      </c>
      <c r="D96" s="170" t="s">
        <v>26</v>
      </c>
      <c r="E96" s="3451" t="str">
        <f ca="1">IF(C96&gt;=200%,"增值额超过扣除项目金额200%",IF(C96&gt;=100%,"增值额超过扣除项目金额100%，未超过200%",IF(C96&gt;=50%,"增值额超过扣除项目金额50%，未超过100%",IF(C96&lt;50%,"增值额未超过扣除项目金额50%"))))</f>
        <v>增值额超过扣除项目金额200%</v>
      </c>
      <c r="F96" s="3462"/>
      <c r="G96" s="3462"/>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1407</v>
      </c>
      <c r="C97" s="2575">
        <f ca="1">ROUND(IF(C95&lt;=0,0,IF(C96&gt;=200%,C95*60%-C86*35%,IF(C96&gt;=100%,C95*50%-C86*15%,IF(C96&gt;=50%,C95*40%-C86*5%,IF(C96&lt;50%,C95*30%,0))))),0)</f>
        <v>1733</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1425</v>
      </c>
      <c r="B99" s="1745"/>
      <c r="C99" s="1745"/>
      <c r="D99" s="1745"/>
      <c r="E99" s="1576"/>
      <c r="F99" s="1576"/>
      <c r="G99" s="1576"/>
      <c r="H99" s="1575"/>
      <c r="I99" s="129"/>
    </row>
    <row r="100" spans="1:35" ht="18.75" customHeight="1">
      <c r="A100" s="3601" t="s">
        <v>1426</v>
      </c>
      <c r="B100" s="3602"/>
      <c r="C100" s="3602"/>
      <c r="D100" s="3640"/>
      <c r="E100" s="3602" t="s">
        <v>1427</v>
      </c>
      <c r="F100" s="3602"/>
      <c r="G100" s="3602"/>
      <c r="H100" s="3640"/>
      <c r="I100" s="129"/>
    </row>
    <row r="101" spans="1:35" ht="18.75" customHeight="1">
      <c r="A101" s="3648" t="s">
        <v>1428</v>
      </c>
      <c r="B101" s="3649"/>
      <c r="C101" s="2581" t="str">
        <f>C4</f>
        <v>比较法-商业</v>
      </c>
      <c r="D101" s="2582" t="str">
        <f>D4</f>
        <v>收益法商</v>
      </c>
      <c r="E101" s="3618" t="s">
        <v>1429</v>
      </c>
      <c r="F101" s="3619"/>
      <c r="G101" s="1825" t="s">
        <v>1430</v>
      </c>
      <c r="H101" s="2591">
        <f ca="1">H118</f>
        <v>3061</v>
      </c>
      <c r="I101" s="129"/>
    </row>
    <row r="102" spans="1:35" ht="18.75" customHeight="1">
      <c r="A102" s="3650" t="s">
        <v>1431</v>
      </c>
      <c r="B102" s="2580" t="s">
        <v>1430</v>
      </c>
      <c r="C102" s="2581">
        <f ca="1">IF(D32="楼面单价",ROUND(C19,0),C19)</f>
        <v>3821</v>
      </c>
      <c r="D102" s="2582">
        <f ca="1">IF(D32="楼面单价",ROUND(D19,0),D19)</f>
        <v>1922</v>
      </c>
      <c r="E102" s="3618"/>
      <c r="F102" s="3619"/>
      <c r="G102" s="1825" t="s">
        <v>1432</v>
      </c>
      <c r="H102" s="2551">
        <f ca="1">I118</f>
        <v>74529</v>
      </c>
      <c r="I102" s="129"/>
    </row>
    <row r="103" spans="1:35" ht="42.75" customHeight="1">
      <c r="A103" s="3650"/>
      <c r="B103" s="2580" t="s">
        <v>1432</v>
      </c>
      <c r="C103" s="2583">
        <f ca="1">C20</f>
        <v>93025</v>
      </c>
      <c r="D103" s="2584">
        <f ca="1">D20</f>
        <v>46786</v>
      </c>
      <c r="E103" s="3611" t="s">
        <v>1433</v>
      </c>
      <c r="F103" s="3612"/>
      <c r="G103" s="1826" t="s">
        <v>1434</v>
      </c>
      <c r="H103" s="2591">
        <f>IF(D36="正常操作",H104+H105+H106,H105+H106)</f>
        <v>0</v>
      </c>
      <c r="I103" s="129"/>
    </row>
    <row r="104" spans="1:35" ht="18.75" customHeight="1">
      <c r="A104" s="3650" t="s">
        <v>1435</v>
      </c>
      <c r="B104" s="2585" t="s">
        <v>1430</v>
      </c>
      <c r="C104" s="2586">
        <f ca="1">H118</f>
        <v>3061</v>
      </c>
      <c r="D104" s="2587"/>
      <c r="E104" s="1672" t="s">
        <v>1436</v>
      </c>
      <c r="F104" s="1664"/>
      <c r="G104" s="1826" t="s">
        <v>1434</v>
      </c>
      <c r="H104" s="2592">
        <f>IF(D36="同一抵押权人同一抵押物续贷",C36&amp;"（续贷，未扣减，详见特别提示）",C36)</f>
        <v>0</v>
      </c>
      <c r="I104" s="129"/>
    </row>
    <row r="105" spans="1:35" ht="18.75" customHeight="1" thickBot="1">
      <c r="A105" s="3660"/>
      <c r="B105" s="2588" t="s">
        <v>1432</v>
      </c>
      <c r="C105" s="2589">
        <f ca="1">I118</f>
        <v>74529</v>
      </c>
      <c r="D105" s="2590"/>
      <c r="E105" s="1672" t="s">
        <v>1437</v>
      </c>
      <c r="F105" s="1664"/>
      <c r="G105" s="1826" t="s">
        <v>1434</v>
      </c>
      <c r="H105" s="2593">
        <f>C37</f>
        <v>0</v>
      </c>
      <c r="I105" s="129"/>
    </row>
    <row r="106" spans="1:35" ht="18.75" customHeight="1">
      <c r="A106" s="1745" t="s">
        <v>1438</v>
      </c>
      <c r="B106" s="1745"/>
      <c r="C106" s="1745"/>
      <c r="D106" s="1745"/>
      <c r="E106" s="1827" t="s">
        <v>1439</v>
      </c>
      <c r="F106" s="1664"/>
      <c r="G106" s="1826" t="s">
        <v>1434</v>
      </c>
      <c r="H106" s="2593">
        <f>C38</f>
        <v>0</v>
      </c>
      <c r="I106" s="129"/>
    </row>
    <row r="107" spans="1:35" ht="18.75" customHeight="1">
      <c r="A107" s="129"/>
      <c r="B107" s="129"/>
      <c r="C107" s="129"/>
      <c r="D107" s="129"/>
      <c r="E107" s="3651" t="str">
        <f>IF(项目基本情况!E8="已注销","——","3.房地产抵押价值")</f>
        <v>3.房地产抵押价值</v>
      </c>
      <c r="F107" s="3619"/>
      <c r="G107" s="1825" t="s">
        <v>1430</v>
      </c>
      <c r="H107" s="2591">
        <f ca="1">IF(E107="——","——",H101-H103)</f>
        <v>3061</v>
      </c>
      <c r="I107" s="129"/>
    </row>
    <row r="108" spans="1:35" ht="18.75" customHeight="1">
      <c r="A108" s="129"/>
      <c r="B108" s="129"/>
      <c r="C108" s="129"/>
      <c r="D108" s="129"/>
      <c r="E108" s="3651"/>
      <c r="F108" s="3619"/>
      <c r="G108" s="1825" t="s">
        <v>1432</v>
      </c>
      <c r="H108" s="2551">
        <f ca="1">IF(H107=H101,H102,ROUND(H107*10000/'数据-汇总表'!E3,0))</f>
        <v>74529</v>
      </c>
      <c r="I108" s="129"/>
    </row>
    <row r="109" spans="1:35" ht="18.75" customHeight="1">
      <c r="A109" s="129"/>
      <c r="B109" s="129"/>
      <c r="C109" s="129"/>
      <c r="D109" s="129"/>
      <c r="E109" s="3651" t="str">
        <f>IF(项目基本情况!E8="已注销及未注销","4.抵押担保权已注销时的房地产抵押价值",IF(项目基本情况!E8="已注销","3.抵押担保权已注销时的房地产抵押价值","——"))</f>
        <v>——</v>
      </c>
      <c r="F109" s="3619"/>
      <c r="G109" s="1825" t="s">
        <v>1430</v>
      </c>
      <c r="H109" s="2594" t="str">
        <f>IF(E109="——","——",H101-H105-H106)</f>
        <v>——</v>
      </c>
      <c r="I109" s="129"/>
    </row>
    <row r="110" spans="1:35" ht="18.75" customHeight="1">
      <c r="A110" s="129"/>
      <c r="B110" s="129"/>
      <c r="C110" s="129"/>
      <c r="D110" s="129"/>
      <c r="E110" s="3651"/>
      <c r="F110" s="3619"/>
      <c r="G110" s="1825" t="s">
        <v>1432</v>
      </c>
      <c r="H110" s="2551" t="str">
        <f>IF(H109="——","——",ROUND(H109*10000/'数据-汇总表'!E3,0))</f>
        <v>——</v>
      </c>
      <c r="I110" s="129"/>
    </row>
    <row r="111" spans="1:35" ht="18.75" customHeight="1">
      <c r="A111" s="129"/>
      <c r="B111" s="129"/>
      <c r="C111" s="129"/>
      <c r="D111" s="129"/>
      <c r="E111" s="3652" t="str">
        <f>IF(项目基本情况!E9="抵押净值",IF(OR(项目基本情况!E8="已注销",项目基本情况!E8="房地产抵押价值"),"4.抵押净值","5.抵押净值"),"——")</f>
        <v>——</v>
      </c>
      <c r="F111" s="3638"/>
      <c r="G111" s="1825" t="s">
        <v>1430</v>
      </c>
      <c r="H111" s="2591" t="str">
        <f>IF(E111="——","——",N59)</f>
        <v>——</v>
      </c>
      <c r="I111" s="129"/>
    </row>
    <row r="112" spans="1:35" ht="18.75" customHeight="1" thickBot="1">
      <c r="A112" s="129"/>
      <c r="B112" s="129"/>
      <c r="C112" s="129"/>
      <c r="D112" s="129"/>
      <c r="E112" s="3653"/>
      <c r="F112" s="3654"/>
      <c r="G112" s="1828" t="s">
        <v>1432</v>
      </c>
      <c r="H112" s="2595" t="str">
        <f>IF(E111="——","——",N61)</f>
        <v>——</v>
      </c>
      <c r="I112" s="129"/>
    </row>
    <row r="113" spans="1:27" ht="18.75" customHeight="1">
      <c r="A113" s="129"/>
      <c r="B113" s="129"/>
      <c r="C113" s="129"/>
      <c r="D113" s="129"/>
      <c r="E113" s="3661" t="s">
        <v>1438</v>
      </c>
      <c r="F113" s="3661"/>
      <c r="G113" s="3661"/>
      <c r="H113" s="3661"/>
      <c r="I113" s="129"/>
    </row>
    <row r="114" spans="1:27" ht="3.75" customHeight="1">
      <c r="A114" s="1745"/>
      <c r="B114" s="1745"/>
      <c r="C114" s="1745"/>
      <c r="D114" s="1745"/>
      <c r="E114" s="1807"/>
      <c r="F114" s="1807"/>
      <c r="G114" s="1807"/>
      <c r="H114" s="1807"/>
      <c r="I114" s="1745"/>
    </row>
    <row r="115" spans="1:27" ht="18.75" customHeight="1">
      <c r="A115" s="3669" t="s">
        <v>1440</v>
      </c>
      <c r="B115" s="3670"/>
      <c r="C115" s="3670"/>
      <c r="D115" s="3670"/>
      <c r="E115" s="3670"/>
      <c r="F115" s="3670"/>
      <c r="G115" s="3670"/>
      <c r="H115" s="3670"/>
      <c r="I115" s="3671"/>
    </row>
    <row r="116" spans="1:27" ht="27" customHeight="1">
      <c r="A116" s="3626" t="s">
        <v>1441</v>
      </c>
      <c r="B116" s="3630" t="s">
        <v>1442</v>
      </c>
      <c r="C116" s="3630" t="s">
        <v>1443</v>
      </c>
      <c r="D116" s="3636" t="s">
        <v>1444</v>
      </c>
      <c r="E116" s="3637"/>
      <c r="F116" s="3668" t="s">
        <v>1445</v>
      </c>
      <c r="G116" s="3668"/>
      <c r="H116" s="3626" t="s">
        <v>1446</v>
      </c>
      <c r="I116" s="3626"/>
    </row>
    <row r="117" spans="1:27" ht="18.75" customHeight="1">
      <c r="A117" s="3626"/>
      <c r="B117" s="3631"/>
      <c r="C117" s="3631"/>
      <c r="D117" s="3454" t="s">
        <v>1447</v>
      </c>
      <c r="E117" s="3454" t="s">
        <v>1448</v>
      </c>
      <c r="F117" s="3454" t="s">
        <v>1447</v>
      </c>
      <c r="G117" s="3454" t="s">
        <v>1449</v>
      </c>
      <c r="H117" s="3454" t="s">
        <v>1447</v>
      </c>
      <c r="I117" s="3454" t="s">
        <v>1449</v>
      </c>
    </row>
    <row r="118" spans="1:27" ht="24.75" customHeight="1">
      <c r="A118" s="2596" t="str">
        <f>项目基本情况!S2</f>
        <v>北京市房地产</v>
      </c>
      <c r="B118" s="3454">
        <f>M18</f>
        <v>410.74</v>
      </c>
      <c r="C118" s="3454">
        <f>M19</f>
        <v>46.29</v>
      </c>
      <c r="D118" s="3454">
        <f ca="1">ROUND(IF(D32="总价",C34,E118*B118/10000),0)</f>
        <v>2731</v>
      </c>
      <c r="E118" s="3454">
        <f ca="1">ROUND(IF(C33="自定义",IF(D32="楼面单价",C34,D118*10000/B118),I118-G118),0)</f>
        <v>66480</v>
      </c>
      <c r="F118" s="3454">
        <f ca="1">ROUND(IF(D32="总价",C35,G118*B118/10000),0)</f>
        <v>331</v>
      </c>
      <c r="G118" s="3454">
        <f ca="1">ROUND(IF(D32="楼面单价",C35,F118*10000/B118),0)</f>
        <v>8049</v>
      </c>
      <c r="H118" s="3454">
        <f ca="1">ROUND(IF(D32="总价",C32,I118*B118/10000),0)</f>
        <v>3061</v>
      </c>
      <c r="I118" s="3454">
        <f ca="1">ROUND(IF(D32="楼面单价",C32,H118*10000/B118),0)</f>
        <v>74529</v>
      </c>
    </row>
    <row r="119" spans="1:27" ht="18.75" customHeight="1">
      <c r="A119" s="3626" t="s">
        <v>1450</v>
      </c>
      <c r="B119" s="3626"/>
      <c r="C119" s="3626"/>
      <c r="D119" s="3632" t="str">
        <f ca="1">NUMBERSTRING(INT(D118*10000),2)&amp;"元整"</f>
        <v>贰仟柒佰叁拾壹万元整</v>
      </c>
      <c r="E119" s="3633"/>
      <c r="F119" s="3632" t="str">
        <f ca="1">NUMBERSTRING(INT(F118*10000),2)&amp;"元整"</f>
        <v>叁佰叁拾壹万元整</v>
      </c>
      <c r="G119" s="3633"/>
      <c r="H119" s="3632" t="str">
        <f ca="1">NUMBERSTRING(INT(H118*10000),2)&amp;"元整"</f>
        <v>叁仟零陆拾壹万元整</v>
      </c>
      <c r="I119" s="3633"/>
    </row>
    <row r="120" spans="1:27" ht="18.75" customHeight="1">
      <c r="A120" s="3627" t="str">
        <f>IF(项目基本情况!B9="房地产市场价值","",MID(E103,3,LEN(E103)-2))</f>
        <v>估价师知悉的法定优先受偿款</v>
      </c>
      <c r="B120" s="3628"/>
      <c r="C120" s="3629"/>
      <c r="D120" s="3627">
        <f>H103</f>
        <v>0</v>
      </c>
      <c r="E120" s="3628"/>
      <c r="F120" s="3628"/>
      <c r="G120" s="3628"/>
      <c r="H120" s="3628"/>
      <c r="I120" s="3629"/>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32" t="s">
        <v>1450</v>
      </c>
      <c r="B121" s="3634"/>
      <c r="C121" s="3633"/>
      <c r="D121" s="3632" t="str">
        <f>IF(D120=0,"零元整",NUMBERSTRING(INT(D120*10000),2)&amp;"元整")</f>
        <v>零元整</v>
      </c>
      <c r="E121" s="3634"/>
      <c r="F121" s="3634"/>
      <c r="G121" s="3634"/>
      <c r="H121" s="3634"/>
      <c r="I121" s="3633"/>
      <c r="AA121" s="724"/>
    </row>
    <row r="122" spans="1:27" ht="18.75" customHeight="1">
      <c r="A122" s="3638" t="str">
        <f>IF(项目基本情况!B9="房地产市场价值","",MID(E107,3,LEN(E107)-2))</f>
        <v>房地产抵押价值</v>
      </c>
      <c r="B122" s="3638"/>
      <c r="C122" s="3638"/>
      <c r="D122" s="3627">
        <f ca="1">H107</f>
        <v>3061</v>
      </c>
      <c r="E122" s="3628"/>
      <c r="F122" s="3628"/>
      <c r="G122" s="3628"/>
      <c r="H122" s="3628"/>
      <c r="I122" s="3629"/>
      <c r="AA122" s="724"/>
    </row>
    <row r="123" spans="1:27" ht="18.75" customHeight="1">
      <c r="A123" s="3626" t="s">
        <v>1450</v>
      </c>
      <c r="B123" s="3626"/>
      <c r="C123" s="3626"/>
      <c r="D123" s="3632" t="str">
        <f ca="1">NUMBERSTRING(INT(D122*10000),2)&amp;"元整"</f>
        <v>叁仟零陆拾壹万元整</v>
      </c>
      <c r="E123" s="3634"/>
      <c r="F123" s="3634"/>
      <c r="G123" s="3634"/>
      <c r="H123" s="3634"/>
      <c r="I123" s="3633"/>
      <c r="AA123" s="724"/>
    </row>
    <row r="124" spans="1:27" ht="18.75" customHeight="1">
      <c r="A124" s="3638" t="str">
        <f>IF(项目基本情况!B9="房地产市场价值","",MID(E109,3,LEN(E109)-2))</f>
        <v/>
      </c>
      <c r="B124" s="3638"/>
      <c r="C124" s="3638"/>
      <c r="D124" s="3627" t="str">
        <f>H109</f>
        <v>——</v>
      </c>
      <c r="E124" s="3628"/>
      <c r="F124" s="3628"/>
      <c r="G124" s="3628"/>
      <c r="H124" s="3628"/>
      <c r="I124" s="3629"/>
      <c r="AA124" s="724"/>
    </row>
    <row r="125" spans="1:27" ht="18.75" customHeight="1">
      <c r="A125" s="3626" t="s">
        <v>1450</v>
      </c>
      <c r="B125" s="3626"/>
      <c r="C125" s="3626"/>
      <c r="D125" s="3632" t="e">
        <f>NUMBERSTRING(INT(D124*10000),2)&amp;"元整"</f>
        <v>#VALUE!</v>
      </c>
      <c r="E125" s="3634"/>
      <c r="F125" s="3634"/>
      <c r="G125" s="3634"/>
      <c r="H125" s="3634"/>
      <c r="I125" s="3633"/>
      <c r="AA125" s="724"/>
    </row>
    <row r="126" spans="1:27" ht="18.75" customHeight="1">
      <c r="A126" s="3638" t="str">
        <f>IF(项目基本情况!B9="房地产市场价值","",MID(E111,3,LEN(E111)-2))</f>
        <v/>
      </c>
      <c r="B126" s="3638"/>
      <c r="C126" s="3638"/>
      <c r="D126" s="3627" t="str">
        <f>H111</f>
        <v>——</v>
      </c>
      <c r="E126" s="3628"/>
      <c r="F126" s="3628"/>
      <c r="G126" s="3628"/>
      <c r="H126" s="3628"/>
      <c r="I126" s="3629"/>
      <c r="AA126" s="724"/>
    </row>
    <row r="127" spans="1:27" ht="18.75" customHeight="1">
      <c r="A127" s="3626" t="s">
        <v>1450</v>
      </c>
      <c r="B127" s="3626"/>
      <c r="C127" s="3626"/>
      <c r="D127" s="3632" t="e">
        <f>NUMBERSTRING(INT(D126*10000),2)&amp;"元整"</f>
        <v>#VALUE!</v>
      </c>
      <c r="E127" s="3634"/>
      <c r="F127" s="3634"/>
      <c r="G127" s="3634"/>
      <c r="H127" s="3634"/>
      <c r="I127" s="3633"/>
      <c r="AA127" s="724"/>
    </row>
    <row r="128" spans="1:27" ht="21.75" customHeight="1">
      <c r="A128" s="3635" t="s">
        <v>1451</v>
      </c>
      <c r="B128" s="3635"/>
      <c r="C128" s="3635"/>
      <c r="D128" s="3635"/>
      <c r="E128" s="3635"/>
      <c r="F128" s="3635"/>
      <c r="G128" s="3635"/>
      <c r="H128" s="3635"/>
      <c r="I128" s="3635"/>
      <c r="AA128" s="724"/>
    </row>
    <row r="129" spans="1:35" ht="21.75" customHeight="1">
      <c r="A129" s="1829" t="s">
        <v>1452</v>
      </c>
      <c r="B129" s="1830"/>
      <c r="C129" s="1831" t="s">
        <v>1453</v>
      </c>
      <c r="D129" s="1832"/>
      <c r="E129" s="1832"/>
      <c r="F129" s="1832"/>
      <c r="G129" s="1832"/>
      <c r="H129" s="1833"/>
      <c r="I129" s="1834"/>
      <c r="AA129" s="724"/>
    </row>
    <row r="130" spans="1:35" ht="21.75" customHeight="1">
      <c r="A130" s="1835">
        <v>1</v>
      </c>
      <c r="B130" s="1836"/>
      <c r="C130" s="1836"/>
      <c r="D130" s="1837"/>
      <c r="E130" s="1837"/>
      <c r="F130" s="1837"/>
      <c r="G130" s="1837"/>
      <c r="H130" s="1838"/>
      <c r="I130" s="1839"/>
      <c r="AA130" s="724"/>
    </row>
    <row r="131" spans="1:35" ht="21.75" customHeight="1">
      <c r="A131" s="1835">
        <v>2</v>
      </c>
      <c r="B131" s="1836"/>
      <c r="C131" s="1836"/>
      <c r="D131" s="1837"/>
      <c r="E131" s="1837"/>
      <c r="F131" s="1837"/>
      <c r="G131" s="1837"/>
      <c r="H131" s="1838"/>
      <c r="I131" s="1839"/>
      <c r="AA131" s="724"/>
    </row>
    <row r="132" spans="1:35" ht="21.75" customHeight="1">
      <c r="A132" s="1835">
        <v>3</v>
      </c>
      <c r="B132" s="1836"/>
      <c r="C132" s="1836"/>
      <c r="D132" s="1837"/>
      <c r="E132" s="1837"/>
      <c r="F132" s="1837"/>
      <c r="G132" s="1837"/>
      <c r="H132" s="1838"/>
      <c r="I132" s="1839"/>
      <c r="AA132" s="724"/>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4"/>
    </row>
    <row r="135" spans="1:35" ht="21.75" customHeight="1">
      <c r="A135" s="724"/>
      <c r="B135" s="724"/>
      <c r="C135" s="724"/>
      <c r="D135" s="724"/>
      <c r="E135" s="724"/>
      <c r="F135" s="1845" t="s">
        <v>1454</v>
      </c>
      <c r="G135" s="1846"/>
      <c r="H135" s="1846"/>
      <c r="I135" s="1847" t="s">
        <v>1455</v>
      </c>
    </row>
    <row r="136" spans="1:35" ht="21.75" customHeight="1">
      <c r="A136" s="724"/>
      <c r="B136" s="1848" t="s">
        <v>1456</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6"/>
      <c r="C138" s="1846"/>
      <c r="D138" s="1846"/>
      <c r="E138" s="1846"/>
      <c r="F138" s="1846"/>
      <c r="G138" s="1846"/>
      <c r="H138" s="1846"/>
      <c r="I138" s="1847" t="s">
        <v>1457</v>
      </c>
    </row>
    <row r="139" spans="1:35" ht="21.75" customHeight="1">
      <c r="A139" s="724"/>
      <c r="B139" s="1848" t="s">
        <v>1458</v>
      </c>
      <c r="C139" s="724"/>
      <c r="D139" s="724"/>
      <c r="E139" s="724"/>
      <c r="F139" s="724"/>
      <c r="G139" s="724"/>
      <c r="H139" s="724"/>
      <c r="I139" s="724"/>
    </row>
    <row r="140" spans="1:35" ht="21.75" customHeight="1">
      <c r="A140" s="724"/>
      <c r="B140" s="1848"/>
      <c r="C140" s="724"/>
      <c r="D140" s="724"/>
      <c r="E140" s="724"/>
      <c r="F140" s="724"/>
      <c r="G140" s="724"/>
      <c r="H140" s="724"/>
      <c r="I140" s="724"/>
    </row>
    <row r="141" spans="1:35" ht="21.75" customHeight="1">
      <c r="A141" s="724"/>
      <c r="B141" s="1846"/>
      <c r="C141" s="1846"/>
      <c r="D141" s="1846"/>
      <c r="E141" s="1846"/>
      <c r="F141" s="1846"/>
      <c r="G141" s="1846"/>
      <c r="H141" s="1846"/>
      <c r="I141" s="1847" t="s">
        <v>1457</v>
      </c>
    </row>
    <row r="142" spans="1:35" ht="21.75" customHeight="1">
      <c r="A142" s="724"/>
      <c r="B142" s="1848"/>
      <c r="C142" s="1849"/>
      <c r="D142" s="1850"/>
      <c r="E142" s="1850"/>
      <c r="F142" s="1739"/>
      <c r="G142" s="724"/>
      <c r="H142" s="724"/>
      <c r="I142" s="724"/>
    </row>
    <row r="143" spans="1:35" s="130" customFormat="1" ht="21.75" customHeight="1">
      <c r="A143" s="724"/>
      <c r="B143" s="1848"/>
      <c r="C143" s="1849"/>
      <c r="D143" s="1850"/>
      <c r="E143" s="1850"/>
      <c r="F143" s="1739"/>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0"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0"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0"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0"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0"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0"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0"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0"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0"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0"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0"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0"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0"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0"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0"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0"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0"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0"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0"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0"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0"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0"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0"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0"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0"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0"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0"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0"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0"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0"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0"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0"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0"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0"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0"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0"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0"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0"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0"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0"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0"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0"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0"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0"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0"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0"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0"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0"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0"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0"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0"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0"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0"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0"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0"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0"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0"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0"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0"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0"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0"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0"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0"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0"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0"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0"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0"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0"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0"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0"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0"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0"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0"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0"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0"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0"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0"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0"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0"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0"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0"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0"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0"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0"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0"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0"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0"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0"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0"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0"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0"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0"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0"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0"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0"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0"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0"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0"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0"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0"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0"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0"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0"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0"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35" priority="10" stopIfTrue="1" operator="equal">
      <formula>25</formula>
    </cfRule>
  </conditionalFormatting>
  <conditionalFormatting sqref="C8:C9">
    <cfRule type="cellIs" dxfId="34" priority="9" stopIfTrue="1" operator="equal">
      <formula>15</formula>
    </cfRule>
  </conditionalFormatting>
  <conditionalFormatting sqref="C14:C16">
    <cfRule type="cellIs" dxfId="33" priority="8" stopIfTrue="1" operator="equal">
      <formula>30</formula>
    </cfRule>
  </conditionalFormatting>
  <conditionalFormatting sqref="D5:D7">
    <cfRule type="cellIs" dxfId="32" priority="7" stopIfTrue="1" operator="equal">
      <formula>25</formula>
    </cfRule>
  </conditionalFormatting>
  <conditionalFormatting sqref="D8:D9">
    <cfRule type="cellIs" dxfId="31" priority="6" stopIfTrue="1" operator="equal">
      <formula>15</formula>
    </cfRule>
  </conditionalFormatting>
  <conditionalFormatting sqref="C10:D13">
    <cfRule type="cellIs" dxfId="30" priority="5" stopIfTrue="1" operator="equal">
      <formula>15</formula>
    </cfRule>
  </conditionalFormatting>
  <conditionalFormatting sqref="D14:D16">
    <cfRule type="cellIs" dxfId="29" priority="4" stopIfTrue="1" operator="equal">
      <formula>30</formula>
    </cfRule>
  </conditionalFormatting>
  <conditionalFormatting sqref="C90">
    <cfRule type="expression" dxfId="28" priority="3" stopIfTrue="1">
      <formula>$H$88&lt;&gt;"仅含出让金"</formula>
    </cfRule>
  </conditionalFormatting>
  <conditionalFormatting sqref="C91">
    <cfRule type="expression" dxfId="27" priority="2" stopIfTrue="1">
      <formula>$H$91="由企业提供"</formula>
    </cfRule>
  </conditionalFormatting>
  <conditionalFormatting sqref="E36">
    <cfRule type="expression" dxfId="26"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1" zoomScale="85" zoomScaleNormal="70" zoomScaleSheetLayoutView="85" workbookViewId="0">
      <selection activeCell="A39" sqref="A39:XFD39"/>
    </sheetView>
  </sheetViews>
  <sheetFormatPr defaultColWidth="9" defaultRowHeight="14.25"/>
  <cols>
    <col min="1" max="1" width="10.5" style="357" customWidth="1"/>
    <col min="2" max="2" width="15.75" style="357" customWidth="1"/>
    <col min="3" max="3" width="21"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876" t="s">
        <v>1764</v>
      </c>
      <c r="C1" s="1236" t="s">
        <v>1660</v>
      </c>
      <c r="D1" s="1223" t="s">
        <v>671</v>
      </c>
      <c r="E1" s="3422" t="s">
        <v>3466</v>
      </c>
      <c r="F1" s="1877" t="s">
        <v>3467</v>
      </c>
      <c r="G1" s="1233" t="s">
        <v>1765</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1460</v>
      </c>
      <c r="B2" s="1162">
        <f>IF(E1="项目模式",IF(C2="——",ROUND(C49*D3/10000,0),ROUND(C49*D3/10000,0)-D2),IF(E1="单套模式",IF(C2="——",ROUND(C49*D3/10000,4),ROUND(C49*D3/10000,4)-D2)))</f>
        <v>3820.9088999999999</v>
      </c>
      <c r="C2" s="1879" t="s">
        <v>43</v>
      </c>
      <c r="D2" s="1113" t="e">
        <f ca="1">IF(E1="项目模式",SUMIF(INDIRECT("'"&amp;F2&amp;"'"&amp;"!A:A"),"承租人权益价值",INDIRECT("'"&amp;F2&amp;"'"&amp;"!c:c")),SUMIF(INDIRECT("'"&amp;F2&amp;"'"&amp;"!A:A"),"承租人权益价值（单套）",INDIRECT("'"&amp;F2&amp;"'"&amp;"!c:c")))</f>
        <v>#REF!</v>
      </c>
      <c r="E2" s="1880" t="s">
        <v>1461</v>
      </c>
      <c r="F2" s="1881"/>
      <c r="G2" s="907"/>
      <c r="H2" s="907"/>
      <c r="I2" s="907"/>
      <c r="J2" s="907"/>
      <c r="K2" s="907"/>
      <c r="L2" s="2730"/>
      <c r="M2" s="2731"/>
      <c r="N2" s="2731"/>
      <c r="O2" s="2731"/>
      <c r="P2" s="1950"/>
      <c r="Q2" s="911"/>
      <c r="R2" s="911"/>
      <c r="S2" s="911"/>
      <c r="T2" s="911"/>
      <c r="U2" s="911"/>
      <c r="V2" s="911"/>
      <c r="W2" s="911"/>
      <c r="X2" s="911"/>
      <c r="Y2" s="911"/>
      <c r="Z2" s="911"/>
      <c r="AA2" s="911"/>
      <c r="AB2" s="911"/>
      <c r="AC2" s="1951"/>
    </row>
    <row r="3" spans="1:29" s="352" customFormat="1" ht="28.5" customHeight="1" thickBot="1">
      <c r="A3" s="203" t="s">
        <v>1462</v>
      </c>
      <c r="B3" s="558">
        <f>IF(C2="——",C49,ROUND(B2*10000/D3,0))</f>
        <v>93025</v>
      </c>
      <c r="C3" s="354" t="s">
        <v>1766</v>
      </c>
      <c r="D3" s="353">
        <f>IF(D1="",'数据-汇总表'!E3,SUMIF('数据-汇总表'!$C19:$C33,D1,'数据-汇总表'!$E19:$E33))</f>
        <v>410.74</v>
      </c>
      <c r="E3" s="1952"/>
      <c r="F3" s="908"/>
      <c r="G3" s="907"/>
      <c r="H3" s="907"/>
      <c r="I3" s="907"/>
      <c r="J3" s="907"/>
      <c r="K3" s="909"/>
      <c r="L3" s="2730"/>
      <c r="M3" s="2731"/>
      <c r="N3" s="2731"/>
      <c r="O3" s="2731"/>
      <c r="P3" s="1950"/>
      <c r="Q3" s="911"/>
      <c r="R3" s="911"/>
      <c r="S3" s="911"/>
      <c r="T3" s="911"/>
      <c r="U3" s="911"/>
      <c r="V3" s="911"/>
      <c r="W3" s="911"/>
      <c r="X3" s="911"/>
      <c r="Y3" s="911"/>
      <c r="Z3" s="911"/>
      <c r="AA3" s="911"/>
      <c r="AB3" s="911"/>
      <c r="AC3" s="1952"/>
    </row>
    <row r="4" spans="1:29" ht="15">
      <c r="A4" s="355" t="s">
        <v>1767</v>
      </c>
      <c r="B4" s="356"/>
      <c r="C4" s="3735" t="s">
        <v>1768</v>
      </c>
      <c r="D4" s="3736"/>
      <c r="E4" s="3737" t="s">
        <v>1769</v>
      </c>
      <c r="F4" s="3738"/>
      <c r="G4" s="3735" t="s">
        <v>1770</v>
      </c>
      <c r="H4" s="3736"/>
      <c r="I4" s="3735" t="s">
        <v>1771</v>
      </c>
      <c r="J4" s="3736"/>
      <c r="K4" s="559" t="s">
        <v>1772</v>
      </c>
      <c r="L4" s="2711"/>
      <c r="M4" s="2712"/>
      <c r="N4" s="2712"/>
      <c r="O4" s="2712"/>
      <c r="P4" s="3790" t="s">
        <v>1773</v>
      </c>
      <c r="Q4" s="3791"/>
      <c r="R4" s="3788" t="s">
        <v>1769</v>
      </c>
      <c r="S4" s="3789"/>
      <c r="T4" s="3788" t="s">
        <v>1770</v>
      </c>
      <c r="U4" s="3789"/>
      <c r="V4" s="3748" t="s">
        <v>1771</v>
      </c>
      <c r="W4" s="3748"/>
      <c r="X4" s="1353"/>
      <c r="Y4" s="3788" t="s">
        <v>1773</v>
      </c>
      <c r="Z4" s="3789"/>
      <c r="AA4" s="3787" t="s">
        <v>1769</v>
      </c>
      <c r="AB4" s="3748" t="s">
        <v>1770</v>
      </c>
      <c r="AC4" s="3787" t="s">
        <v>1771</v>
      </c>
    </row>
    <row r="5" spans="1:29" ht="15">
      <c r="A5" s="358"/>
      <c r="B5" s="359"/>
      <c r="C5" s="3724" t="s">
        <v>1671</v>
      </c>
      <c r="D5" s="3725"/>
      <c r="E5" s="3749" t="s">
        <v>3579</v>
      </c>
      <c r="F5" s="3723"/>
      <c r="G5" s="3728" t="s">
        <v>3580</v>
      </c>
      <c r="H5" s="3725"/>
      <c r="I5" s="3728" t="s">
        <v>3581</v>
      </c>
      <c r="J5" s="3725"/>
      <c r="K5" s="559"/>
      <c r="L5" s="2711"/>
      <c r="M5" s="2712"/>
      <c r="N5" s="2712"/>
      <c r="O5" s="2712"/>
      <c r="P5" s="3792"/>
      <c r="Q5" s="3742"/>
      <c r="R5" s="3720"/>
      <c r="S5" s="3721"/>
      <c r="T5" s="3720"/>
      <c r="U5" s="3721"/>
      <c r="V5" s="3748"/>
      <c r="W5" s="3748"/>
      <c r="X5" s="1353"/>
      <c r="Y5" s="3720"/>
      <c r="Z5" s="3721"/>
      <c r="AA5" s="3714"/>
      <c r="AB5" s="3748"/>
      <c r="AC5" s="3714"/>
    </row>
    <row r="6" spans="1:29" ht="15.75" thickBot="1">
      <c r="A6" s="360"/>
      <c r="B6" s="361"/>
      <c r="C6" s="3726" t="s">
        <v>1675</v>
      </c>
      <c r="D6" s="3727"/>
      <c r="E6" s="3729" t="s">
        <v>1675</v>
      </c>
      <c r="F6" s="3730"/>
      <c r="G6" s="3726" t="s">
        <v>1675</v>
      </c>
      <c r="H6" s="3727"/>
      <c r="I6" s="3726" t="s">
        <v>1675</v>
      </c>
      <c r="J6" s="3727"/>
      <c r="K6" s="559" t="s">
        <v>1676</v>
      </c>
      <c r="L6" s="2711"/>
      <c r="M6" s="2712"/>
      <c r="N6" s="2712"/>
      <c r="O6" s="2712"/>
      <c r="P6" s="3793"/>
      <c r="Q6" s="3744"/>
      <c r="R6" s="3720"/>
      <c r="S6" s="3721"/>
      <c r="T6" s="3745"/>
      <c r="U6" s="3746"/>
      <c r="V6" s="3748"/>
      <c r="W6" s="3748"/>
      <c r="X6" s="1353"/>
      <c r="Y6" s="3745"/>
      <c r="Z6" s="3746"/>
      <c r="AA6" s="3715"/>
      <c r="AB6" s="3748"/>
      <c r="AC6" s="3715"/>
    </row>
    <row r="7" spans="1:29" s="108" customFormat="1" ht="15.75" thickBot="1">
      <c r="A7" s="362" t="s">
        <v>1677</v>
      </c>
      <c r="B7" s="363"/>
      <c r="C7" s="364">
        <f>'数据-取费表'!B2</f>
        <v>45498</v>
      </c>
      <c r="D7" s="365">
        <v>100</v>
      </c>
      <c r="E7" s="366">
        <v>45474</v>
      </c>
      <c r="F7" s="367">
        <f>SUMIF(58:58,YEAR(E7)&amp;"-"&amp;MONTH(E7),59:59)</f>
        <v>100</v>
      </c>
      <c r="G7" s="366">
        <v>45474</v>
      </c>
      <c r="H7" s="365">
        <f>SUMIF(58:58,YEAR(G7)&amp;"-"&amp;MONTH(G7),59:59)</f>
        <v>100</v>
      </c>
      <c r="I7" s="366">
        <v>45474</v>
      </c>
      <c r="J7" s="365">
        <f>SUMIF(58:58,YEAR(I7)&amp;"-"&amp;MONTH(I7),59:59)</f>
        <v>100</v>
      </c>
      <c r="K7" s="560"/>
      <c r="L7" s="2713"/>
      <c r="M7" s="2714"/>
      <c r="N7" s="2714"/>
      <c r="O7" s="2714"/>
      <c r="P7" s="3716" t="s">
        <v>1678</v>
      </c>
      <c r="Q7" s="3751"/>
      <c r="R7" s="700" t="s">
        <v>14</v>
      </c>
      <c r="S7" s="701">
        <f t="shared" ref="S7:S15" si="0">F7</f>
        <v>100</v>
      </c>
      <c r="T7" s="700" t="s">
        <v>14</v>
      </c>
      <c r="U7" s="701">
        <f t="shared" ref="U7:U15" si="1">H7</f>
        <v>100</v>
      </c>
      <c r="V7" s="700" t="s">
        <v>14</v>
      </c>
      <c r="W7" s="701">
        <f t="shared" ref="W7:W15" si="2">J7</f>
        <v>100</v>
      </c>
      <c r="X7" s="702"/>
      <c r="Y7" s="3716" t="s">
        <v>1678</v>
      </c>
      <c r="Z7" s="3717"/>
      <c r="AA7" s="703">
        <f>D7/F7</f>
        <v>1</v>
      </c>
      <c r="AB7" s="703">
        <f>D7/H7</f>
        <v>1</v>
      </c>
      <c r="AC7" s="703">
        <f>D7/J7</f>
        <v>1</v>
      </c>
    </row>
    <row r="8" spans="1:29" s="108" customFormat="1" ht="15.75" thickBot="1">
      <c r="A8" s="362" t="s">
        <v>1679</v>
      </c>
      <c r="B8" s="363"/>
      <c r="C8" s="368" t="s">
        <v>3501</v>
      </c>
      <c r="D8" s="365">
        <v>100</v>
      </c>
      <c r="E8" s="368" t="s">
        <v>3503</v>
      </c>
      <c r="F8" s="367">
        <f>SUMIF(61:61,E8,62:62)-SUMIF(61:61,C8,62:62)+100</f>
        <v>102</v>
      </c>
      <c r="G8" s="368" t="s">
        <v>3503</v>
      </c>
      <c r="H8" s="365">
        <f>SUMIF(61:61,G8,62:62)-SUMIF(61:61,C8,62:62)+100</f>
        <v>102</v>
      </c>
      <c r="I8" s="368" t="s">
        <v>3503</v>
      </c>
      <c r="J8" s="365">
        <f>SUMIF(61:61,I8,62:62)-SUMIF(61:61,C8,62:62)+100</f>
        <v>102</v>
      </c>
      <c r="K8" s="560"/>
      <c r="L8" s="2713"/>
      <c r="M8" s="2714"/>
      <c r="N8" s="2714"/>
      <c r="O8" s="2714"/>
      <c r="P8" s="3716" t="s">
        <v>1681</v>
      </c>
      <c r="Q8" s="3717"/>
      <c r="R8" s="700" t="s">
        <v>14</v>
      </c>
      <c r="S8" s="701">
        <f t="shared" si="0"/>
        <v>102</v>
      </c>
      <c r="T8" s="700" t="s">
        <v>14</v>
      </c>
      <c r="U8" s="701">
        <f t="shared" si="1"/>
        <v>102</v>
      </c>
      <c r="V8" s="700" t="s">
        <v>14</v>
      </c>
      <c r="W8" s="701">
        <f t="shared" si="2"/>
        <v>102</v>
      </c>
      <c r="X8" s="702"/>
      <c r="Y8" s="3716" t="s">
        <v>1681</v>
      </c>
      <c r="Z8" s="3717"/>
      <c r="AA8" s="703">
        <f t="shared" ref="AA8:AA46" si="3">D8/F8</f>
        <v>0.98039215686274506</v>
      </c>
      <c r="AB8" s="703">
        <f t="shared" ref="AB8:AB46" si="4">D8/H8</f>
        <v>0.98039215686274506</v>
      </c>
      <c r="AC8" s="703">
        <f t="shared" ref="AC8:AC46" si="5">D8/J8</f>
        <v>0.98039215686274506</v>
      </c>
    </row>
    <row r="9" spans="1:29" s="108" customFormat="1" ht="15" thickBot="1">
      <c r="A9" s="369" t="s">
        <v>1682</v>
      </c>
      <c r="B9" s="63" t="s">
        <v>1683</v>
      </c>
      <c r="C9" s="3509" t="s">
        <v>3553</v>
      </c>
      <c r="D9" s="126">
        <v>100</v>
      </c>
      <c r="E9" s="371" t="s">
        <v>671</v>
      </c>
      <c r="F9" s="372">
        <f>SUMIF(63:63,E9,64:64)-SUMIF(63:63,C9,64:64)+100</f>
        <v>100</v>
      </c>
      <c r="G9" s="371" t="s">
        <v>671</v>
      </c>
      <c r="H9" s="126">
        <f>SUMIF(63:63,G9,64:64)-SUMIF(63:63,C9,64:64)+100</f>
        <v>100</v>
      </c>
      <c r="I9" s="371" t="s">
        <v>671</v>
      </c>
      <c r="J9" s="126">
        <f>SUMIF(63:63,I9,64:64)-SUMIF(63:63,C9,64:64)+100</f>
        <v>100</v>
      </c>
      <c r="K9" s="560"/>
      <c r="L9" s="2713"/>
      <c r="M9" s="2714"/>
      <c r="N9" s="2714"/>
      <c r="O9" s="2714"/>
      <c r="P9" s="3731" t="s">
        <v>1684</v>
      </c>
      <c r="Q9" s="1341" t="str">
        <f t="shared" ref="Q9:Q15" si="6">B9</f>
        <v>用途</v>
      </c>
      <c r="R9" s="700" t="s">
        <v>14</v>
      </c>
      <c r="S9" s="701">
        <f t="shared" si="0"/>
        <v>100</v>
      </c>
      <c r="T9" s="700" t="s">
        <v>14</v>
      </c>
      <c r="U9" s="701">
        <f t="shared" si="1"/>
        <v>100</v>
      </c>
      <c r="V9" s="700" t="s">
        <v>14</v>
      </c>
      <c r="W9" s="701">
        <f t="shared" si="2"/>
        <v>100</v>
      </c>
      <c r="X9" s="702"/>
      <c r="Y9" s="3681" t="s">
        <v>1685</v>
      </c>
      <c r="Z9" s="52" t="str">
        <f t="shared" ref="Z9:Z15" si="7">Q9</f>
        <v>用途</v>
      </c>
      <c r="AA9" s="703">
        <f t="shared" si="3"/>
        <v>1</v>
      </c>
      <c r="AB9" s="703">
        <f t="shared" si="4"/>
        <v>1</v>
      </c>
      <c r="AC9" s="703">
        <f t="shared" si="5"/>
        <v>1</v>
      </c>
    </row>
    <row r="10" spans="1:29" s="378" customFormat="1" ht="27.75" thickTop="1">
      <c r="A10" s="374"/>
      <c r="B10" s="375" t="s">
        <v>1686</v>
      </c>
      <c r="C10" s="532" t="s">
        <v>3590</v>
      </c>
      <c r="D10" s="127">
        <v>100</v>
      </c>
      <c r="E10" s="532" t="s">
        <v>3591</v>
      </c>
      <c r="F10" s="376">
        <f>SUMIF(65:65,E10,66:66)-SUMIF(65:65,C10,66:66)+100</f>
        <v>99</v>
      </c>
      <c r="G10" s="532" t="s">
        <v>3591</v>
      </c>
      <c r="H10" s="127">
        <f>SUMIF(65:65,G10,66:66)-SUMIF(65:65,C10,66:66)+100</f>
        <v>99</v>
      </c>
      <c r="I10" s="532" t="s">
        <v>3592</v>
      </c>
      <c r="J10" s="127">
        <f>SUMIF(65:65,I10,66:66)-SUMIF(65:65,C10,66:66)+100</f>
        <v>98</v>
      </c>
      <c r="K10" s="560"/>
      <c r="L10" s="2715"/>
      <c r="M10" s="2716"/>
      <c r="N10" s="2716"/>
      <c r="O10" s="2716"/>
      <c r="P10" s="3731"/>
      <c r="Q10" s="1341" t="str">
        <f t="shared" si="6"/>
        <v>土地使用年限（年）</v>
      </c>
      <c r="R10" s="700" t="s">
        <v>14</v>
      </c>
      <c r="S10" s="701">
        <f t="shared" si="0"/>
        <v>99</v>
      </c>
      <c r="T10" s="700" t="s">
        <v>14</v>
      </c>
      <c r="U10" s="701">
        <f t="shared" si="1"/>
        <v>99</v>
      </c>
      <c r="V10" s="700" t="s">
        <v>14</v>
      </c>
      <c r="W10" s="701">
        <f t="shared" si="2"/>
        <v>98</v>
      </c>
      <c r="X10" s="702"/>
      <c r="Y10" s="3681"/>
      <c r="Z10" s="52" t="str">
        <f t="shared" si="7"/>
        <v>土地使用年限（年）</v>
      </c>
      <c r="AA10" s="703">
        <f t="shared" si="3"/>
        <v>1.0101010101010102</v>
      </c>
      <c r="AB10" s="703">
        <f t="shared" si="4"/>
        <v>1.0101010101010102</v>
      </c>
      <c r="AC10" s="703">
        <f t="shared" si="5"/>
        <v>1.0204081632653061</v>
      </c>
    </row>
    <row r="11" spans="1:29" ht="15">
      <c r="A11" s="379"/>
      <c r="B11" s="375" t="s">
        <v>1687</v>
      </c>
      <c r="C11" s="380"/>
      <c r="D11" s="127">
        <v>100</v>
      </c>
      <c r="E11" s="381"/>
      <c r="F11" s="376">
        <f>LOOKUP(E11,68:68,69:69)-LOOKUP(C11,68:68,69:69)+100</f>
        <v>100</v>
      </c>
      <c r="G11" s="381"/>
      <c r="H11" s="127">
        <f>LOOKUP(G11,68:68,69:69)-LOOKUP(C11,68:68,69:69)+100</f>
        <v>100</v>
      </c>
      <c r="I11" s="381"/>
      <c r="J11" s="127">
        <f>LOOKUP(I11,68:68,69:69)-LOOKUP(C11,68:68,69:69)+100</f>
        <v>100</v>
      </c>
      <c r="K11" s="561"/>
      <c r="L11" s="2717"/>
      <c r="M11" s="2712"/>
      <c r="N11" s="2712"/>
      <c r="O11" s="2712"/>
      <c r="P11" s="3731"/>
      <c r="Q11" s="1341" t="str">
        <f t="shared" si="6"/>
        <v>容积率</v>
      </c>
      <c r="R11" s="700" t="s">
        <v>14</v>
      </c>
      <c r="S11" s="701">
        <f t="shared" si="0"/>
        <v>100</v>
      </c>
      <c r="T11" s="700" t="s">
        <v>14</v>
      </c>
      <c r="U11" s="701">
        <f t="shared" si="1"/>
        <v>100</v>
      </c>
      <c r="V11" s="700" t="s">
        <v>14</v>
      </c>
      <c r="W11" s="701">
        <f t="shared" si="2"/>
        <v>100</v>
      </c>
      <c r="X11" s="702"/>
      <c r="Y11" s="3681"/>
      <c r="Z11" s="52" t="str">
        <f t="shared" si="7"/>
        <v>容积率</v>
      </c>
      <c r="AA11" s="703">
        <f t="shared" si="3"/>
        <v>1</v>
      </c>
      <c r="AB11" s="703">
        <f t="shared" si="4"/>
        <v>1</v>
      </c>
      <c r="AC11" s="703">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731"/>
      <c r="Q12" s="1341">
        <f t="shared" si="6"/>
        <v>111</v>
      </c>
      <c r="R12" s="700" t="s">
        <v>14</v>
      </c>
      <c r="S12" s="701">
        <f t="shared" si="0"/>
        <v>100</v>
      </c>
      <c r="T12" s="700" t="s">
        <v>14</v>
      </c>
      <c r="U12" s="701">
        <f t="shared" si="1"/>
        <v>100</v>
      </c>
      <c r="V12" s="700" t="s">
        <v>14</v>
      </c>
      <c r="W12" s="701">
        <f t="shared" si="2"/>
        <v>100</v>
      </c>
      <c r="X12" s="702"/>
      <c r="Y12" s="3681"/>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731"/>
      <c r="Q13" s="1341">
        <f t="shared" si="6"/>
        <v>111</v>
      </c>
      <c r="R13" s="700" t="s">
        <v>14</v>
      </c>
      <c r="S13" s="701">
        <f t="shared" si="0"/>
        <v>100</v>
      </c>
      <c r="T13" s="700" t="s">
        <v>14</v>
      </c>
      <c r="U13" s="701">
        <f t="shared" si="1"/>
        <v>100</v>
      </c>
      <c r="V13" s="700" t="s">
        <v>14</v>
      </c>
      <c r="W13" s="701">
        <f t="shared" si="2"/>
        <v>100</v>
      </c>
      <c r="X13" s="702"/>
      <c r="Y13" s="3681"/>
      <c r="Z13" s="52">
        <f t="shared" si="7"/>
        <v>111</v>
      </c>
      <c r="AA13" s="703">
        <f t="shared" si="3"/>
        <v>1</v>
      </c>
      <c r="AB13" s="703">
        <f t="shared" si="4"/>
        <v>1</v>
      </c>
      <c r="AC13" s="703">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731"/>
      <c r="Q14" s="1341">
        <f t="shared" si="6"/>
        <v>111</v>
      </c>
      <c r="R14" s="700" t="s">
        <v>14</v>
      </c>
      <c r="S14" s="701">
        <f t="shared" si="0"/>
        <v>100</v>
      </c>
      <c r="T14" s="700" t="s">
        <v>14</v>
      </c>
      <c r="U14" s="701">
        <f t="shared" si="1"/>
        <v>100</v>
      </c>
      <c r="V14" s="700" t="s">
        <v>14</v>
      </c>
      <c r="W14" s="701">
        <f t="shared" si="2"/>
        <v>100</v>
      </c>
      <c r="X14" s="702"/>
      <c r="Y14" s="3681"/>
      <c r="Z14" s="52">
        <f t="shared" si="7"/>
        <v>111</v>
      </c>
      <c r="AA14" s="703">
        <f t="shared" si="3"/>
        <v>1</v>
      </c>
      <c r="AB14" s="703">
        <f t="shared" si="4"/>
        <v>1</v>
      </c>
      <c r="AC14" s="703">
        <f t="shared" si="5"/>
        <v>1</v>
      </c>
    </row>
    <row r="15" spans="1:29" ht="71.25">
      <c r="A15" s="391" t="s">
        <v>1688</v>
      </c>
      <c r="B15" s="61" t="s">
        <v>1775</v>
      </c>
      <c r="C15" s="1894" t="str">
        <f>估价对象房地状况!C4</f>
        <v>估价对象位于西直门商圈，周边商业氛围成熟，有凯德MALL、华联购物中心等，人流量较大，商业繁华度较好</v>
      </c>
      <c r="D15" s="392">
        <v>100</v>
      </c>
      <c r="E15" s="393"/>
      <c r="F15" s="394">
        <f>SUMIF(76:76,E16,77:77)-SUMIF(76:76,C16,77:77)+100</f>
        <v>100</v>
      </c>
      <c r="G15" s="393"/>
      <c r="H15" s="392">
        <f>SUMIF(76:76,G16,77:77)-SUMIF(76:76,C16,77:77)+100</f>
        <v>97</v>
      </c>
      <c r="I15" s="393"/>
      <c r="J15" s="392">
        <f>SUMIF(76:76,I16,77:77)-SUMIF(76:76,C16,77:77)+100</f>
        <v>100</v>
      </c>
      <c r="K15" s="563">
        <v>3</v>
      </c>
      <c r="L15" s="2718"/>
      <c r="M15" s="2712"/>
      <c r="N15" s="2712"/>
      <c r="O15" s="2712"/>
      <c r="P15" s="3752" t="s">
        <v>1689</v>
      </c>
      <c r="Q15" s="1350" t="str">
        <f t="shared" si="6"/>
        <v>商业繁华度</v>
      </c>
      <c r="R15" s="704" t="s">
        <v>14</v>
      </c>
      <c r="S15" s="705">
        <f t="shared" si="0"/>
        <v>100</v>
      </c>
      <c r="T15" s="704" t="s">
        <v>14</v>
      </c>
      <c r="U15" s="705">
        <f t="shared" si="1"/>
        <v>97</v>
      </c>
      <c r="V15" s="704" t="s">
        <v>14</v>
      </c>
      <c r="W15" s="705">
        <f t="shared" si="2"/>
        <v>100</v>
      </c>
      <c r="X15" s="1353"/>
      <c r="Y15" s="3754" t="s">
        <v>1689</v>
      </c>
      <c r="Z15" s="1354" t="str">
        <f t="shared" si="7"/>
        <v>商业繁华度</v>
      </c>
      <c r="AA15" s="1351">
        <f t="shared" si="3"/>
        <v>1</v>
      </c>
      <c r="AB15" s="1351">
        <f t="shared" si="4"/>
        <v>1.0309278350515463</v>
      </c>
      <c r="AC15" s="1351">
        <f t="shared" si="5"/>
        <v>1</v>
      </c>
    </row>
    <row r="16" spans="1:29" ht="15">
      <c r="A16" s="379"/>
      <c r="B16" s="397"/>
      <c r="C16" s="398" t="s">
        <v>3511</v>
      </c>
      <c r="D16" s="399"/>
      <c r="E16" s="398" t="s">
        <v>3511</v>
      </c>
      <c r="F16" s="400"/>
      <c r="G16" s="398" t="s">
        <v>3538</v>
      </c>
      <c r="H16" s="401"/>
      <c r="I16" s="398" t="s">
        <v>3511</v>
      </c>
      <c r="J16" s="399"/>
      <c r="K16" s="564"/>
      <c r="L16" s="2718"/>
      <c r="M16" s="2712"/>
      <c r="N16" s="2712"/>
      <c r="O16" s="2712"/>
      <c r="P16" s="3753"/>
      <c r="Q16" s="1350"/>
      <c r="R16" s="704"/>
      <c r="S16" s="705"/>
      <c r="T16" s="704"/>
      <c r="U16" s="705"/>
      <c r="V16" s="704"/>
      <c r="W16" s="705"/>
      <c r="X16" s="1353"/>
      <c r="Y16" s="3755"/>
      <c r="Z16" s="1354"/>
      <c r="AA16" s="1351">
        <v>1</v>
      </c>
      <c r="AB16" s="1351">
        <v>1</v>
      </c>
      <c r="AC16" s="1351">
        <v>1</v>
      </c>
    </row>
    <row r="17" spans="1:29" ht="99.75">
      <c r="A17" s="379"/>
      <c r="B17" s="402" t="s">
        <v>1257</v>
      </c>
      <c r="C17" s="1898" t="str">
        <f>估价对象房地状况!C6</f>
        <v>估价对象周边道路状况较好、有7、16、105等公交线路及地铁2、4号线经过，公共交通通达情况较好、停车便捷程度一般，综合评价交通便捷度较好</v>
      </c>
      <c r="D17" s="401">
        <v>100</v>
      </c>
      <c r="E17" s="403"/>
      <c r="F17" s="404">
        <f>SUMIF(78:78,E18,79:79)-SUMIF(78:78,C18,79:79)+100</f>
        <v>100</v>
      </c>
      <c r="G17" s="403"/>
      <c r="H17" s="406">
        <f>SUMIF(78:78,G18,79:79)-SUMIF(78:78,C18,79:79)+100</f>
        <v>100</v>
      </c>
      <c r="I17" s="403"/>
      <c r="J17" s="406">
        <f>SUMIF(78:78,I18,79:79)-SUMIF(78:78,C18,79:79)+100</f>
        <v>100</v>
      </c>
      <c r="K17" s="563">
        <v>2</v>
      </c>
      <c r="L17" s="2718"/>
      <c r="M17" s="2712"/>
      <c r="N17" s="2712"/>
      <c r="O17" s="2712"/>
      <c r="P17" s="3753"/>
      <c r="Q17" s="1350" t="str">
        <f>B17</f>
        <v>交通便捷度</v>
      </c>
      <c r="R17" s="704" t="s">
        <v>14</v>
      </c>
      <c r="S17" s="705">
        <f>F17</f>
        <v>100</v>
      </c>
      <c r="T17" s="704" t="s">
        <v>14</v>
      </c>
      <c r="U17" s="705">
        <f>H17</f>
        <v>100</v>
      </c>
      <c r="V17" s="704" t="s">
        <v>14</v>
      </c>
      <c r="W17" s="705">
        <f>J17</f>
        <v>100</v>
      </c>
      <c r="X17" s="1353"/>
      <c r="Y17" s="3755"/>
      <c r="Z17" s="1354" t="str">
        <f>Q17</f>
        <v>交通便捷度</v>
      </c>
      <c r="AA17" s="1351">
        <f t="shared" si="3"/>
        <v>1</v>
      </c>
      <c r="AB17" s="1351">
        <f t="shared" si="4"/>
        <v>1</v>
      </c>
      <c r="AC17" s="1351">
        <f t="shared" si="5"/>
        <v>1</v>
      </c>
    </row>
    <row r="18" spans="1:29" ht="15">
      <c r="A18" s="379"/>
      <c r="B18" s="407"/>
      <c r="C18" s="1899" t="s">
        <v>3511</v>
      </c>
      <c r="D18" s="401"/>
      <c r="E18" s="1901" t="s">
        <v>3511</v>
      </c>
      <c r="F18" s="404"/>
      <c r="G18" s="1901" t="s">
        <v>3511</v>
      </c>
      <c r="H18" s="399"/>
      <c r="I18" s="1901" t="s">
        <v>3511</v>
      </c>
      <c r="J18" s="399"/>
      <c r="K18" s="564"/>
      <c r="L18" s="2718"/>
      <c r="M18" s="2712"/>
      <c r="N18" s="2712"/>
      <c r="O18" s="2712"/>
      <c r="P18" s="3753"/>
      <c r="Q18" s="1350"/>
      <c r="R18" s="704"/>
      <c r="S18" s="705"/>
      <c r="T18" s="704"/>
      <c r="U18" s="705"/>
      <c r="V18" s="704"/>
      <c r="W18" s="705"/>
      <c r="X18" s="1353"/>
      <c r="Y18" s="3755"/>
      <c r="Z18" s="1354"/>
      <c r="AA18" s="1351">
        <v>1</v>
      </c>
      <c r="AB18" s="1351">
        <v>1</v>
      </c>
      <c r="AC18" s="1351">
        <v>1</v>
      </c>
    </row>
    <row r="19" spans="1:29" ht="28.5">
      <c r="A19" s="379"/>
      <c r="B19" s="402" t="s">
        <v>1776</v>
      </c>
      <c r="C19" s="1898" t="str">
        <f>估价对象房地状况!C7</f>
        <v>估价对象所在区域公共配套设施齐备情况较好</v>
      </c>
      <c r="D19" s="406">
        <v>100</v>
      </c>
      <c r="E19" s="408"/>
      <c r="F19" s="409">
        <f>SUMIF(80:80,E20,81:81)-SUMIF(80:80,C20,81:81)+100</f>
        <v>100</v>
      </c>
      <c r="G19" s="408"/>
      <c r="H19" s="401">
        <f>SUMIF(80:80,G20,81:81)-SUMIF(80:80,C20,81:81)+100</f>
        <v>100</v>
      </c>
      <c r="I19" s="408"/>
      <c r="J19" s="401">
        <f>SUMIF(80:80,I20,81:81)-SUMIF(80:80,C20,81:81)+100</f>
        <v>100</v>
      </c>
      <c r="K19" s="563">
        <v>2</v>
      </c>
      <c r="L19" s="2718"/>
      <c r="M19" s="2712"/>
      <c r="N19" s="2712"/>
      <c r="O19" s="2712"/>
      <c r="P19" s="3753"/>
      <c r="Q19" s="1350" t="str">
        <f>B19</f>
        <v>公共配套设施</v>
      </c>
      <c r="R19" s="704" t="s">
        <v>14</v>
      </c>
      <c r="S19" s="705">
        <f>F19</f>
        <v>100</v>
      </c>
      <c r="T19" s="704" t="s">
        <v>14</v>
      </c>
      <c r="U19" s="705">
        <f>H19</f>
        <v>100</v>
      </c>
      <c r="V19" s="704" t="s">
        <v>14</v>
      </c>
      <c r="W19" s="705">
        <f>J19</f>
        <v>100</v>
      </c>
      <c r="X19" s="1353"/>
      <c r="Y19" s="3755"/>
      <c r="Z19" s="1354" t="str">
        <f>Q19</f>
        <v>公共配套设施</v>
      </c>
      <c r="AA19" s="1351">
        <f t="shared" si="3"/>
        <v>1</v>
      </c>
      <c r="AB19" s="1351">
        <f t="shared" si="4"/>
        <v>1</v>
      </c>
      <c r="AC19" s="1351">
        <f t="shared" si="5"/>
        <v>1</v>
      </c>
    </row>
    <row r="20" spans="1:29" ht="15">
      <c r="A20" s="379"/>
      <c r="B20" s="407"/>
      <c r="C20" s="398" t="s">
        <v>3511</v>
      </c>
      <c r="D20" s="399"/>
      <c r="E20" s="1896" t="s">
        <v>3511</v>
      </c>
      <c r="F20" s="400"/>
      <c r="G20" s="1896" t="s">
        <v>3511</v>
      </c>
      <c r="H20" s="399"/>
      <c r="I20" s="1896" t="s">
        <v>3511</v>
      </c>
      <c r="J20" s="399"/>
      <c r="K20" s="564"/>
      <c r="L20" s="2718"/>
      <c r="M20" s="2712"/>
      <c r="N20" s="2712"/>
      <c r="O20" s="2712"/>
      <c r="P20" s="3753"/>
      <c r="Q20" s="1350"/>
      <c r="R20" s="704"/>
      <c r="S20" s="705"/>
      <c r="T20" s="704"/>
      <c r="U20" s="705"/>
      <c r="V20" s="704"/>
      <c r="W20" s="705"/>
      <c r="X20" s="1353"/>
      <c r="Y20" s="3755"/>
      <c r="Z20" s="1354"/>
      <c r="AA20" s="1351">
        <v>1</v>
      </c>
      <c r="AB20" s="1351">
        <v>1</v>
      </c>
      <c r="AC20" s="1351">
        <v>1</v>
      </c>
    </row>
    <row r="21" spans="1:29" ht="28.5">
      <c r="A21" s="379"/>
      <c r="B21" s="1129" t="s">
        <v>1777</v>
      </c>
      <c r="C21" s="1898" t="str">
        <f>估价对象房地状况!C8</f>
        <v>估价对象所在区域基础设施水平七通</v>
      </c>
      <c r="D21" s="406">
        <v>100</v>
      </c>
      <c r="E21" s="408"/>
      <c r="F21" s="409">
        <f>SUMIF(82:82,E22,83:83)-SUMIF(82:82,C22,83:83)+100</f>
        <v>100</v>
      </c>
      <c r="G21" s="408"/>
      <c r="H21" s="401">
        <f>SUMIF(82:82,G22,83:83)-SUMIF(82:82,C22,83:83)+100</f>
        <v>100</v>
      </c>
      <c r="I21" s="408"/>
      <c r="J21" s="401">
        <f>SUMIF(82:82,I22,83:83)-SUMIF(82:82,C22,83:83)+100</f>
        <v>100</v>
      </c>
      <c r="K21" s="563">
        <v>1</v>
      </c>
      <c r="L21" s="2718"/>
      <c r="M21" s="2712"/>
      <c r="N21" s="2712"/>
      <c r="O21" s="2712"/>
      <c r="P21" s="3753"/>
      <c r="Q21" s="1350" t="str">
        <f>B21</f>
        <v>基础设施水平</v>
      </c>
      <c r="R21" s="704" t="s">
        <v>14</v>
      </c>
      <c r="S21" s="705">
        <f>F21</f>
        <v>100</v>
      </c>
      <c r="T21" s="704" t="s">
        <v>14</v>
      </c>
      <c r="U21" s="705">
        <f>H21</f>
        <v>100</v>
      </c>
      <c r="V21" s="704" t="s">
        <v>14</v>
      </c>
      <c r="W21" s="705">
        <f>J21</f>
        <v>100</v>
      </c>
      <c r="X21" s="1353"/>
      <c r="Y21" s="3755"/>
      <c r="Z21" s="1354" t="str">
        <f>Q21</f>
        <v>基础设施水平</v>
      </c>
      <c r="AA21" s="1351">
        <f t="shared" ref="AA21" si="8">D21/F21</f>
        <v>1</v>
      </c>
      <c r="AB21" s="1351">
        <f t="shared" ref="AB21" si="9">D21/H21</f>
        <v>1</v>
      </c>
      <c r="AC21" s="1351">
        <f t="shared" ref="AC21" si="10">D21/J21</f>
        <v>1</v>
      </c>
    </row>
    <row r="22" spans="1:29" ht="15">
      <c r="A22" s="379"/>
      <c r="B22" s="1129"/>
      <c r="C22" s="1899" t="s">
        <v>3512</v>
      </c>
      <c r="D22" s="399"/>
      <c r="E22" s="398" t="s">
        <v>3512</v>
      </c>
      <c r="F22" s="400"/>
      <c r="G22" s="398" t="s">
        <v>3512</v>
      </c>
      <c r="H22" s="399"/>
      <c r="I22" s="398" t="s">
        <v>3512</v>
      </c>
      <c r="J22" s="399"/>
      <c r="K22" s="1128"/>
      <c r="L22" s="2718"/>
      <c r="M22" s="2712"/>
      <c r="N22" s="2712"/>
      <c r="O22" s="2712"/>
      <c r="P22" s="3753"/>
      <c r="Q22" s="1350"/>
      <c r="R22" s="704"/>
      <c r="S22" s="705"/>
      <c r="T22" s="704"/>
      <c r="U22" s="705"/>
      <c r="V22" s="704"/>
      <c r="W22" s="705"/>
      <c r="X22" s="1353"/>
      <c r="Y22" s="3755"/>
      <c r="Z22" s="1354"/>
      <c r="AA22" s="1351">
        <v>1</v>
      </c>
      <c r="AB22" s="1351">
        <v>1</v>
      </c>
      <c r="AC22" s="1351">
        <v>1</v>
      </c>
    </row>
    <row r="23" spans="1:29" ht="77.25" customHeight="1">
      <c r="A23" s="379"/>
      <c r="B23" s="402" t="s">
        <v>1259</v>
      </c>
      <c r="C23" s="1953" t="str">
        <f>估价对象房地状况!C9</f>
        <v>区域自然环境：北京动物园、官园公园；人文环境：北京天文馆、北京建筑大学；综合评价环境状况较好</v>
      </c>
      <c r="D23" s="401">
        <v>100</v>
      </c>
      <c r="E23" s="403"/>
      <c r="F23" s="404">
        <f>SUMIF(84:84,E24,85:85)-SUMIF(84:84,C24,85:85)+100</f>
        <v>100</v>
      </c>
      <c r="G23" s="403"/>
      <c r="H23" s="401">
        <f>SUMIF(84:84,G24,85:85)-SUMIF(84:84,C24,85:85)+100</f>
        <v>100</v>
      </c>
      <c r="I23" s="403"/>
      <c r="J23" s="401">
        <f>SUMIF(84:84,I24,85:85)-SUMIF(84:84,C24,85:85)+100</f>
        <v>100</v>
      </c>
      <c r="K23" s="563">
        <v>3</v>
      </c>
      <c r="L23" s="2718"/>
      <c r="M23" s="2712"/>
      <c r="N23" s="2712"/>
      <c r="O23" s="2712"/>
      <c r="P23" s="3753"/>
      <c r="Q23" s="1350" t="str">
        <f>B23</f>
        <v>自然及人文环境</v>
      </c>
      <c r="R23" s="704" t="s">
        <v>14</v>
      </c>
      <c r="S23" s="705">
        <f>F23</f>
        <v>100</v>
      </c>
      <c r="T23" s="704" t="s">
        <v>14</v>
      </c>
      <c r="U23" s="705">
        <f>H23</f>
        <v>100</v>
      </c>
      <c r="V23" s="704" t="s">
        <v>14</v>
      </c>
      <c r="W23" s="705">
        <f>J23</f>
        <v>100</v>
      </c>
      <c r="X23" s="1353"/>
      <c r="Y23" s="3755"/>
      <c r="Z23" s="1354" t="str">
        <f>Q23</f>
        <v>自然及人文环境</v>
      </c>
      <c r="AA23" s="1351">
        <f t="shared" si="3"/>
        <v>1</v>
      </c>
      <c r="AB23" s="1351">
        <f t="shared" si="4"/>
        <v>1</v>
      </c>
      <c r="AC23" s="1351">
        <f t="shared" si="5"/>
        <v>1</v>
      </c>
    </row>
    <row r="24" spans="1:29" ht="15">
      <c r="A24" s="379"/>
      <c r="B24" s="407"/>
      <c r="C24" s="398" t="s">
        <v>3511</v>
      </c>
      <c r="D24" s="399"/>
      <c r="E24" s="1896" t="s">
        <v>3511</v>
      </c>
      <c r="F24" s="400"/>
      <c r="G24" s="1896" t="s">
        <v>3511</v>
      </c>
      <c r="H24" s="399"/>
      <c r="I24" s="1896" t="s">
        <v>3511</v>
      </c>
      <c r="J24" s="399"/>
      <c r="K24" s="564"/>
      <c r="L24" s="2718"/>
      <c r="M24" s="2712"/>
      <c r="N24" s="2712"/>
      <c r="O24" s="2712"/>
      <c r="P24" s="3753"/>
      <c r="Q24" s="1350"/>
      <c r="R24" s="704"/>
      <c r="S24" s="705"/>
      <c r="T24" s="704"/>
      <c r="U24" s="705"/>
      <c r="V24" s="704"/>
      <c r="W24" s="705"/>
      <c r="X24" s="1353"/>
      <c r="Y24" s="3755"/>
      <c r="Z24" s="1354"/>
      <c r="AA24" s="1351">
        <v>1</v>
      </c>
      <c r="AB24" s="1351">
        <v>1</v>
      </c>
      <c r="AC24" s="1351">
        <v>1</v>
      </c>
    </row>
    <row r="25" spans="1:29" ht="15">
      <c r="A25" s="379"/>
      <c r="B25" s="375" t="s">
        <v>1778</v>
      </c>
      <c r="C25" s="565" t="s">
        <v>3554</v>
      </c>
      <c r="D25" s="386">
        <v>100</v>
      </c>
      <c r="E25" s="565" t="s">
        <v>3554</v>
      </c>
      <c r="F25" s="412">
        <f>SUMIF(86:86,E25,87:87)-SUMIF(86:86,C25,87:87)+100</f>
        <v>100</v>
      </c>
      <c r="G25" s="565" t="s">
        <v>3554</v>
      </c>
      <c r="H25" s="386">
        <f>SUMIF(86:86,G25,87:87)-SUMIF(86:86,C25,87:87)+100</f>
        <v>100</v>
      </c>
      <c r="I25" s="565" t="s">
        <v>3554</v>
      </c>
      <c r="J25" s="386">
        <f>SUMIF(86:86,I25,87:87)-SUMIF(86:86,C25,87:87)+100</f>
        <v>100</v>
      </c>
      <c r="K25" s="561">
        <v>3</v>
      </c>
      <c r="L25" s="2718"/>
      <c r="M25" s="2712"/>
      <c r="N25" s="2712"/>
      <c r="O25" s="2712"/>
      <c r="P25" s="3753"/>
      <c r="Q25" s="1350" t="str">
        <f t="shared" ref="Q25:Q46" si="11">B25</f>
        <v>临街状况</v>
      </c>
      <c r="R25" s="704" t="s">
        <v>14</v>
      </c>
      <c r="S25" s="705">
        <f>F25</f>
        <v>100</v>
      </c>
      <c r="T25" s="704" t="s">
        <v>14</v>
      </c>
      <c r="U25" s="705">
        <f>H25</f>
        <v>100</v>
      </c>
      <c r="V25" s="704" t="s">
        <v>14</v>
      </c>
      <c r="W25" s="705">
        <f>J25</f>
        <v>100</v>
      </c>
      <c r="X25" s="1353"/>
      <c r="Y25" s="3755"/>
      <c r="Z25" s="1354" t="str">
        <f>Q25</f>
        <v>临街状况</v>
      </c>
      <c r="AA25" s="1351">
        <f t="shared" si="3"/>
        <v>1</v>
      </c>
      <c r="AB25" s="1351">
        <f t="shared" si="4"/>
        <v>1</v>
      </c>
      <c r="AC25" s="1351">
        <f t="shared" si="5"/>
        <v>1</v>
      </c>
    </row>
    <row r="26" spans="1:29" ht="15">
      <c r="A26" s="379"/>
      <c r="B26" s="1131" t="s">
        <v>1779</v>
      </c>
      <c r="C26" s="3512" t="s">
        <v>3555</v>
      </c>
      <c r="D26" s="386">
        <v>100</v>
      </c>
      <c r="E26" s="3512" t="s">
        <v>3555</v>
      </c>
      <c r="F26" s="412">
        <f>SUMIF(88:88,E26,89:89)-SUMIF(88:88,C26,89:89)+100</f>
        <v>100</v>
      </c>
      <c r="G26" s="3512" t="s">
        <v>3543</v>
      </c>
      <c r="H26" s="386">
        <f>SUMIF(88:88,G26,89:89)-SUMIF(88:88,C26,89:89)+100</f>
        <v>97</v>
      </c>
      <c r="I26" s="3512" t="s">
        <v>3555</v>
      </c>
      <c r="J26" s="386">
        <f>SUMIF(88:88,I26,89:89)-SUMIF(88:88,C26,89:89)+100</f>
        <v>100</v>
      </c>
      <c r="K26" s="562"/>
      <c r="L26" s="2718"/>
      <c r="M26" s="2712"/>
      <c r="N26" s="2712"/>
      <c r="O26" s="2712"/>
      <c r="P26" s="3753"/>
      <c r="Q26" s="1350" t="str">
        <f t="shared" si="11"/>
        <v>平面位置/可视性</v>
      </c>
      <c r="R26" s="704" t="s">
        <v>14</v>
      </c>
      <c r="S26" s="705">
        <f>F26</f>
        <v>100</v>
      </c>
      <c r="T26" s="704" t="s">
        <v>14</v>
      </c>
      <c r="U26" s="705">
        <f>H26</f>
        <v>97</v>
      </c>
      <c r="V26" s="704" t="s">
        <v>14</v>
      </c>
      <c r="W26" s="705">
        <f>J26</f>
        <v>100</v>
      </c>
      <c r="X26" s="1353"/>
      <c r="Y26" s="3755"/>
      <c r="Z26" s="1354" t="str">
        <f>Q26</f>
        <v>平面位置/可视性</v>
      </c>
      <c r="AA26" s="1351">
        <f t="shared" si="3"/>
        <v>1</v>
      </c>
      <c r="AB26" s="1351">
        <f t="shared" si="4"/>
        <v>1.0309278350515463</v>
      </c>
      <c r="AC26" s="1351">
        <f t="shared" si="5"/>
        <v>1</v>
      </c>
    </row>
    <row r="27" spans="1:29" s="108" customFormat="1" ht="15">
      <c r="A27" s="382"/>
      <c r="B27" s="402" t="s">
        <v>1780</v>
      </c>
      <c r="C27" s="1954" t="s">
        <v>3556</v>
      </c>
      <c r="D27" s="413">
        <v>100</v>
      </c>
      <c r="E27" s="1954" t="s">
        <v>3556</v>
      </c>
      <c r="F27" s="415">
        <f>SUMIF(90:90,E27,91:91)-SUMIF(90:90,C27,91:91)+100</f>
        <v>100</v>
      </c>
      <c r="G27" s="1954" t="s">
        <v>3538</v>
      </c>
      <c r="H27" s="413">
        <f>SUMIF(90:90,G27,91:91)-SUMIF(90:90,C27,91:91)+100</f>
        <v>95</v>
      </c>
      <c r="I27" s="1954" t="s">
        <v>3556</v>
      </c>
      <c r="J27" s="413">
        <f>SUMIF(90:90,I27,91:91)-SUMIF(90:90,C27,91:91)+100</f>
        <v>100</v>
      </c>
      <c r="K27" s="561">
        <v>5</v>
      </c>
      <c r="L27" s="2713"/>
      <c r="M27" s="2714"/>
      <c r="N27" s="2714"/>
      <c r="O27" s="2714"/>
      <c r="P27" s="3753"/>
      <c r="Q27" s="1341" t="str">
        <f t="shared" si="11"/>
        <v>人流量</v>
      </c>
      <c r="R27" s="700" t="s">
        <v>14</v>
      </c>
      <c r="S27" s="701">
        <f>F27</f>
        <v>100</v>
      </c>
      <c r="T27" s="700" t="s">
        <v>14</v>
      </c>
      <c r="U27" s="701">
        <f>H27</f>
        <v>95</v>
      </c>
      <c r="V27" s="700" t="s">
        <v>14</v>
      </c>
      <c r="W27" s="701">
        <f>J27</f>
        <v>100</v>
      </c>
      <c r="X27" s="702"/>
      <c r="Y27" s="3755"/>
      <c r="Z27" s="52" t="str">
        <f>Q27</f>
        <v>人流量</v>
      </c>
      <c r="AA27" s="1351">
        <f>D27/F27</f>
        <v>1</v>
      </c>
      <c r="AB27" s="1351">
        <f>D27/H27</f>
        <v>1.0526315789473684</v>
      </c>
      <c r="AC27" s="1351">
        <f>D27/J27</f>
        <v>1</v>
      </c>
    </row>
    <row r="28" spans="1:29" ht="15">
      <c r="A28" s="379"/>
      <c r="B28" s="375" t="s">
        <v>1781</v>
      </c>
      <c r="C28" s="565">
        <v>1</v>
      </c>
      <c r="D28" s="386">
        <v>100</v>
      </c>
      <c r="E28" s="565">
        <v>1</v>
      </c>
      <c r="F28" s="412">
        <f>SUMIF(92:92,E28,93:93)-SUMIF(92:92,C28,93:93)+100</f>
        <v>100</v>
      </c>
      <c r="G28" s="565">
        <v>1</v>
      </c>
      <c r="H28" s="386">
        <f>SUMIF(92:92,G28,93:93)-SUMIF(92:92,C28,93:93)+100</f>
        <v>100</v>
      </c>
      <c r="I28" s="565">
        <v>1</v>
      </c>
      <c r="J28" s="386">
        <f>SUMIF(92:92,I28,93:93)-SUMIF(92:92,C28,93:93)+100</f>
        <v>100</v>
      </c>
      <c r="K28" s="562"/>
      <c r="L28" s="2718"/>
      <c r="M28" s="2712"/>
      <c r="N28" s="2712"/>
      <c r="O28" s="2712"/>
      <c r="P28" s="3753"/>
      <c r="Q28" s="1350" t="str">
        <f t="shared" si="11"/>
        <v>楼层</v>
      </c>
      <c r="R28" s="704" t="s">
        <v>14</v>
      </c>
      <c r="S28" s="705">
        <f t="shared" ref="S28:S46" si="12">F28</f>
        <v>100</v>
      </c>
      <c r="T28" s="704" t="s">
        <v>14</v>
      </c>
      <c r="U28" s="705">
        <f t="shared" ref="U28:U46" si="13">H28</f>
        <v>100</v>
      </c>
      <c r="V28" s="704" t="s">
        <v>14</v>
      </c>
      <c r="W28" s="705">
        <f t="shared" ref="W28:W46" si="14">J28</f>
        <v>100</v>
      </c>
      <c r="X28" s="1353"/>
      <c r="Y28" s="3755"/>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53"/>
      <c r="Q29" s="1350">
        <f t="shared" si="11"/>
        <v>111</v>
      </c>
      <c r="R29" s="704" t="s">
        <v>14</v>
      </c>
      <c r="S29" s="705">
        <f t="shared" si="12"/>
        <v>100</v>
      </c>
      <c r="T29" s="704" t="s">
        <v>14</v>
      </c>
      <c r="U29" s="705">
        <f t="shared" si="13"/>
        <v>100</v>
      </c>
      <c r="V29" s="704" t="s">
        <v>14</v>
      </c>
      <c r="W29" s="705">
        <f t="shared" si="14"/>
        <v>100</v>
      </c>
      <c r="X29" s="1353"/>
      <c r="Y29" s="3755"/>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53"/>
      <c r="Q30" s="1350">
        <f t="shared" si="11"/>
        <v>111</v>
      </c>
      <c r="R30" s="704" t="s">
        <v>14</v>
      </c>
      <c r="S30" s="705">
        <f t="shared" si="12"/>
        <v>100</v>
      </c>
      <c r="T30" s="704" t="s">
        <v>14</v>
      </c>
      <c r="U30" s="705">
        <f t="shared" si="13"/>
        <v>100</v>
      </c>
      <c r="V30" s="704" t="s">
        <v>14</v>
      </c>
      <c r="W30" s="705">
        <f t="shared" si="14"/>
        <v>100</v>
      </c>
      <c r="X30" s="1353"/>
      <c r="Y30" s="3755"/>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53"/>
      <c r="Q31" s="1350">
        <f t="shared" si="11"/>
        <v>111</v>
      </c>
      <c r="R31" s="704" t="s">
        <v>14</v>
      </c>
      <c r="S31" s="705">
        <f t="shared" si="12"/>
        <v>100</v>
      </c>
      <c r="T31" s="704" t="s">
        <v>14</v>
      </c>
      <c r="U31" s="705">
        <f t="shared" si="13"/>
        <v>100</v>
      </c>
      <c r="V31" s="704" t="s">
        <v>14</v>
      </c>
      <c r="W31" s="705">
        <f t="shared" si="14"/>
        <v>100</v>
      </c>
      <c r="X31" s="1353"/>
      <c r="Y31" s="3755"/>
      <c r="Z31" s="1354">
        <f t="shared" si="15"/>
        <v>111</v>
      </c>
      <c r="AA31" s="1351">
        <f t="shared" si="3"/>
        <v>1</v>
      </c>
      <c r="AB31" s="1351">
        <f t="shared" si="4"/>
        <v>1</v>
      </c>
      <c r="AC31" s="1351">
        <f t="shared" si="5"/>
        <v>1</v>
      </c>
    </row>
    <row r="32" spans="1:29" ht="15">
      <c r="A32" s="391" t="s">
        <v>1692</v>
      </c>
      <c r="B32" s="63" t="s">
        <v>1782</v>
      </c>
      <c r="C32" s="1908" t="s">
        <v>3557</v>
      </c>
      <c r="D32" s="418">
        <v>100</v>
      </c>
      <c r="E32" s="1908" t="s">
        <v>3557</v>
      </c>
      <c r="F32" s="412">
        <f>SUMIF(100:100,E32,101:101)-SUMIF(100:100,C32,101:101)+100</f>
        <v>100</v>
      </c>
      <c r="G32" s="1908" t="s">
        <v>3557</v>
      </c>
      <c r="H32" s="386">
        <f>SUMIF(100:100,G32,101:101)-SUMIF(100:100,C32,101:101)+100</f>
        <v>100</v>
      </c>
      <c r="I32" s="1908" t="s">
        <v>3557</v>
      </c>
      <c r="J32" s="418">
        <f>SUMIF(100:100,I32,101:101)-SUMIF(100:100,C32,101:101)+100</f>
        <v>100</v>
      </c>
      <c r="K32" s="561">
        <v>3</v>
      </c>
      <c r="L32" s="2718"/>
      <c r="M32" s="2712"/>
      <c r="N32" s="2712"/>
      <c r="O32" s="2712"/>
      <c r="P32" s="3756" t="s">
        <v>1694</v>
      </c>
      <c r="Q32" s="1350" t="str">
        <f t="shared" si="11"/>
        <v>商业类型</v>
      </c>
      <c r="R32" s="704" t="s">
        <v>14</v>
      </c>
      <c r="S32" s="705">
        <f t="shared" si="12"/>
        <v>100</v>
      </c>
      <c r="T32" s="704" t="s">
        <v>14</v>
      </c>
      <c r="U32" s="705">
        <f t="shared" si="13"/>
        <v>100</v>
      </c>
      <c r="V32" s="704" t="s">
        <v>14</v>
      </c>
      <c r="W32" s="705">
        <f t="shared" si="14"/>
        <v>100</v>
      </c>
      <c r="X32" s="1353"/>
      <c r="Y32" s="3759" t="s">
        <v>1694</v>
      </c>
      <c r="Z32" s="1354" t="str">
        <f t="shared" si="15"/>
        <v>商业类型</v>
      </c>
      <c r="AA32" s="1351">
        <f t="shared" si="3"/>
        <v>1</v>
      </c>
      <c r="AB32" s="1351">
        <f t="shared" si="4"/>
        <v>1</v>
      </c>
      <c r="AC32" s="1351">
        <f t="shared" si="5"/>
        <v>1</v>
      </c>
    </row>
    <row r="33" spans="1:29" s="422" customFormat="1" ht="15">
      <c r="A33" s="419"/>
      <c r="B33" s="375" t="s">
        <v>1695</v>
      </c>
      <c r="C33" s="420">
        <f>[3]分套价值!C5</f>
        <v>410.74</v>
      </c>
      <c r="D33" s="127">
        <v>100</v>
      </c>
      <c r="E33" s="420">
        <v>182.94</v>
      </c>
      <c r="F33" s="376">
        <f>LOOKUP(E33,103:103,104:104)-LOOKUP(C33,103:103,104:104)+100</f>
        <v>102</v>
      </c>
      <c r="G33" s="420">
        <v>235.55</v>
      </c>
      <c r="H33" s="127">
        <f>LOOKUP(G33,103:103,104:104)-LOOKUP(C33,103:103,104:104)+100</f>
        <v>101</v>
      </c>
      <c r="I33" s="420">
        <v>81.23</v>
      </c>
      <c r="J33" s="127">
        <f>LOOKUP(I33,103:103,104:104)-LOOKUP(C33,103:103,104:104)+100</f>
        <v>103</v>
      </c>
      <c r="K33" s="562"/>
      <c r="L33" s="2717"/>
      <c r="M33" s="2719"/>
      <c r="N33" s="2719"/>
      <c r="O33" s="2719"/>
      <c r="P33" s="3757"/>
      <c r="Q33" s="706" t="str">
        <f t="shared" si="11"/>
        <v>项目建筑规模</v>
      </c>
      <c r="R33" s="707" t="s">
        <v>14</v>
      </c>
      <c r="S33" s="708">
        <f t="shared" si="12"/>
        <v>102</v>
      </c>
      <c r="T33" s="707" t="s">
        <v>14</v>
      </c>
      <c r="U33" s="708">
        <f t="shared" si="13"/>
        <v>101</v>
      </c>
      <c r="V33" s="707" t="s">
        <v>14</v>
      </c>
      <c r="W33" s="708">
        <f t="shared" si="14"/>
        <v>103</v>
      </c>
      <c r="X33" s="709"/>
      <c r="Y33" s="3759"/>
      <c r="Z33" s="710" t="str">
        <f t="shared" si="15"/>
        <v>项目建筑规模</v>
      </c>
      <c r="AA33" s="1351">
        <f t="shared" si="3"/>
        <v>0.98039215686274506</v>
      </c>
      <c r="AB33" s="1351">
        <f t="shared" si="4"/>
        <v>0.99009900990099009</v>
      </c>
      <c r="AC33" s="1351">
        <f t="shared" si="5"/>
        <v>0.970873786407767</v>
      </c>
    </row>
    <row r="34" spans="1:29" ht="15">
      <c r="A34" s="423"/>
      <c r="B34" s="375" t="s">
        <v>1696</v>
      </c>
      <c r="C34" s="1910" t="s">
        <v>3461</v>
      </c>
      <c r="D34" s="386">
        <v>100</v>
      </c>
      <c r="E34" s="1910" t="s">
        <v>3461</v>
      </c>
      <c r="F34" s="412">
        <f>SUMIF(105:105,E34,106:106)-SUMIF(105:105,C34,106:106)+100</f>
        <v>100</v>
      </c>
      <c r="G34" s="1910" t="s">
        <v>3461</v>
      </c>
      <c r="H34" s="386">
        <f>SUMIF(105:105,G34,106:106)-SUMIF(105:105,C34,106:106)+100</f>
        <v>100</v>
      </c>
      <c r="I34" s="1910" t="s">
        <v>3461</v>
      </c>
      <c r="J34" s="386">
        <f>SUMIF(105:105,I34,106:106)-SUMIF(105:105,C34,106:106)+100</f>
        <v>100</v>
      </c>
      <c r="K34" s="561">
        <v>2</v>
      </c>
      <c r="L34" s="2718"/>
      <c r="M34" s="2712"/>
      <c r="N34" s="2712"/>
      <c r="O34" s="2712"/>
      <c r="P34" s="3757"/>
      <c r="Q34" s="1350" t="str">
        <f t="shared" si="11"/>
        <v>建筑结构</v>
      </c>
      <c r="R34" s="704" t="s">
        <v>14</v>
      </c>
      <c r="S34" s="705">
        <f t="shared" si="12"/>
        <v>100</v>
      </c>
      <c r="T34" s="704" t="s">
        <v>14</v>
      </c>
      <c r="U34" s="705">
        <f t="shared" si="13"/>
        <v>100</v>
      </c>
      <c r="V34" s="704" t="s">
        <v>14</v>
      </c>
      <c r="W34" s="705">
        <f t="shared" si="14"/>
        <v>100</v>
      </c>
      <c r="X34" s="1353"/>
      <c r="Y34" s="3759"/>
      <c r="Z34" s="1354" t="str">
        <f t="shared" si="15"/>
        <v>建筑结构</v>
      </c>
      <c r="AA34" s="1351">
        <f t="shared" si="3"/>
        <v>1</v>
      </c>
      <c r="AB34" s="1351">
        <f t="shared" si="4"/>
        <v>1</v>
      </c>
      <c r="AC34" s="1351">
        <f t="shared" si="5"/>
        <v>1</v>
      </c>
    </row>
    <row r="35" spans="1:29" ht="15">
      <c r="A35" s="423"/>
      <c r="B35" s="375" t="s">
        <v>1783</v>
      </c>
      <c r="C35" s="1904" t="s">
        <v>3517</v>
      </c>
      <c r="D35" s="386">
        <v>100</v>
      </c>
      <c r="E35" s="1904" t="s">
        <v>3517</v>
      </c>
      <c r="F35" s="412">
        <f>SUMIF(107:107,E35,108:108)-SUMIF(107:107,C35,108:108)+100</f>
        <v>100</v>
      </c>
      <c r="G35" s="1904" t="s">
        <v>3517</v>
      </c>
      <c r="H35" s="386">
        <f>SUMIF(107:107,G35,108:108)-SUMIF(107:107,C35,108:108)+100</f>
        <v>100</v>
      </c>
      <c r="I35" s="1904" t="s">
        <v>3517</v>
      </c>
      <c r="J35" s="386">
        <f>SUMIF(107:107,I35,108:108)-SUMIF(107:107,C35,108:108)+100</f>
        <v>100</v>
      </c>
      <c r="K35" s="561">
        <v>2</v>
      </c>
      <c r="L35" s="2718"/>
      <c r="M35" s="2712"/>
      <c r="N35" s="2712"/>
      <c r="O35" s="2712"/>
      <c r="P35" s="3757"/>
      <c r="Q35" s="1350" t="str">
        <f t="shared" si="11"/>
        <v>公共部分装修</v>
      </c>
      <c r="R35" s="704" t="s">
        <v>14</v>
      </c>
      <c r="S35" s="705">
        <f t="shared" si="12"/>
        <v>100</v>
      </c>
      <c r="T35" s="704" t="s">
        <v>14</v>
      </c>
      <c r="U35" s="705">
        <f t="shared" si="13"/>
        <v>100</v>
      </c>
      <c r="V35" s="704" t="s">
        <v>14</v>
      </c>
      <c r="W35" s="705">
        <f t="shared" si="14"/>
        <v>100</v>
      </c>
      <c r="X35" s="1353"/>
      <c r="Y35" s="3759"/>
      <c r="Z35" s="1354" t="str">
        <f t="shared" si="15"/>
        <v>公共部分装修</v>
      </c>
      <c r="AA35" s="1351">
        <f t="shared" si="3"/>
        <v>1</v>
      </c>
      <c r="AB35" s="1351">
        <f t="shared" si="4"/>
        <v>1</v>
      </c>
      <c r="AC35" s="1351">
        <f t="shared" si="5"/>
        <v>1</v>
      </c>
    </row>
    <row r="36" spans="1:29" ht="15">
      <c r="A36" s="423"/>
      <c r="B36" s="375" t="s">
        <v>1784</v>
      </c>
      <c r="C36" s="425">
        <f>取值过程!H16</f>
        <v>0.78</v>
      </c>
      <c r="D36" s="386">
        <v>100</v>
      </c>
      <c r="E36" s="730">
        <f>ROUND(1-(2024-2004)/60,2)</f>
        <v>0.67</v>
      </c>
      <c r="F36" s="412">
        <f>LOOKUP(E36,110:110,111:111)-LOOKUP(C36,110:110,111:111)+100</f>
        <v>97</v>
      </c>
      <c r="G36" s="730">
        <f>ROUND(1-(2024-2007)/60,2)</f>
        <v>0.72</v>
      </c>
      <c r="H36" s="412">
        <f>LOOKUP(G36,110:110,111:111)-LOOKUP(C36,110:110,111:111)+100</f>
        <v>100</v>
      </c>
      <c r="I36" s="730">
        <f>ROUND(1-(2024-2001)/60,2)</f>
        <v>0.62</v>
      </c>
      <c r="J36" s="386">
        <f>LOOKUP(I36,110:110,111:111)-LOOKUP(C36,110:110,111:111)+100</f>
        <v>97</v>
      </c>
      <c r="K36" s="561">
        <v>3</v>
      </c>
      <c r="L36" s="2718"/>
      <c r="M36" s="2712"/>
      <c r="N36" s="2712"/>
      <c r="O36" s="2712"/>
      <c r="P36" s="3757"/>
      <c r="Q36" s="1350" t="str">
        <f t="shared" si="11"/>
        <v>成新度</v>
      </c>
      <c r="R36" s="704" t="s">
        <v>14</v>
      </c>
      <c r="S36" s="705">
        <f t="shared" si="12"/>
        <v>97</v>
      </c>
      <c r="T36" s="704" t="s">
        <v>14</v>
      </c>
      <c r="U36" s="705">
        <f t="shared" si="13"/>
        <v>100</v>
      </c>
      <c r="V36" s="704" t="s">
        <v>14</v>
      </c>
      <c r="W36" s="705">
        <f t="shared" si="14"/>
        <v>97</v>
      </c>
      <c r="X36" s="1353"/>
      <c r="Y36" s="3759"/>
      <c r="Z36" s="1354" t="str">
        <f t="shared" si="15"/>
        <v>成新度</v>
      </c>
      <c r="AA36" s="1351">
        <f t="shared" si="3"/>
        <v>1.0309278350515463</v>
      </c>
      <c r="AB36" s="1351">
        <f t="shared" si="4"/>
        <v>1</v>
      </c>
      <c r="AC36" s="1351">
        <f t="shared" si="5"/>
        <v>1.0309278350515463</v>
      </c>
    </row>
    <row r="37" spans="1:29" s="108" customFormat="1" ht="15">
      <c r="A37" s="424"/>
      <c r="B37" s="375" t="s">
        <v>1785</v>
      </c>
      <c r="C37" s="411" t="s">
        <v>3558</v>
      </c>
      <c r="D37" s="127">
        <v>100</v>
      </c>
      <c r="E37" s="411" t="s">
        <v>3558</v>
      </c>
      <c r="F37" s="412">
        <f>SUMIF(112:112,E37,113:113)-SUMIF(112:112,C37,113:113)+100</f>
        <v>100</v>
      </c>
      <c r="G37" s="411" t="s">
        <v>3558</v>
      </c>
      <c r="H37" s="386">
        <f>SUMIF(112:112,G37,113:113)-SUMIF(112:112,C37,113:113)+100</f>
        <v>100</v>
      </c>
      <c r="I37" s="411" t="s">
        <v>3558</v>
      </c>
      <c r="J37" s="386">
        <f>SUMIF(112:112,I37,113:113)-SUMIF(112:112,C37,113:113)+100</f>
        <v>100</v>
      </c>
      <c r="K37" s="561">
        <v>1</v>
      </c>
      <c r="L37" s="2713"/>
      <c r="M37" s="2714"/>
      <c r="N37" s="2714"/>
      <c r="O37" s="2714"/>
      <c r="P37" s="3757"/>
      <c r="Q37" s="1341" t="str">
        <f t="shared" si="11"/>
        <v>市政基础设施</v>
      </c>
      <c r="R37" s="700" t="s">
        <v>14</v>
      </c>
      <c r="S37" s="701">
        <f t="shared" si="12"/>
        <v>100</v>
      </c>
      <c r="T37" s="700" t="s">
        <v>14</v>
      </c>
      <c r="U37" s="701">
        <f t="shared" si="13"/>
        <v>100</v>
      </c>
      <c r="V37" s="700" t="s">
        <v>14</v>
      </c>
      <c r="W37" s="701">
        <f t="shared" si="14"/>
        <v>100</v>
      </c>
      <c r="X37" s="702"/>
      <c r="Y37" s="3759"/>
      <c r="Z37" s="52" t="str">
        <f t="shared" si="15"/>
        <v>市政基础设施</v>
      </c>
      <c r="AA37" s="703">
        <f t="shared" si="3"/>
        <v>1</v>
      </c>
      <c r="AB37" s="703">
        <f t="shared" si="4"/>
        <v>1</v>
      </c>
      <c r="AC37" s="703">
        <f t="shared" si="5"/>
        <v>1</v>
      </c>
    </row>
    <row r="38" spans="1:29" ht="15">
      <c r="A38" s="423"/>
      <c r="B38" s="375" t="s">
        <v>1786</v>
      </c>
      <c r="C38" s="1904" t="s">
        <v>3559</v>
      </c>
      <c r="D38" s="386">
        <v>100</v>
      </c>
      <c r="E38" s="1904" t="s">
        <v>3559</v>
      </c>
      <c r="F38" s="412">
        <f>SUMIF(114:114,E38,115:115)-SUMIF(114:114,C38,115:115)+100</f>
        <v>100</v>
      </c>
      <c r="G38" s="1904" t="s">
        <v>3559</v>
      </c>
      <c r="H38" s="386">
        <f>SUMIF(114:114,G38,115:115)-SUMIF(114:114,C38,115:115)+100</f>
        <v>100</v>
      </c>
      <c r="I38" s="1904" t="s">
        <v>3559</v>
      </c>
      <c r="J38" s="386">
        <f>SUMIF(114:114,I38,115:115)-SUMIF(114:114,C38,115:115)+100</f>
        <v>100</v>
      </c>
      <c r="K38" s="561">
        <v>3</v>
      </c>
      <c r="L38" s="2718"/>
      <c r="M38" s="2712"/>
      <c r="N38" s="2712"/>
      <c r="O38" s="2712"/>
      <c r="P38" s="3757" t="s">
        <v>1694</v>
      </c>
      <c r="Q38" s="1350" t="str">
        <f t="shared" si="11"/>
        <v>业态</v>
      </c>
      <c r="R38" s="704" t="s">
        <v>14</v>
      </c>
      <c r="S38" s="705">
        <f t="shared" si="12"/>
        <v>100</v>
      </c>
      <c r="T38" s="704" t="s">
        <v>14</v>
      </c>
      <c r="U38" s="705">
        <f t="shared" si="13"/>
        <v>100</v>
      </c>
      <c r="V38" s="704" t="s">
        <v>14</v>
      </c>
      <c r="W38" s="705">
        <f t="shared" si="14"/>
        <v>100</v>
      </c>
      <c r="X38" s="1353"/>
      <c r="Y38" s="3759" t="s">
        <v>1694</v>
      </c>
      <c r="Z38" s="1354" t="str">
        <f t="shared" si="15"/>
        <v>业态</v>
      </c>
      <c r="AA38" s="1351">
        <f t="shared" si="3"/>
        <v>1</v>
      </c>
      <c r="AB38" s="1351">
        <f t="shared" si="4"/>
        <v>1</v>
      </c>
      <c r="AC38" s="1351">
        <f t="shared" si="5"/>
        <v>1</v>
      </c>
    </row>
    <row r="39" spans="1:29" ht="15">
      <c r="A39" s="423"/>
      <c r="B39" s="375" t="s">
        <v>1787</v>
      </c>
      <c r="C39" s="1904" t="s">
        <v>3560</v>
      </c>
      <c r="D39" s="386">
        <v>100</v>
      </c>
      <c r="E39" s="1904" t="s">
        <v>3520</v>
      </c>
      <c r="F39" s="412">
        <f>SUMIF(116:116,E39,117:117)-SUMIF(116:116,C39,117:117)+100</f>
        <v>95</v>
      </c>
      <c r="G39" s="1904" t="s">
        <v>3520</v>
      </c>
      <c r="H39" s="386">
        <f>SUMIF(116:116,G39,117:117)-SUMIF(116:116,C39,117:117)+100</f>
        <v>95</v>
      </c>
      <c r="I39" s="1904" t="s">
        <v>3520</v>
      </c>
      <c r="J39" s="386">
        <f>SUMIF(116:116,I39,117:117)-SUMIF(116:116,C39,117:117)+100</f>
        <v>95</v>
      </c>
      <c r="K39" s="561">
        <v>5</v>
      </c>
      <c r="L39" s="2718"/>
      <c r="M39" s="2712"/>
      <c r="N39" s="2712"/>
      <c r="O39" s="2712"/>
      <c r="P39" s="3757"/>
      <c r="Q39" s="1350" t="str">
        <f t="shared" si="11"/>
        <v>层高</v>
      </c>
      <c r="R39" s="704" t="s">
        <v>14</v>
      </c>
      <c r="S39" s="705">
        <f t="shared" si="12"/>
        <v>95</v>
      </c>
      <c r="T39" s="704" t="s">
        <v>14</v>
      </c>
      <c r="U39" s="705">
        <f t="shared" si="13"/>
        <v>95</v>
      </c>
      <c r="V39" s="704" t="s">
        <v>14</v>
      </c>
      <c r="W39" s="705">
        <f t="shared" si="14"/>
        <v>95</v>
      </c>
      <c r="X39" s="1353"/>
      <c r="Y39" s="3759"/>
      <c r="Z39" s="1354" t="str">
        <f t="shared" si="15"/>
        <v>层高</v>
      </c>
      <c r="AA39" s="1351">
        <f t="shared" si="3"/>
        <v>1.0526315789473684</v>
      </c>
      <c r="AB39" s="1351">
        <f t="shared" si="4"/>
        <v>1.0526315789473684</v>
      </c>
      <c r="AC39" s="1351">
        <f t="shared" si="5"/>
        <v>1.0526315789473684</v>
      </c>
    </row>
    <row r="40" spans="1:29" ht="15">
      <c r="A40" s="423"/>
      <c r="B40" s="375" t="s">
        <v>1788</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18"/>
      <c r="M40" s="2712"/>
      <c r="N40" s="2712"/>
      <c r="O40" s="2712"/>
      <c r="P40" s="3757"/>
      <c r="Q40" s="1350" t="str">
        <f t="shared" si="11"/>
        <v>单套建筑面积</v>
      </c>
      <c r="R40" s="704" t="s">
        <v>14</v>
      </c>
      <c r="S40" s="705">
        <f t="shared" si="12"/>
        <v>100</v>
      </c>
      <c r="T40" s="704" t="s">
        <v>14</v>
      </c>
      <c r="U40" s="705">
        <f t="shared" si="13"/>
        <v>100</v>
      </c>
      <c r="V40" s="704" t="s">
        <v>14</v>
      </c>
      <c r="W40" s="705">
        <f t="shared" si="14"/>
        <v>100</v>
      </c>
      <c r="X40" s="1353"/>
      <c r="Y40" s="3759"/>
      <c r="Z40" s="1354" t="str">
        <f t="shared" si="15"/>
        <v>单套建筑面积</v>
      </c>
      <c r="AA40" s="1351">
        <f t="shared" si="3"/>
        <v>1</v>
      </c>
      <c r="AB40" s="1351">
        <f t="shared" si="4"/>
        <v>1</v>
      </c>
      <c r="AC40" s="1351">
        <f t="shared" si="5"/>
        <v>1</v>
      </c>
    </row>
    <row r="41" spans="1:29" s="422" customFormat="1" ht="15">
      <c r="A41" s="419"/>
      <c r="B41" s="1352"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57"/>
      <c r="Q41" s="706" t="str">
        <f t="shared" si="11"/>
        <v>进深比</v>
      </c>
      <c r="R41" s="707" t="s">
        <v>14</v>
      </c>
      <c r="S41" s="708">
        <f t="shared" si="12"/>
        <v>100</v>
      </c>
      <c r="T41" s="707" t="s">
        <v>14</v>
      </c>
      <c r="U41" s="708">
        <f t="shared" si="13"/>
        <v>100</v>
      </c>
      <c r="V41" s="707" t="s">
        <v>14</v>
      </c>
      <c r="W41" s="708">
        <f t="shared" si="14"/>
        <v>100</v>
      </c>
      <c r="X41" s="709"/>
      <c r="Y41" s="3759"/>
      <c r="Z41" s="710" t="str">
        <f t="shared" si="15"/>
        <v>进深比</v>
      </c>
      <c r="AA41" s="1351">
        <f t="shared" si="3"/>
        <v>1</v>
      </c>
      <c r="AB41" s="1351">
        <f t="shared" si="4"/>
        <v>1</v>
      </c>
      <c r="AC41" s="1351">
        <f t="shared" si="5"/>
        <v>1</v>
      </c>
    </row>
    <row r="42" spans="1:29" ht="15">
      <c r="A42" s="423"/>
      <c r="B42" s="375" t="s">
        <v>1790</v>
      </c>
      <c r="C42" s="1904" t="s">
        <v>3561</v>
      </c>
      <c r="D42" s="386">
        <v>100</v>
      </c>
      <c r="E42" s="1904" t="s">
        <v>3561</v>
      </c>
      <c r="F42" s="412">
        <f>SUMIF(122:122,E42,123:123)-SUMIF(122:122,C42,123:123)+100</f>
        <v>100</v>
      </c>
      <c r="G42" s="1904" t="s">
        <v>3571</v>
      </c>
      <c r="H42" s="386">
        <f>SUMIF(122:122,G42,123:123)-SUMIF(122:122,C42,123:123)+100</f>
        <v>99</v>
      </c>
      <c r="I42" s="1904" t="s">
        <v>3571</v>
      </c>
      <c r="J42" s="386">
        <f>SUMIF(122:122,I42,123:123)-SUMIF(122:122,C42,123:123)+100</f>
        <v>99</v>
      </c>
      <c r="K42" s="561">
        <v>1</v>
      </c>
      <c r="L42" s="2718"/>
      <c r="M42" s="2712"/>
      <c r="N42" s="2712"/>
      <c r="O42" s="2712"/>
      <c r="P42" s="3757"/>
      <c r="Q42" s="1350" t="str">
        <f t="shared" si="11"/>
        <v>内部装修</v>
      </c>
      <c r="R42" s="704" t="s">
        <v>14</v>
      </c>
      <c r="S42" s="705">
        <f t="shared" si="12"/>
        <v>100</v>
      </c>
      <c r="T42" s="704" t="s">
        <v>14</v>
      </c>
      <c r="U42" s="705">
        <f t="shared" si="13"/>
        <v>99</v>
      </c>
      <c r="V42" s="704" t="s">
        <v>14</v>
      </c>
      <c r="W42" s="705">
        <f t="shared" si="14"/>
        <v>99</v>
      </c>
      <c r="X42" s="1353"/>
      <c r="Y42" s="3759"/>
      <c r="Z42" s="1354" t="str">
        <f t="shared" si="15"/>
        <v>内部装修</v>
      </c>
      <c r="AA42" s="1351">
        <f t="shared" si="3"/>
        <v>1</v>
      </c>
      <c r="AB42" s="1351">
        <f t="shared" si="4"/>
        <v>1.0101010101010102</v>
      </c>
      <c r="AC42" s="1351">
        <f t="shared" si="5"/>
        <v>1.0101010101010102</v>
      </c>
    </row>
    <row r="43" spans="1:29" ht="15">
      <c r="A43" s="423"/>
      <c r="B43" s="375" t="s">
        <v>1705</v>
      </c>
      <c r="C43" s="1904" t="s">
        <v>3511</v>
      </c>
      <c r="D43" s="386">
        <v>100</v>
      </c>
      <c r="E43" s="1904" t="s">
        <v>3511</v>
      </c>
      <c r="F43" s="412">
        <f>SUMIF(124:124,E43,125:125)-SUMIF(124:124,C43,125:125)+100</f>
        <v>100</v>
      </c>
      <c r="G43" s="1904" t="s">
        <v>3511</v>
      </c>
      <c r="H43" s="386">
        <f>SUMIF(124:124,G43,125:125)-SUMIF(124:124,C43,125:125)+100</f>
        <v>100</v>
      </c>
      <c r="I43" s="1904" t="s">
        <v>3511</v>
      </c>
      <c r="J43" s="386">
        <f>SUMIF(124:124,I43,125:125)-SUMIF(124:124,C43,125:125)+100</f>
        <v>100</v>
      </c>
      <c r="K43" s="561">
        <v>2</v>
      </c>
      <c r="L43" s="2718"/>
      <c r="M43" s="2712"/>
      <c r="N43" s="2712"/>
      <c r="O43" s="2712"/>
      <c r="P43" s="3757"/>
      <c r="Q43" s="1350" t="str">
        <f t="shared" si="11"/>
        <v>内部装修维护情况</v>
      </c>
      <c r="R43" s="704" t="s">
        <v>14</v>
      </c>
      <c r="S43" s="705">
        <f t="shared" si="12"/>
        <v>100</v>
      </c>
      <c r="T43" s="704" t="s">
        <v>14</v>
      </c>
      <c r="U43" s="705">
        <f t="shared" si="13"/>
        <v>100</v>
      </c>
      <c r="V43" s="704" t="s">
        <v>14</v>
      </c>
      <c r="W43" s="705">
        <f t="shared" si="14"/>
        <v>100</v>
      </c>
      <c r="X43" s="1353"/>
      <c r="Y43" s="3759"/>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57"/>
      <c r="Q44" s="1341">
        <f t="shared" si="11"/>
        <v>111</v>
      </c>
      <c r="R44" s="700" t="s">
        <v>14</v>
      </c>
      <c r="S44" s="701">
        <f t="shared" si="12"/>
        <v>100</v>
      </c>
      <c r="T44" s="700" t="s">
        <v>14</v>
      </c>
      <c r="U44" s="701">
        <f t="shared" si="13"/>
        <v>100</v>
      </c>
      <c r="V44" s="700" t="s">
        <v>14</v>
      </c>
      <c r="W44" s="701">
        <f t="shared" si="14"/>
        <v>100</v>
      </c>
      <c r="X44" s="702"/>
      <c r="Y44" s="3759"/>
      <c r="Z44" s="52">
        <f t="shared" si="15"/>
        <v>111</v>
      </c>
      <c r="AA44" s="703">
        <f t="shared" si="3"/>
        <v>1</v>
      </c>
      <c r="AB44" s="703">
        <f t="shared" si="4"/>
        <v>1</v>
      </c>
      <c r="AC44" s="703">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57"/>
      <c r="Q45" s="1350">
        <f t="shared" si="11"/>
        <v>111</v>
      </c>
      <c r="R45" s="704" t="s">
        <v>14</v>
      </c>
      <c r="S45" s="705">
        <f t="shared" si="12"/>
        <v>100</v>
      </c>
      <c r="T45" s="704" t="s">
        <v>14</v>
      </c>
      <c r="U45" s="705">
        <f t="shared" si="13"/>
        <v>100</v>
      </c>
      <c r="V45" s="704" t="s">
        <v>14</v>
      </c>
      <c r="W45" s="705">
        <f t="shared" si="14"/>
        <v>100</v>
      </c>
      <c r="X45" s="1353"/>
      <c r="Y45" s="3759"/>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58"/>
      <c r="Q46" s="1350">
        <f t="shared" si="11"/>
        <v>111</v>
      </c>
      <c r="R46" s="704" t="s">
        <v>14</v>
      </c>
      <c r="S46" s="705">
        <f t="shared" si="12"/>
        <v>100</v>
      </c>
      <c r="T46" s="704" t="s">
        <v>14</v>
      </c>
      <c r="U46" s="705">
        <f t="shared" si="13"/>
        <v>100</v>
      </c>
      <c r="V46" s="704" t="s">
        <v>14</v>
      </c>
      <c r="W46" s="705">
        <f t="shared" si="14"/>
        <v>100</v>
      </c>
      <c r="X46" s="1353"/>
      <c r="Y46" s="3760"/>
      <c r="Z46" s="1354">
        <f t="shared" si="15"/>
        <v>111</v>
      </c>
      <c r="AA46" s="1351">
        <f t="shared" si="3"/>
        <v>1</v>
      </c>
      <c r="AB46" s="1351">
        <f t="shared" si="4"/>
        <v>1</v>
      </c>
      <c r="AC46" s="1351">
        <f t="shared" si="5"/>
        <v>1</v>
      </c>
    </row>
    <row r="47" spans="1:29" ht="15">
      <c r="A47" s="430" t="s">
        <v>1706</v>
      </c>
      <c r="B47" s="431"/>
      <c r="C47" s="1152" t="s">
        <v>0</v>
      </c>
      <c r="D47" s="1153"/>
      <c r="E47" s="1154">
        <v>92381</v>
      </c>
      <c r="F47" s="1155"/>
      <c r="G47" s="1156">
        <v>72172</v>
      </c>
      <c r="H47" s="1157"/>
      <c r="I47" s="1154">
        <v>91643</v>
      </c>
      <c r="J47" s="1157"/>
      <c r="K47" s="713"/>
      <c r="L47" s="2720"/>
      <c r="M47" s="2721"/>
      <c r="N47" s="2712"/>
      <c r="O47" s="2721"/>
      <c r="P47" s="3761" t="str">
        <f>A47</f>
        <v>成交单价（元/平方米）</v>
      </c>
      <c r="Q47" s="3761"/>
      <c r="R47" s="3748">
        <f>E47</f>
        <v>92381</v>
      </c>
      <c r="S47" s="3748"/>
      <c r="T47" s="3748">
        <f>G47</f>
        <v>72172</v>
      </c>
      <c r="U47" s="3748"/>
      <c r="V47" s="3748">
        <f>I47</f>
        <v>91643</v>
      </c>
      <c r="W47" s="3748"/>
      <c r="X47" s="689"/>
      <c r="Y47" s="711"/>
      <c r="Z47" s="689"/>
      <c r="AA47" s="689"/>
      <c r="AB47" s="689"/>
      <c r="AC47" s="689"/>
    </row>
    <row r="48" spans="1:29" ht="15.75" thickBot="1">
      <c r="A48" s="437" t="s">
        <v>1791</v>
      </c>
      <c r="B48" s="438"/>
      <c r="C48" s="1158">
        <f>R49</f>
        <v>93025</v>
      </c>
      <c r="D48" s="2315" t="s">
        <v>2135</v>
      </c>
      <c r="E48" s="1159">
        <f>R48</f>
        <v>97331</v>
      </c>
      <c r="F48" s="2316"/>
      <c r="G48" s="1158">
        <f>T48</f>
        <v>84176</v>
      </c>
      <c r="H48" s="2316"/>
      <c r="I48" s="1159">
        <f>V48</f>
        <v>97568</v>
      </c>
      <c r="J48" s="2316"/>
      <c r="K48" s="2318">
        <f>F48+H48+J48</f>
        <v>0</v>
      </c>
      <c r="L48" s="2720"/>
      <c r="M48" s="2721"/>
      <c r="N48" s="2712"/>
      <c r="O48" s="2721"/>
      <c r="P48" s="3761" t="str">
        <f>A48</f>
        <v>比较价值（元/平方米）</v>
      </c>
      <c r="Q48" s="3761"/>
      <c r="R48" s="3762">
        <f>IF(F1="售价",ROUND(PRODUCT(R47,AA7:AA46),0),ROUND(PRODUCT(R47,AA7:AA46),1))</f>
        <v>97331</v>
      </c>
      <c r="S48" s="3762"/>
      <c r="T48" s="3762">
        <f>IF(F1="售价",ROUND(PRODUCT(T47,AB7:AB46),0),ROUND(PRODUCT(T47,AB7:AB46),1))</f>
        <v>84176</v>
      </c>
      <c r="U48" s="3762"/>
      <c r="V48" s="3762">
        <f>IF(F1="售价",ROUND(PRODUCT(V47,AC7:AC46),0),ROUND(PRODUCT(V47,AC7:AC46),1))</f>
        <v>97568</v>
      </c>
      <c r="W48" s="3762"/>
      <c r="X48" s="689"/>
      <c r="Y48" s="689"/>
      <c r="Z48" s="689"/>
      <c r="AA48" s="689"/>
      <c r="AB48" s="689"/>
      <c r="AC48" s="689"/>
    </row>
    <row r="49" spans="1:29" ht="15.75" thickBot="1">
      <c r="A49" s="441" t="s">
        <v>1792</v>
      </c>
      <c r="B49" s="442"/>
      <c r="C49" s="1161">
        <f>R49</f>
        <v>93025</v>
      </c>
      <c r="D49" s="1161"/>
      <c r="E49" s="1161"/>
      <c r="F49" s="1161"/>
      <c r="G49" s="1161"/>
      <c r="H49" s="1161"/>
      <c r="I49" s="1161"/>
      <c r="J49" s="1161"/>
      <c r="K49" s="714"/>
      <c r="L49" s="2720"/>
      <c r="M49" s="2721"/>
      <c r="N49" s="2712"/>
      <c r="O49" s="2721"/>
      <c r="P49" s="3794" t="str">
        <f>A49</f>
        <v>估价对象XX用房的比较价值（楼面单价，元/平方米）</v>
      </c>
      <c r="Q49" s="3795"/>
      <c r="R49" s="3796">
        <f>IF(F1="售价",ROUND(IF(D48="简单平均",AVERAGE(R48:V48),R48*F48+T48*H48+V48*J48),0),ROUND(IF(D48="简单平均",AVERAGE(R48:V48),R48*F48+T48*H48+V48*J48),1))</f>
        <v>93025</v>
      </c>
      <c r="S49" s="3796"/>
      <c r="T49" s="3796"/>
      <c r="U49" s="3796"/>
      <c r="V49" s="3796"/>
      <c r="W49" s="3796"/>
      <c r="X49" s="689"/>
      <c r="Y49" s="689"/>
      <c r="Z49" s="689"/>
      <c r="AA49" s="689"/>
      <c r="AB49" s="689"/>
      <c r="AC49" s="689"/>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1793</v>
      </c>
      <c r="D52" s="447"/>
      <c r="E52" s="448">
        <f>IF(E47&lt;E48,E48/E47-1,E47/E48-1)</f>
        <v>5.35824466069863E-2</v>
      </c>
      <c r="F52" s="449" t="str">
        <f>IF(OR(E52&gt;=0.3,E52&lt;=-0.3),"超过30%","")</f>
        <v/>
      </c>
      <c r="G52" s="448">
        <f>IF(G47&lt;G48,G48/G47-1,G47/G48-1)</f>
        <v>0.16632489053926736</v>
      </c>
      <c r="H52" s="449" t="str">
        <f>IF(OR(G52&gt;=0.3,G52&lt;=-0.3),"超过30%","")</f>
        <v/>
      </c>
      <c r="I52" s="448">
        <f>IF(I47&lt;I48,I48/I47-1,I47/I48-1)</f>
        <v>6.4653055879881682E-2</v>
      </c>
      <c r="J52" s="449" t="str">
        <f>IF(OR(I52&gt;=0.3,I52&lt;=-0.3),"超过30%","")</f>
        <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1794</v>
      </c>
      <c r="D53" s="450"/>
      <c r="E53" s="448">
        <f>IF(E48&lt;G48,G48/E48-1,E48/G48-1)</f>
        <v>0.15627969967686761</v>
      </c>
      <c r="F53" s="449" t="str">
        <f>IF(OR(E53&gt;=0.2,E53&lt;=-0.2),"超过20%","")</f>
        <v/>
      </c>
      <c r="G53" s="448">
        <f>IF(G48&lt;I48,I48/G48-1,G48/I48-1)</f>
        <v>0.15909522904390805</v>
      </c>
      <c r="H53" s="449" t="str">
        <f>IF(OR(G53&gt;=0.2,G53&lt;=-0.2),"超过20%","")</f>
        <v/>
      </c>
      <c r="I53" s="448">
        <f>IF(I48&lt;E48,E48/I48-1,I48/E48-1)</f>
        <v>2.4349898798943226E-3</v>
      </c>
      <c r="J53" s="449" t="str">
        <f>IF(OR(I53&gt;=0.2,I53&lt;=-0.2),"超过20%","")</f>
        <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1795</v>
      </c>
      <c r="D54" s="450"/>
      <c r="E54" s="448">
        <f>IF(E47&lt;G47,G47/E47-1,E47/G47-1)</f>
        <v>0.28001163886271674</v>
      </c>
      <c r="F54" s="449" t="str">
        <f>IF(OR(E54&gt;=0.3,E54&lt;=-0.3),"超过30%","")</f>
        <v/>
      </c>
      <c r="G54" s="448">
        <f>IF(G47&lt;I47,I47/G47-1,G47/I47-1)</f>
        <v>0.26978606661863336</v>
      </c>
      <c r="H54" s="449" t="str">
        <f>IF(OR(G54&gt;=0.3,G54&lt;=-0.3),"超过30%","")</f>
        <v/>
      </c>
      <c r="I54" s="448">
        <f>IF(I47&lt;E47,E47/I47-1,I47/E47-1)</f>
        <v>8.0529882260511609E-3</v>
      </c>
      <c r="J54" s="449" t="str">
        <f>IF(OR(I54&gt;=0.3,I54&lt;=-0.3),"超过30%","")</f>
        <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3" t="s">
        <v>1796</v>
      </c>
      <c r="B57" s="689"/>
      <c r="C57" s="694"/>
      <c r="D57" s="694"/>
      <c r="E57" s="694"/>
      <c r="F57" s="695"/>
      <c r="G57" s="695"/>
      <c r="H57" s="694"/>
      <c r="I57" s="694"/>
      <c r="J57" s="694"/>
      <c r="K57" s="696"/>
      <c r="L57" s="941"/>
      <c r="M57" s="939"/>
      <c r="N57" s="939"/>
      <c r="O57" s="939"/>
      <c r="P57" s="2734"/>
      <c r="Q57" s="2735"/>
      <c r="R57" s="2721"/>
      <c r="S57" s="2721"/>
      <c r="T57" s="2721"/>
      <c r="U57" s="2721"/>
      <c r="V57" s="2721"/>
      <c r="W57" s="2721"/>
      <c r="X57" s="2721"/>
      <c r="Y57" s="2721"/>
      <c r="Z57" s="2721"/>
      <c r="AA57" s="2721"/>
      <c r="AB57" s="2721"/>
      <c r="AC57" s="2721"/>
    </row>
    <row r="58" spans="1:29" s="457" customFormat="1" ht="15">
      <c r="A58" s="454" t="s">
        <v>1677</v>
      </c>
      <c r="B58" s="455"/>
      <c r="C58" s="1182" t="str">
        <f>YEAR(C7)&amp;"-"&amp;MONTH(C7)</f>
        <v>2024-7</v>
      </c>
      <c r="D58" s="1183">
        <f>EDATE(C58,-1)</f>
        <v>45444</v>
      </c>
      <c r="E58" s="1183">
        <f t="shared" ref="E58:N58" si="16">EDATE(D58,-1)</f>
        <v>45413</v>
      </c>
      <c r="F58" s="1183">
        <f t="shared" si="16"/>
        <v>45383</v>
      </c>
      <c r="G58" s="1183">
        <f t="shared" si="16"/>
        <v>45352</v>
      </c>
      <c r="H58" s="1183">
        <f t="shared" si="16"/>
        <v>45323</v>
      </c>
      <c r="I58" s="1183">
        <f t="shared" si="16"/>
        <v>45292</v>
      </c>
      <c r="J58" s="1183">
        <f t="shared" si="16"/>
        <v>45261</v>
      </c>
      <c r="K58" s="1183">
        <f t="shared" si="16"/>
        <v>45231</v>
      </c>
      <c r="L58" s="1183">
        <f t="shared" si="16"/>
        <v>45200</v>
      </c>
      <c r="M58" s="1183">
        <f t="shared" si="16"/>
        <v>45170</v>
      </c>
      <c r="N58" s="1183">
        <f t="shared" si="16"/>
        <v>45139</v>
      </c>
      <c r="O58" s="1183">
        <f>EDATE(N58,-1)</f>
        <v>45108</v>
      </c>
      <c r="P58" s="2736"/>
      <c r="Q58" s="2737"/>
      <c r="R58" s="2737"/>
      <c r="S58" s="2737"/>
      <c r="T58" s="2737"/>
      <c r="U58" s="2737"/>
      <c r="V58" s="2737"/>
      <c r="W58" s="2737"/>
      <c r="X58" s="2737"/>
      <c r="Y58" s="2737"/>
      <c r="Z58" s="2737"/>
      <c r="AA58" s="2737"/>
      <c r="AB58" s="2737"/>
      <c r="AC58" s="2737"/>
    </row>
    <row r="59" spans="1:29" s="108" customFormat="1" ht="15">
      <c r="A59" s="458"/>
      <c r="B59" s="459"/>
      <c r="C59" s="1181">
        <v>100</v>
      </c>
      <c r="D59" s="461"/>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1714</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1679</v>
      </c>
      <c r="B61" s="459"/>
      <c r="C61" s="471" t="s">
        <v>1774</v>
      </c>
      <c r="D61" s="3504" t="s">
        <v>3468</v>
      </c>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v>102</v>
      </c>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1717</v>
      </c>
      <c r="B63" s="477" t="s">
        <v>1683</v>
      </c>
      <c r="C63" s="478" t="str">
        <f>C9</f>
        <v>商业</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1686</v>
      </c>
      <c r="C65" s="532" t="s">
        <v>3588</v>
      </c>
      <c r="D65" s="532" t="s">
        <v>3589</v>
      </c>
      <c r="E65" s="532" t="s">
        <v>3590</v>
      </c>
      <c r="F65" s="532" t="s">
        <v>3591</v>
      </c>
      <c r="G65" s="532" t="s">
        <v>3592</v>
      </c>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v>100</v>
      </c>
      <c r="D66" s="485">
        <f>C66-1</f>
        <v>99</v>
      </c>
      <c r="E66" s="485">
        <f t="shared" ref="E66:G66" si="17">D66-1</f>
        <v>98</v>
      </c>
      <c r="F66" s="485">
        <f t="shared" si="17"/>
        <v>97</v>
      </c>
      <c r="G66" s="485">
        <f t="shared" si="17"/>
        <v>96</v>
      </c>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1687</v>
      </c>
      <c r="C67" s="496" t="str">
        <f>C68&amp;"（含）"&amp;"-"&amp;D68</f>
        <v>0（含）-3</v>
      </c>
      <c r="D67" s="496" t="str">
        <f t="shared" ref="D67:L67" si="18">D68&amp;"（含）"&amp;"-"&amp;E68</f>
        <v>3（含）-</v>
      </c>
      <c r="E67" s="496" t="str">
        <f t="shared" si="18"/>
        <v>（含）-</v>
      </c>
      <c r="F67" s="496" t="str">
        <f t="shared" si="18"/>
        <v>（含）-</v>
      </c>
      <c r="G67" s="496" t="str">
        <f t="shared" si="18"/>
        <v>（含）-</v>
      </c>
      <c r="H67" s="496" t="str">
        <f t="shared" si="18"/>
        <v>（含）-</v>
      </c>
      <c r="I67" s="496" t="str">
        <f t="shared" si="18"/>
        <v>（含）-</v>
      </c>
      <c r="J67" s="496" t="str">
        <f t="shared" si="18"/>
        <v>（含）-</v>
      </c>
      <c r="K67" s="496" t="str">
        <f t="shared" si="18"/>
        <v>（含）-</v>
      </c>
      <c r="L67" s="496" t="str">
        <f t="shared" si="18"/>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v>0</v>
      </c>
      <c r="D68" s="498">
        <v>3</v>
      </c>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9">C69-$K11</f>
        <v>100</v>
      </c>
      <c r="E69" s="493">
        <f t="shared" si="19"/>
        <v>100</v>
      </c>
      <c r="F69" s="493">
        <f t="shared" si="19"/>
        <v>100</v>
      </c>
      <c r="G69" s="493">
        <f t="shared" si="19"/>
        <v>100</v>
      </c>
      <c r="H69" s="493">
        <f t="shared" si="19"/>
        <v>100</v>
      </c>
      <c r="I69" s="493">
        <f t="shared" si="19"/>
        <v>100</v>
      </c>
      <c r="J69" s="493">
        <f t="shared" si="19"/>
        <v>100</v>
      </c>
      <c r="K69" s="493">
        <f t="shared" si="19"/>
        <v>100</v>
      </c>
      <c r="L69" s="493">
        <f t="shared" si="19"/>
        <v>100</v>
      </c>
      <c r="M69" s="494">
        <f t="shared" si="19"/>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1688</v>
      </c>
      <c r="B76" s="477" t="s">
        <v>1718</v>
      </c>
      <c r="C76" s="522" t="s">
        <v>1719</v>
      </c>
      <c r="D76" s="522" t="s">
        <v>1720</v>
      </c>
      <c r="E76" s="522" t="s">
        <v>1721</v>
      </c>
      <c r="F76" s="522" t="s">
        <v>1722</v>
      </c>
      <c r="G76" s="522" t="s">
        <v>1723</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97</v>
      </c>
      <c r="E77" s="493">
        <f>D77-$K15</f>
        <v>94</v>
      </c>
      <c r="F77" s="493">
        <f>E77-$K15</f>
        <v>91</v>
      </c>
      <c r="G77" s="493">
        <f>F77-$K15</f>
        <v>88</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1724</v>
      </c>
      <c r="C78" s="527" t="s">
        <v>1719</v>
      </c>
      <c r="D78" s="527" t="s">
        <v>1720</v>
      </c>
      <c r="E78" s="527" t="s">
        <v>1721</v>
      </c>
      <c r="F78" s="527" t="s">
        <v>1722</v>
      </c>
      <c r="G78" s="527" t="s">
        <v>1723</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98</v>
      </c>
      <c r="E79" s="493">
        <f>D79-$K17</f>
        <v>96</v>
      </c>
      <c r="F79" s="493">
        <f>E79-$K17</f>
        <v>94</v>
      </c>
      <c r="G79" s="493">
        <f>F79-$K17</f>
        <v>92</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1725</v>
      </c>
      <c r="C80" s="527" t="s">
        <v>1719</v>
      </c>
      <c r="D80" s="527" t="s">
        <v>1720</v>
      </c>
      <c r="E80" s="527" t="s">
        <v>1721</v>
      </c>
      <c r="F80" s="527" t="s">
        <v>1722</v>
      </c>
      <c r="G80" s="527" t="s">
        <v>1723</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98</v>
      </c>
      <c r="E81" s="493">
        <f>D81-$K19</f>
        <v>96</v>
      </c>
      <c r="F81" s="493">
        <f>E81-$K19</f>
        <v>94</v>
      </c>
      <c r="G81" s="493">
        <f>F81-$K19</f>
        <v>92</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1777</v>
      </c>
      <c r="C82" s="607" t="s">
        <v>1797</v>
      </c>
      <c r="D82" s="607" t="s">
        <v>1798</v>
      </c>
      <c r="E82" s="607" t="s">
        <v>1799</v>
      </c>
      <c r="F82" s="607" t="s">
        <v>1800</v>
      </c>
      <c r="G82" s="607" t="s">
        <v>1801</v>
      </c>
      <c r="H82" s="488"/>
      <c r="I82" s="488"/>
      <c r="J82" s="488"/>
      <c r="K82" s="488"/>
      <c r="L82" s="488"/>
      <c r="M82" s="1127"/>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99</v>
      </c>
      <c r="E83" s="493">
        <f t="shared" ref="E83:G83" si="20">D83-$K21</f>
        <v>98</v>
      </c>
      <c r="F83" s="493">
        <f t="shared" si="20"/>
        <v>97</v>
      </c>
      <c r="G83" s="493">
        <f t="shared" si="20"/>
        <v>96</v>
      </c>
      <c r="H83" s="607"/>
      <c r="I83" s="607"/>
      <c r="J83" s="607"/>
      <c r="K83" s="607"/>
      <c r="L83" s="607"/>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1731</v>
      </c>
      <c r="C84" s="527" t="s">
        <v>1719</v>
      </c>
      <c r="D84" s="527" t="s">
        <v>1720</v>
      </c>
      <c r="E84" s="527" t="s">
        <v>1721</v>
      </c>
      <c r="F84" s="527" t="s">
        <v>1722</v>
      </c>
      <c r="G84" s="527" t="s">
        <v>1723</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97</v>
      </c>
      <c r="E85" s="493">
        <f>D85-$K23</f>
        <v>94</v>
      </c>
      <c r="F85" s="493">
        <f>E85-$K23</f>
        <v>91</v>
      </c>
      <c r="G85" s="493">
        <f>F85-$K23</f>
        <v>88</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1802</v>
      </c>
      <c r="C86" s="3507" t="s">
        <v>3532</v>
      </c>
      <c r="D86" s="3507" t="s">
        <v>3533</v>
      </c>
      <c r="E86" s="3507" t="s">
        <v>3534</v>
      </c>
      <c r="F86" s="3507" t="s">
        <v>3535</v>
      </c>
      <c r="G86" s="3507" t="s">
        <v>3536</v>
      </c>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1">C87-$K25</f>
        <v>97</v>
      </c>
      <c r="E87" s="493">
        <f t="shared" si="21"/>
        <v>94</v>
      </c>
      <c r="F87" s="493">
        <f t="shared" si="21"/>
        <v>91</v>
      </c>
      <c r="G87" s="493">
        <f t="shared" si="21"/>
        <v>88</v>
      </c>
      <c r="H87" s="493">
        <f t="shared" si="21"/>
        <v>85</v>
      </c>
      <c r="I87" s="493">
        <f t="shared" si="21"/>
        <v>82</v>
      </c>
      <c r="J87" s="493">
        <f t="shared" si="21"/>
        <v>79</v>
      </c>
      <c r="K87" s="493">
        <f t="shared" si="21"/>
        <v>76</v>
      </c>
      <c r="L87" s="493">
        <f t="shared" si="21"/>
        <v>73</v>
      </c>
      <c r="M87" s="493">
        <f t="shared" si="21"/>
        <v>70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t="s">
        <v>3537</v>
      </c>
      <c r="D88" s="503" t="s">
        <v>3511</v>
      </c>
      <c r="E88" s="503" t="s">
        <v>3538</v>
      </c>
      <c r="F88" s="1925" t="s">
        <v>3539</v>
      </c>
      <c r="G88" s="503" t="s">
        <v>3540</v>
      </c>
      <c r="H88" s="503"/>
      <c r="I88" s="503"/>
      <c r="J88" s="503"/>
      <c r="K88" s="503"/>
      <c r="L88" s="503"/>
      <c r="M88" s="530"/>
      <c r="N88" s="2748">
        <v>3</v>
      </c>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v>100</v>
      </c>
      <c r="D89" s="485">
        <f>C89-N88</f>
        <v>97</v>
      </c>
      <c r="E89" s="485">
        <f t="shared" ref="E89:G89" si="22">D89-3</f>
        <v>94</v>
      </c>
      <c r="F89" s="485">
        <f t="shared" si="22"/>
        <v>91</v>
      </c>
      <c r="G89" s="485">
        <f t="shared" si="22"/>
        <v>88</v>
      </c>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3507" t="s">
        <v>3541</v>
      </c>
      <c r="D90" s="3507" t="s">
        <v>3542</v>
      </c>
      <c r="E90" s="3507" t="s">
        <v>3544</v>
      </c>
      <c r="F90" s="3507" t="s">
        <v>3545</v>
      </c>
      <c r="G90" s="3507" t="s">
        <v>3546</v>
      </c>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95</v>
      </c>
      <c r="E91" s="493">
        <f t="shared" ref="E91:M91" si="23">D91-$K27</f>
        <v>90</v>
      </c>
      <c r="F91" s="493">
        <f t="shared" si="23"/>
        <v>85</v>
      </c>
      <c r="G91" s="493">
        <f t="shared" si="23"/>
        <v>80</v>
      </c>
      <c r="H91" s="493">
        <f t="shared" si="23"/>
        <v>75</v>
      </c>
      <c r="I91" s="493">
        <f t="shared" si="23"/>
        <v>70</v>
      </c>
      <c r="J91" s="493">
        <f t="shared" si="23"/>
        <v>65</v>
      </c>
      <c r="K91" s="493">
        <f t="shared" si="23"/>
        <v>60</v>
      </c>
      <c r="L91" s="493">
        <f t="shared" si="23"/>
        <v>55</v>
      </c>
      <c r="M91" s="493">
        <f t="shared" si="23"/>
        <v>50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v>1</v>
      </c>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v>100</v>
      </c>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6"/>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1692</v>
      </c>
      <c r="B100" s="477" t="s">
        <v>1803</v>
      </c>
      <c r="C100" s="3506" t="s">
        <v>3547</v>
      </c>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4">C101-$K32</f>
        <v>97</v>
      </c>
      <c r="E101" s="493">
        <f t="shared" si="24"/>
        <v>94</v>
      </c>
      <c r="F101" s="493">
        <f t="shared" si="24"/>
        <v>91</v>
      </c>
      <c r="G101" s="493">
        <f t="shared" si="24"/>
        <v>88</v>
      </c>
      <c r="H101" s="493">
        <f t="shared" si="24"/>
        <v>85</v>
      </c>
      <c r="I101" s="493">
        <f t="shared" si="24"/>
        <v>82</v>
      </c>
      <c r="J101" s="493">
        <f t="shared" si="24"/>
        <v>79</v>
      </c>
      <c r="K101" s="493">
        <f t="shared" si="24"/>
        <v>76</v>
      </c>
      <c r="L101" s="493">
        <f t="shared" si="24"/>
        <v>73</v>
      </c>
      <c r="M101" s="494">
        <f t="shared" si="24"/>
        <v>70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1735</v>
      </c>
      <c r="C102" s="527" t="str">
        <f>C103&amp;"(含)"&amp;"-"&amp;D103</f>
        <v>0(含)-100</v>
      </c>
      <c r="D102" s="527" t="str">
        <f t="shared" ref="D102:L102" si="25">D103&amp;"(含)"&amp;"-"&amp;E103</f>
        <v>100(含)-200</v>
      </c>
      <c r="E102" s="527" t="str">
        <f t="shared" si="25"/>
        <v>200(含)-300</v>
      </c>
      <c r="F102" s="527" t="str">
        <f t="shared" si="25"/>
        <v>300(含)-500</v>
      </c>
      <c r="G102" s="527" t="str">
        <f t="shared" si="25"/>
        <v>500(含)-1000</v>
      </c>
      <c r="H102" s="527" t="str">
        <f t="shared" si="25"/>
        <v>1000(含)-</v>
      </c>
      <c r="I102" s="527" t="str">
        <f t="shared" si="25"/>
        <v>(含)-</v>
      </c>
      <c r="J102" s="527" t="str">
        <f t="shared" si="25"/>
        <v>(含)-</v>
      </c>
      <c r="K102" s="527" t="str">
        <f t="shared" si="25"/>
        <v>(含)-</v>
      </c>
      <c r="L102" s="527" t="str">
        <f t="shared" si="25"/>
        <v>(含)-</v>
      </c>
      <c r="M102" s="569"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v>0</v>
      </c>
      <c r="D103" s="544">
        <v>100</v>
      </c>
      <c r="E103" s="544">
        <v>200</v>
      </c>
      <c r="F103" s="544">
        <v>300</v>
      </c>
      <c r="G103" s="544">
        <v>500</v>
      </c>
      <c r="H103" s="544">
        <v>1000</v>
      </c>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v>100</v>
      </c>
      <c r="D104" s="485">
        <f>C104-1</f>
        <v>99</v>
      </c>
      <c r="E104" s="485">
        <f t="shared" ref="E104:H104" si="26">D104-1</f>
        <v>98</v>
      </c>
      <c r="F104" s="485">
        <f t="shared" si="26"/>
        <v>97</v>
      </c>
      <c r="G104" s="485">
        <f t="shared" si="26"/>
        <v>96</v>
      </c>
      <c r="H104" s="485">
        <f t="shared" si="26"/>
        <v>95</v>
      </c>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1736</v>
      </c>
      <c r="C105" s="3507" t="s">
        <v>3485</v>
      </c>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4">
        <f t="shared" si="27"/>
        <v>80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1738</v>
      </c>
      <c r="C107" s="3514" t="s">
        <v>3486</v>
      </c>
      <c r="D107" s="3514" t="s">
        <v>3548</v>
      </c>
      <c r="E107" s="3514" t="s">
        <v>3488</v>
      </c>
      <c r="F107" s="3515" t="s">
        <v>3489</v>
      </c>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4">
        <f t="shared" si="28"/>
        <v>80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0"/>
      <c r="J110" s="570"/>
      <c r="K110" s="571"/>
      <c r="L110" s="572"/>
      <c r="M110" s="573"/>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103</v>
      </c>
      <c r="E111" s="493">
        <f t="shared" ref="E111:M111" si="29">D111+$K36</f>
        <v>106</v>
      </c>
      <c r="F111" s="493">
        <f t="shared" si="29"/>
        <v>109</v>
      </c>
      <c r="G111" s="493">
        <f t="shared" si="29"/>
        <v>112</v>
      </c>
      <c r="H111" s="493">
        <f t="shared" si="29"/>
        <v>115</v>
      </c>
      <c r="I111" s="493">
        <f t="shared" si="29"/>
        <v>118</v>
      </c>
      <c r="J111" s="493">
        <f t="shared" si="29"/>
        <v>121</v>
      </c>
      <c r="K111" s="493">
        <f t="shared" si="29"/>
        <v>124</v>
      </c>
      <c r="L111" s="493">
        <f t="shared" si="29"/>
        <v>127</v>
      </c>
      <c r="M111" s="493">
        <f t="shared" si="29"/>
        <v>130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1740</v>
      </c>
      <c r="C112" s="3505" t="s">
        <v>3493</v>
      </c>
      <c r="D112" s="3505" t="s">
        <v>3494</v>
      </c>
      <c r="E112" s="3505" t="s">
        <v>3495</v>
      </c>
      <c r="F112" s="3505" t="s">
        <v>3496</v>
      </c>
      <c r="G112" s="3505" t="s">
        <v>3497</v>
      </c>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99</v>
      </c>
      <c r="E113" s="493">
        <f t="shared" ref="E113:M113" si="30">D113-$K37</f>
        <v>98</v>
      </c>
      <c r="F113" s="493">
        <f t="shared" si="30"/>
        <v>97</v>
      </c>
      <c r="G113" s="493">
        <f t="shared" si="30"/>
        <v>96</v>
      </c>
      <c r="H113" s="493">
        <f t="shared" si="30"/>
        <v>95</v>
      </c>
      <c r="I113" s="493">
        <f t="shared" si="30"/>
        <v>94</v>
      </c>
      <c r="J113" s="493">
        <f t="shared" si="30"/>
        <v>93</v>
      </c>
      <c r="K113" s="493">
        <f t="shared" si="30"/>
        <v>92</v>
      </c>
      <c r="L113" s="493">
        <f t="shared" si="30"/>
        <v>91</v>
      </c>
      <c r="M113" s="493">
        <f t="shared" si="30"/>
        <v>90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1804</v>
      </c>
      <c r="C114" s="3507" t="s">
        <v>3549</v>
      </c>
      <c r="D114" s="3507" t="s">
        <v>3550</v>
      </c>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31">C115-$K38</f>
        <v>97</v>
      </c>
      <c r="E115" s="493">
        <f t="shared" si="31"/>
        <v>94</v>
      </c>
      <c r="F115" s="493">
        <f t="shared" si="31"/>
        <v>91</v>
      </c>
      <c r="G115" s="493">
        <f t="shared" si="31"/>
        <v>88</v>
      </c>
      <c r="H115" s="493">
        <f t="shared" si="31"/>
        <v>85</v>
      </c>
      <c r="I115" s="493">
        <f t="shared" si="31"/>
        <v>82</v>
      </c>
      <c r="J115" s="493">
        <f t="shared" si="31"/>
        <v>79</v>
      </c>
      <c r="K115" s="493">
        <f t="shared" si="31"/>
        <v>76</v>
      </c>
      <c r="L115" s="493">
        <f t="shared" si="31"/>
        <v>73</v>
      </c>
      <c r="M115" s="494">
        <f t="shared" si="31"/>
        <v>70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1805</v>
      </c>
      <c r="C116" s="3507" t="s">
        <v>3551</v>
      </c>
      <c r="D116" s="3507" t="s">
        <v>3552</v>
      </c>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95</v>
      </c>
      <c r="E117" s="493">
        <f>D117-$K39</f>
        <v>90</v>
      </c>
      <c r="F117" s="493">
        <f>E117-$K39</f>
        <v>85</v>
      </c>
      <c r="G117" s="493">
        <f>F117-$K39</f>
        <v>80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1806</v>
      </c>
      <c r="C118" s="574"/>
      <c r="D118" s="574"/>
      <c r="E118" s="574"/>
      <c r="F118" s="574"/>
      <c r="G118" s="574"/>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1807</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32">D121-$K41</f>
        <v>100</v>
      </c>
      <c r="F121" s="493">
        <f t="shared" si="32"/>
        <v>100</v>
      </c>
      <c r="G121" s="493">
        <f t="shared" si="32"/>
        <v>100</v>
      </c>
      <c r="H121" s="493">
        <f t="shared" si="32"/>
        <v>100</v>
      </c>
      <c r="I121" s="493">
        <f t="shared" si="32"/>
        <v>100</v>
      </c>
      <c r="J121" s="493">
        <f t="shared" si="32"/>
        <v>100</v>
      </c>
      <c r="K121" s="493">
        <f t="shared" si="32"/>
        <v>100</v>
      </c>
      <c r="L121" s="493">
        <f t="shared" si="32"/>
        <v>100</v>
      </c>
      <c r="M121" s="494">
        <f t="shared" si="32"/>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1742</v>
      </c>
      <c r="C122" s="3514" t="s">
        <v>3486</v>
      </c>
      <c r="D122" s="3514" t="s">
        <v>3548</v>
      </c>
      <c r="E122" s="3514" t="s">
        <v>3488</v>
      </c>
      <c r="F122" s="3515" t="s">
        <v>3489</v>
      </c>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3">C123-$K42</f>
        <v>99</v>
      </c>
      <c r="E123" s="493">
        <f t="shared" si="33"/>
        <v>98</v>
      </c>
      <c r="F123" s="493">
        <f t="shared" si="33"/>
        <v>97</v>
      </c>
      <c r="G123" s="493">
        <f t="shared" si="33"/>
        <v>96</v>
      </c>
      <c r="H123" s="493">
        <f t="shared" si="33"/>
        <v>95</v>
      </c>
      <c r="I123" s="493">
        <f t="shared" si="33"/>
        <v>94</v>
      </c>
      <c r="J123" s="493">
        <f t="shared" si="33"/>
        <v>93</v>
      </c>
      <c r="K123" s="493">
        <f t="shared" si="33"/>
        <v>92</v>
      </c>
      <c r="L123" s="493">
        <f t="shared" si="33"/>
        <v>91</v>
      </c>
      <c r="M123" s="494">
        <f t="shared" si="33"/>
        <v>90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6"/>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25" priority="21" stopIfTrue="1" operator="containsText" text="超过">
      <formula>NOT(ISERROR(SEARCH("超过",F52)))</formula>
    </cfRule>
  </conditionalFormatting>
  <conditionalFormatting sqref="H54">
    <cfRule type="containsText" dxfId="24" priority="19" stopIfTrue="1" operator="containsText" text="超过">
      <formula>NOT(ISERROR(SEARCH("超过",H54)))</formula>
    </cfRule>
  </conditionalFormatting>
  <conditionalFormatting sqref="F54">
    <cfRule type="containsText" dxfId="23" priority="18" stopIfTrue="1" operator="containsText" text="超过">
      <formula>NOT(ISERROR(SEARCH("超过",F54)))</formula>
    </cfRule>
  </conditionalFormatting>
  <conditionalFormatting sqref="F53 H53">
    <cfRule type="containsText" dxfId="22" priority="17" stopIfTrue="1" operator="containsText" text="超过">
      <formula>NOT(ISERROR(SEARCH("超过",F53)))</formula>
    </cfRule>
  </conditionalFormatting>
  <conditionalFormatting sqref="E52">
    <cfRule type="expression" dxfId="21" priority="16" stopIfTrue="1">
      <formula>$F$52="超过30%"</formula>
    </cfRule>
  </conditionalFormatting>
  <conditionalFormatting sqref="E53">
    <cfRule type="expression" dxfId="20" priority="15" stopIfTrue="1">
      <formula>$F$53="超过20%"</formula>
    </cfRule>
  </conditionalFormatting>
  <conditionalFormatting sqref="E54">
    <cfRule type="expression" dxfId="19" priority="14" stopIfTrue="1">
      <formula>$F$54="超过30%"</formula>
    </cfRule>
  </conditionalFormatting>
  <conditionalFormatting sqref="G54">
    <cfRule type="expression" dxfId="18" priority="13" stopIfTrue="1">
      <formula>$H$54="超过30%"</formula>
    </cfRule>
  </conditionalFormatting>
  <conditionalFormatting sqref="G52">
    <cfRule type="expression" dxfId="17" priority="12" stopIfTrue="1">
      <formula>$H$52="超过30%"</formula>
    </cfRule>
  </conditionalFormatting>
  <conditionalFormatting sqref="G53">
    <cfRule type="expression" dxfId="16" priority="11" stopIfTrue="1">
      <formula>$H$53="超过20%"</formula>
    </cfRule>
  </conditionalFormatting>
  <conditionalFormatting sqref="J52">
    <cfRule type="containsText" dxfId="15" priority="10" stopIfTrue="1" operator="containsText" text="超过">
      <formula>NOT(ISERROR(SEARCH("超过",J52)))</formula>
    </cfRule>
  </conditionalFormatting>
  <conditionalFormatting sqref="J54">
    <cfRule type="containsText" dxfId="14" priority="9" stopIfTrue="1" operator="containsText" text="超过">
      <formula>NOT(ISERROR(SEARCH("超过",J54)))</formula>
    </cfRule>
  </conditionalFormatting>
  <conditionalFormatting sqref="J53">
    <cfRule type="containsText" dxfId="13" priority="8" stopIfTrue="1" operator="containsText" text="超过">
      <formula>NOT(ISERROR(SEARCH("超过",J53)))</formula>
    </cfRule>
  </conditionalFormatting>
  <conditionalFormatting sqref="I52">
    <cfRule type="expression" dxfId="12" priority="7" stopIfTrue="1">
      <formula>$J$52="超过30%"</formula>
    </cfRule>
  </conditionalFormatting>
  <conditionalFormatting sqref="I53">
    <cfRule type="expression" dxfId="11" priority="6" stopIfTrue="1">
      <formula>$J$53="超过20%"</formula>
    </cfRule>
  </conditionalFormatting>
  <conditionalFormatting sqref="I54">
    <cfRule type="expression" dxfId="10" priority="5" stopIfTrue="1">
      <formula>$J$54="超过30%"</formula>
    </cfRule>
  </conditionalFormatting>
  <conditionalFormatting sqref="F48">
    <cfRule type="expression" dxfId="9" priority="4">
      <formula>$D$48="简单平均"</formula>
    </cfRule>
  </conditionalFormatting>
  <conditionalFormatting sqref="H48">
    <cfRule type="expression" dxfId="8" priority="3">
      <formula>$D$48="简单平均"</formula>
    </cfRule>
  </conditionalFormatting>
  <conditionalFormatting sqref="J48">
    <cfRule type="expression" dxfId="7" priority="2">
      <formula>$D$48="简单平均"</formula>
    </cfRule>
  </conditionalFormatting>
  <conditionalFormatting sqref="F7:F46 H7:H46 J7:J46">
    <cfRule type="cellIs" dxfId="6"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H40" sqref="H40"/>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875</v>
      </c>
      <c r="B1" s="712"/>
      <c r="C1" s="1377" t="s">
        <v>671</v>
      </c>
      <c r="D1" s="1360" t="s">
        <v>43</v>
      </c>
      <c r="E1" s="1361" t="s">
        <v>676</v>
      </c>
      <c r="F1" s="1061">
        <f ca="1">J53</f>
        <v>19.62</v>
      </c>
      <c r="G1" s="1376">
        <f>MATCH(C1,'数据-取费表'!A6:A16,0)+5</f>
        <v>6</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876</v>
      </c>
      <c r="B2" s="3421">
        <f ca="1">ROUND(D2/10000,4)</f>
        <v>1921.6887999999999</v>
      </c>
      <c r="C2" s="1385" t="s">
        <v>877</v>
      </c>
      <c r="D2" s="1469">
        <f ca="1">C40+J29+L46</f>
        <v>19216888</v>
      </c>
      <c r="E2" s="1386" t="s">
        <v>878</v>
      </c>
      <c r="F2" s="1387"/>
      <c r="G2" s="2702"/>
      <c r="H2" s="2691"/>
      <c r="I2" s="2691"/>
      <c r="J2" s="2691"/>
      <c r="K2" s="2692"/>
      <c r="L2" s="2691"/>
      <c r="M2" s="2691"/>
    </row>
    <row r="3" spans="1:37" ht="18" customHeight="1" thickBot="1">
      <c r="A3" s="1388" t="s">
        <v>879</v>
      </c>
      <c r="B3" s="1389">
        <f ca="1">IF(ISERROR(D2/F43),0,ROUND(D2/F43,0))</f>
        <v>46786</v>
      </c>
      <c r="C3" s="1385" t="s">
        <v>880</v>
      </c>
      <c r="D3" s="1385"/>
      <c r="E3" s="1386"/>
      <c r="F3" s="1387"/>
      <c r="G3" s="2702"/>
      <c r="H3" s="682" t="s">
        <v>874</v>
      </c>
      <c r="I3" s="1380"/>
      <c r="J3" s="1380"/>
      <c r="K3" s="1381"/>
      <c r="L3" s="1380"/>
      <c r="M3" s="1380"/>
    </row>
    <row r="4" spans="1:37" ht="18" customHeight="1">
      <c r="A4" s="295" t="s">
        <v>881</v>
      </c>
      <c r="B4" s="296" t="s">
        <v>882</v>
      </c>
      <c r="C4" s="296" t="s">
        <v>883</v>
      </c>
      <c r="D4" s="296" t="s">
        <v>884</v>
      </c>
      <c r="E4" s="297" t="s">
        <v>885</v>
      </c>
      <c r="F4" s="298"/>
      <c r="G4" s="1382"/>
      <c r="H4" s="295" t="s">
        <v>881</v>
      </c>
      <c r="I4" s="296" t="s">
        <v>882</v>
      </c>
      <c r="J4" s="296" t="s">
        <v>883</v>
      </c>
      <c r="K4" s="296" t="s">
        <v>884</v>
      </c>
      <c r="L4" s="297" t="s">
        <v>885</v>
      </c>
      <c r="M4" s="298"/>
    </row>
    <row r="5" spans="1:37" ht="18" customHeight="1">
      <c r="A5" s="299">
        <v>1</v>
      </c>
      <c r="B5" s="300" t="s">
        <v>886</v>
      </c>
      <c r="C5" s="1069">
        <f ca="1">C6+C10+C12</f>
        <v>1756258</v>
      </c>
      <c r="D5" s="1362" t="s">
        <v>887</v>
      </c>
      <c r="E5" s="1070"/>
      <c r="F5" s="1071"/>
      <c r="G5" s="1382"/>
      <c r="H5" s="299">
        <v>1</v>
      </c>
      <c r="I5" s="300" t="s">
        <v>886</v>
      </c>
      <c r="J5" s="1069">
        <f ca="1">J6+J10+J12</f>
        <v>0</v>
      </c>
      <c r="K5" s="1362" t="s">
        <v>887</v>
      </c>
      <c r="L5" s="1070"/>
      <c r="M5" s="1071"/>
    </row>
    <row r="6" spans="1:37" ht="18" customHeight="1">
      <c r="A6" s="1068" t="s">
        <v>398</v>
      </c>
      <c r="B6" s="3710" t="s">
        <v>692</v>
      </c>
      <c r="C6" s="1073">
        <f ca="1">ROUND(F6*F8*F7*(1-F9),0)</f>
        <v>1754065</v>
      </c>
      <c r="D6" s="155" t="s">
        <v>2103</v>
      </c>
      <c r="E6" s="302" t="s">
        <v>694</v>
      </c>
      <c r="F6" s="303">
        <f ca="1">INDIRECT("'数据-取费表'!u"&amp;$G$1)</f>
        <v>13</v>
      </c>
      <c r="G6" s="1382"/>
      <c r="H6" s="1068" t="s">
        <v>398</v>
      </c>
      <c r="I6" s="3710" t="s">
        <v>692</v>
      </c>
      <c r="J6" s="301">
        <f ca="1">ROUND(M6*M8*M7*(1-M9),0)</f>
        <v>0</v>
      </c>
      <c r="K6" s="1374" t="s">
        <v>2104</v>
      </c>
      <c r="L6" s="302" t="s">
        <v>694</v>
      </c>
      <c r="M6" s="303">
        <f ca="1">INDIRECT("'数据-取费表'!z"&amp;$G$1)</f>
        <v>0</v>
      </c>
    </row>
    <row r="7" spans="1:37" ht="18" customHeight="1">
      <c r="A7" s="1072"/>
      <c r="B7" s="3711"/>
      <c r="C7" s="1074"/>
      <c r="D7" s="307"/>
      <c r="E7" s="3453" t="s">
        <v>695</v>
      </c>
      <c r="F7" s="303">
        <f ca="1">IF(INDIRECT("'数据-取费表'!ah"&amp;$G$1)="",INDIRECT("'数据-取费表'!k"&amp;$G$1),INDIRECT("'数据-取费表'!ah"&amp;$G$1))</f>
        <v>410.74</v>
      </c>
      <c r="G7" s="1382"/>
      <c r="H7" s="304"/>
      <c r="I7" s="3711"/>
      <c r="J7" s="306"/>
      <c r="K7" s="307"/>
      <c r="L7" s="302" t="s">
        <v>695</v>
      </c>
      <c r="M7" s="303">
        <f ca="1">F7</f>
        <v>410.74</v>
      </c>
    </row>
    <row r="8" spans="1:37" ht="18" customHeight="1">
      <c r="A8" s="304"/>
      <c r="B8" s="3711"/>
      <c r="C8" s="306"/>
      <c r="D8" s="307"/>
      <c r="E8" s="302" t="s">
        <v>696</v>
      </c>
      <c r="F8" s="303">
        <f ca="1">INDIRECT("'数据-取费表'!ai"&amp;$G$1)</f>
        <v>365</v>
      </c>
      <c r="G8" s="1382"/>
      <c r="H8" s="304"/>
      <c r="I8" s="3711"/>
      <c r="J8" s="306"/>
      <c r="K8" s="307"/>
      <c r="L8" s="302" t="s">
        <v>696</v>
      </c>
      <c r="M8" s="303">
        <f ca="1">INDIRECT("'数据-取费表'!ai"&amp;$G$1)</f>
        <v>365</v>
      </c>
    </row>
    <row r="9" spans="1:37" ht="18" customHeight="1">
      <c r="A9" s="304"/>
      <c r="B9" s="3712"/>
      <c r="C9" s="306"/>
      <c r="D9" s="307"/>
      <c r="E9" s="302" t="s">
        <v>697</v>
      </c>
      <c r="F9" s="312">
        <f ca="1">INDIRECT("'数据-取费表'!w"&amp;$G$1)</f>
        <v>0.1</v>
      </c>
      <c r="G9" s="1382"/>
      <c r="H9" s="304"/>
      <c r="I9" s="3712"/>
      <c r="J9" s="306"/>
      <c r="K9" s="307"/>
      <c r="L9" s="313" t="s">
        <v>697</v>
      </c>
      <c r="M9" s="314">
        <f ca="1">INDIRECT("'数据-取费表'!ab"&amp;$G$1)</f>
        <v>0</v>
      </c>
    </row>
    <row r="10" spans="1:37" ht="18" customHeight="1">
      <c r="A10" s="1068" t="s">
        <v>402</v>
      </c>
      <c r="B10" s="1363" t="s">
        <v>698</v>
      </c>
      <c r="C10" s="316">
        <f ca="1">ROUND(IF(F10="押一",C6/12*F11,IF(F10="押二",C6/12*2*F11,IF(F10="押三",C6/12*3*F11,C11*F11))),0)</f>
        <v>2193</v>
      </c>
      <c r="D10" s="1364" t="s">
        <v>2113</v>
      </c>
      <c r="E10" s="313" t="s">
        <v>699</v>
      </c>
      <c r="F10" s="1114" t="s">
        <v>3523</v>
      </c>
      <c r="G10" s="1382"/>
      <c r="H10" s="1068" t="s">
        <v>402</v>
      </c>
      <c r="I10" s="1363" t="s">
        <v>698</v>
      </c>
      <c r="J10" s="301">
        <f ca="1">ROUND(IF(M10="押一",J6/12*M11,IF(M10="押二",J6/12*2*M11,IF(M10="押三",J6/12*3*M11,J11*M11))),0)</f>
        <v>0</v>
      </c>
      <c r="K10" s="1375" t="s">
        <v>2115</v>
      </c>
      <c r="L10" s="313" t="s">
        <v>699</v>
      </c>
      <c r="M10" s="1114"/>
    </row>
    <row r="11" spans="1:37" ht="18" customHeight="1">
      <c r="A11" s="308"/>
      <c r="B11" s="1365" t="s">
        <v>888</v>
      </c>
      <c r="C11" s="958"/>
      <c r="D11" s="307"/>
      <c r="E11" s="313" t="s">
        <v>700</v>
      </c>
      <c r="F11" s="314">
        <f ca="1">'数据-取费表'!B39</f>
        <v>1.4999999999999999E-2</v>
      </c>
      <c r="G11" s="1382"/>
      <c r="H11" s="1076"/>
      <c r="I11" s="1365" t="s">
        <v>889</v>
      </c>
      <c r="J11" s="958"/>
      <c r="K11" s="683"/>
      <c r="L11" s="313" t="s">
        <v>700</v>
      </c>
      <c r="M11" s="861">
        <f ca="1">'数据-取费表'!B39</f>
        <v>1.4999999999999999E-2</v>
      </c>
    </row>
    <row r="12" spans="1:37" ht="18" customHeight="1" thickBot="1">
      <c r="A12" s="1081" t="s">
        <v>437</v>
      </c>
      <c r="B12" s="1367" t="s">
        <v>701</v>
      </c>
      <c r="C12" s="1082"/>
      <c r="D12" s="1083"/>
      <c r="E12" s="1088"/>
      <c r="F12" s="1084"/>
      <c r="G12" s="1382"/>
      <c r="H12" s="1081" t="s">
        <v>437</v>
      </c>
      <c r="I12" s="1367" t="s">
        <v>701</v>
      </c>
      <c r="J12" s="1082"/>
      <c r="K12" s="1096"/>
      <c r="L12" s="1088"/>
      <c r="M12" s="1097"/>
    </row>
    <row r="13" spans="1:37" ht="18" customHeight="1" thickTop="1">
      <c r="A13" s="1077">
        <v>2</v>
      </c>
      <c r="B13" s="1078" t="s">
        <v>702</v>
      </c>
      <c r="C13" s="310">
        <f ca="1">ROUND(C29*F13,0)</f>
        <v>2192507</v>
      </c>
      <c r="D13" s="3446" t="s">
        <v>703</v>
      </c>
      <c r="E13" s="3446" t="s">
        <v>704</v>
      </c>
      <c r="F13" s="1080">
        <f ca="1">INDIRECT("'数据-取费表'!y"&amp;$G$1)</f>
        <v>0.78</v>
      </c>
      <c r="G13" s="1382"/>
      <c r="H13" s="1077">
        <v>2</v>
      </c>
      <c r="I13" s="1078" t="s">
        <v>702</v>
      </c>
      <c r="J13" s="1067">
        <f ca="1">ROUND(J14*J15,0)</f>
        <v>0</v>
      </c>
      <c r="K13" s="1085" t="s">
        <v>703</v>
      </c>
      <c r="L13" s="1390"/>
      <c r="M13" s="1391"/>
    </row>
    <row r="14" spans="1:37" ht="18" customHeight="1">
      <c r="A14" s="981" t="s">
        <v>397</v>
      </c>
      <c r="B14" s="302" t="s">
        <v>705</v>
      </c>
      <c r="C14" s="318">
        <f ca="1">ROUND(INDIRECT("'数据-取费表'!l"&amp;$G$1)*F43+'数据-取费表'!L14*INDIRECT("'数据-取费表'!S"&amp;$G$1),0)</f>
        <v>1848330</v>
      </c>
      <c r="D14" s="3463" t="s">
        <v>706</v>
      </c>
      <c r="E14" s="3462"/>
      <c r="F14" s="319"/>
      <c r="G14" s="1382"/>
      <c r="H14" s="981" t="s">
        <v>398</v>
      </c>
      <c r="I14" s="302" t="s">
        <v>707</v>
      </c>
      <c r="J14" s="21">
        <f ca="1">C29</f>
        <v>2810907</v>
      </c>
      <c r="K14" s="3451"/>
      <c r="L14" s="806"/>
      <c r="M14" s="807"/>
    </row>
    <row r="15" spans="1:37" s="1395" customFormat="1" ht="18" customHeight="1" thickBot="1">
      <c r="A15" s="981" t="s">
        <v>399</v>
      </c>
      <c r="B15" s="302" t="s">
        <v>708</v>
      </c>
      <c r="C15" s="21">
        <f ca="1">ROUND(C14*F15,0)</f>
        <v>92417</v>
      </c>
      <c r="D15" s="3447" t="s">
        <v>709</v>
      </c>
      <c r="E15" s="3447" t="s">
        <v>710</v>
      </c>
      <c r="F15" s="321">
        <f>'数据-取费表'!B33</f>
        <v>0.05</v>
      </c>
      <c r="G15" s="1394"/>
      <c r="H15" s="1087" t="s">
        <v>402</v>
      </c>
      <c r="I15" s="1088" t="s">
        <v>704</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678</v>
      </c>
      <c r="B16" s="302" t="s">
        <v>711</v>
      </c>
      <c r="C16" s="21">
        <f ca="1">ROUND(INDIRECT("'数据-取费表'!l"&amp;$G$1)*F43*F16,0)</f>
        <v>0</v>
      </c>
      <c r="D16" s="302" t="s">
        <v>709</v>
      </c>
      <c r="E16" s="302" t="s">
        <v>710</v>
      </c>
      <c r="F16" s="322">
        <f ca="1">IF(INDIRECT("'数据-取费表'!c"&amp;$G$1)="住宅",'数据-取费表'!B34,0)</f>
        <v>0</v>
      </c>
      <c r="G16" s="1382"/>
      <c r="H16" s="1077" t="s">
        <v>393</v>
      </c>
      <c r="I16" s="1078" t="s">
        <v>712</v>
      </c>
      <c r="J16" s="310">
        <f ca="1">ROUND(J17+J22+J23+J24,0)</f>
        <v>15166</v>
      </c>
      <c r="K16" s="1085" t="s">
        <v>713</v>
      </c>
      <c r="L16" s="3467"/>
      <c r="M16" s="1071"/>
    </row>
    <row r="17" spans="1:37" s="1395" customFormat="1" ht="18" customHeight="1">
      <c r="A17" s="981" t="s">
        <v>679</v>
      </c>
      <c r="B17" s="302" t="s">
        <v>714</v>
      </c>
      <c r="C17" s="21">
        <f ca="1">ROUND(F17*(F43+INDIRECT("'数据-取费表'!S"&amp;$G$1)),0)</f>
        <v>82148</v>
      </c>
      <c r="D17" s="302" t="s">
        <v>715</v>
      </c>
      <c r="E17" s="302" t="s">
        <v>716</v>
      </c>
      <c r="F17" s="23">
        <f>'数据-取费表'!B35</f>
        <v>200</v>
      </c>
      <c r="G17" s="1394"/>
      <c r="H17" s="981" t="s">
        <v>398</v>
      </c>
      <c r="I17" s="302" t="s">
        <v>717</v>
      </c>
      <c r="J17" s="2314">
        <f ca="1">ROUND(IF(AND(项目基本情况!B11="自然人",项目基本情况!B10="北京市"),J6*M17/(1+'数据-取费表'!C42),J18+J19+J20),0)</f>
        <v>1111</v>
      </c>
      <c r="K17" s="3463" t="s">
        <v>718</v>
      </c>
      <c r="L17" s="3466" t="s">
        <v>719</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680</v>
      </c>
      <c r="B18" s="302" t="s">
        <v>720</v>
      </c>
      <c r="C18" s="21">
        <f ca="1">ROUND(C14*F18,0)</f>
        <v>36967</v>
      </c>
      <c r="D18" s="302" t="s">
        <v>709</v>
      </c>
      <c r="E18" s="302" t="s">
        <v>710</v>
      </c>
      <c r="F18" s="322">
        <f>'数据-取费表'!B36</f>
        <v>0.02</v>
      </c>
      <c r="G18" s="1394"/>
      <c r="H18" s="981" t="s">
        <v>397</v>
      </c>
      <c r="I18" s="302" t="s">
        <v>721</v>
      </c>
      <c r="J18" s="21">
        <f ca="1">ROUND(J6*M18/(1+'数据-取费表'!C42),0)</f>
        <v>0</v>
      </c>
      <c r="K18" s="3466" t="s">
        <v>722</v>
      </c>
      <c r="L18" s="302" t="s">
        <v>710</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723</v>
      </c>
      <c r="C19" s="21">
        <f ca="1">SUM(C14:C18)</f>
        <v>2059862</v>
      </c>
      <c r="D19" s="131" t="s">
        <v>724</v>
      </c>
      <c r="E19" s="3470"/>
      <c r="F19" s="23"/>
      <c r="G19" s="1382"/>
      <c r="H19" s="981" t="s">
        <v>399</v>
      </c>
      <c r="I19" s="302" t="s">
        <v>725</v>
      </c>
      <c r="J19" s="21">
        <f ca="1">IF(K19="按租金收入计税",ROUND(J6*M19/(1+'数据-取费表'!C42),0),ROUND(C29*M19*0.7,0))</f>
        <v>0</v>
      </c>
      <c r="K19" s="1368" t="s">
        <v>3333</v>
      </c>
      <c r="L19" s="302" t="s">
        <v>710</v>
      </c>
      <c r="M19" s="322">
        <f>IF(K19="按租金收入计税",'数据-取费表'!B51,'数据-取费表'!B50)</f>
        <v>0.12</v>
      </c>
    </row>
    <row r="20" spans="1:37" s="1395" customFormat="1" ht="18" customHeight="1">
      <c r="A20" s="981" t="s">
        <v>402</v>
      </c>
      <c r="B20" s="302" t="s">
        <v>726</v>
      </c>
      <c r="C20" s="21">
        <f ca="1">ROUND(C19*F20,0)</f>
        <v>41197</v>
      </c>
      <c r="D20" s="2426" t="s">
        <v>727</v>
      </c>
      <c r="E20" s="302" t="s">
        <v>710</v>
      </c>
      <c r="F20" s="322">
        <f>'数据-取费表'!B37</f>
        <v>0.02</v>
      </c>
      <c r="G20" s="1394"/>
      <c r="H20" s="981" t="s">
        <v>678</v>
      </c>
      <c r="I20" s="155" t="s">
        <v>728</v>
      </c>
      <c r="J20" s="22">
        <f ca="1">ROUND(M20*M21,0)</f>
        <v>1111</v>
      </c>
      <c r="K20" s="324" t="s">
        <v>729</v>
      </c>
      <c r="L20" s="302" t="s">
        <v>730</v>
      </c>
      <c r="M20" s="325">
        <f>'数据-取费表'!B52</f>
        <v>24</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731</v>
      </c>
      <c r="C21" s="21" t="s">
        <v>0</v>
      </c>
      <c r="D21" s="2426" t="s">
        <v>732</v>
      </c>
      <c r="E21" s="302" t="s">
        <v>733</v>
      </c>
      <c r="F21" s="322">
        <f>'数据-取费表'!B38</f>
        <v>0.02</v>
      </c>
      <c r="G21" s="1394"/>
      <c r="H21" s="326"/>
      <c r="I21" s="311"/>
      <c r="J21" s="26"/>
      <c r="K21" s="327"/>
      <c r="L21" s="302" t="s">
        <v>734</v>
      </c>
      <c r="M21" s="303">
        <f ca="1">INDIRECT("'数据-取费表'!r"&amp;$G$1)</f>
        <v>46.29</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681</v>
      </c>
      <c r="B22" s="302" t="s">
        <v>735</v>
      </c>
      <c r="C22" s="21"/>
      <c r="D22" s="131" t="str">
        <f>IF(F23&lt;=1,"单利计息。","复利计息。")&amp;"建造成本、管理费用、销售费用产生的利息。"</f>
        <v>复利计息。建造成本、管理费用、销售费用产生的利息。</v>
      </c>
      <c r="E22" s="3470"/>
      <c r="F22" s="23"/>
      <c r="G22" s="1382"/>
      <c r="H22" s="981" t="s">
        <v>402</v>
      </c>
      <c r="I22" s="302" t="s">
        <v>736</v>
      </c>
      <c r="J22" s="21">
        <f ca="1">ROUND(J14*M22,0)</f>
        <v>14055</v>
      </c>
      <c r="K22" s="3466" t="s">
        <v>737</v>
      </c>
      <c r="L22" s="302" t="s">
        <v>710</v>
      </c>
      <c r="M22" s="328">
        <f ca="1">INDIRECT("'数据-取费表'!Ak"&amp;$G$1)</f>
        <v>5.0000000000000001E-3</v>
      </c>
    </row>
    <row r="23" spans="1:37" s="1395" customFormat="1" ht="18" customHeight="1">
      <c r="A23" s="981" t="s">
        <v>397</v>
      </c>
      <c r="B23" s="302" t="s">
        <v>738</v>
      </c>
      <c r="C23" s="21">
        <f ca="1">IF('数据-取费表'!B22&lt;=1,ROUND(C19*F24*F23/2,0)+ROUND(C20*F24*F23/2,0),ROUND(C19*(POWER((1+F24),F23/2)-1),0)+ROUND(C20*(POWER((1+F24),F23/2)-1),0))</f>
        <v>70385</v>
      </c>
      <c r="D23" s="329" t="str">
        <f>IF(F23&lt;=1,"(建造成本+管理费用)×利率×(建设周期÷2)","(建造成本+管理费用)×((1+利率)^(建设周期÷2)-1)")</f>
        <v>(建造成本+管理费用)×((1+利率)^(建设周期÷2)-1)</v>
      </c>
      <c r="E23" s="302" t="s">
        <v>739</v>
      </c>
      <c r="F23" s="325">
        <f>'数据-取费表'!B20</f>
        <v>2</v>
      </c>
      <c r="G23" s="1394"/>
      <c r="H23" s="981" t="s">
        <v>437</v>
      </c>
      <c r="I23" s="302" t="s">
        <v>740</v>
      </c>
      <c r="J23" s="21">
        <f ca="1">ROUND(J13*M23,0)</f>
        <v>0</v>
      </c>
      <c r="K23" s="3466" t="s">
        <v>741</v>
      </c>
      <c r="L23" s="302" t="s">
        <v>742</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743</v>
      </c>
      <c r="B24" s="302" t="s">
        <v>744</v>
      </c>
      <c r="C24" s="21">
        <f>ROUND(IF('数据-取费表'!B22&lt;=1,F21*F24*F23/2,F21*(POWER((1+F24),F23/2)-1)),4)</f>
        <v>6.9999999999999999E-4</v>
      </c>
      <c r="D24" s="329" t="str">
        <f>IF(F23&lt;=1,"销售费用×利率×(建设周期÷2)","销售费用×((1+利率)^(建设周期÷2)-1)")</f>
        <v>销售费用×((1+利率)^(建设周期÷2)-1)</v>
      </c>
      <c r="E24" s="302" t="s">
        <v>745</v>
      </c>
      <c r="F24" s="331">
        <f>'数据-取费表'!B40</f>
        <v>3.3500000000000002E-2</v>
      </c>
      <c r="G24" s="1394"/>
      <c r="H24" s="1087" t="s">
        <v>682</v>
      </c>
      <c r="I24" s="1088" t="s">
        <v>726</v>
      </c>
      <c r="J24" s="1089">
        <f ca="1">ROUND(J5*M24,0)</f>
        <v>0</v>
      </c>
      <c r="K24" s="1090" t="s">
        <v>746</v>
      </c>
      <c r="L24" s="1088" t="s">
        <v>742</v>
      </c>
      <c r="M24" s="1084">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1" t="s">
        <v>747</v>
      </c>
      <c r="B25" s="302" t="s">
        <v>748</v>
      </c>
      <c r="C25" s="21"/>
      <c r="D25" s="131" t="s">
        <v>749</v>
      </c>
      <c r="E25" s="3470"/>
      <c r="F25" s="23"/>
      <c r="G25" s="1382"/>
      <c r="H25" s="1077" t="s">
        <v>394</v>
      </c>
      <c r="I25" s="1092" t="s">
        <v>750</v>
      </c>
      <c r="J25" s="310">
        <f ca="1">J5-J16</f>
        <v>-15166</v>
      </c>
      <c r="K25" s="1093" t="s">
        <v>751</v>
      </c>
      <c r="L25" s="1094"/>
      <c r="M25" s="1095"/>
    </row>
    <row r="26" spans="1:37" ht="18" customHeight="1">
      <c r="A26" s="981" t="s">
        <v>397</v>
      </c>
      <c r="B26" s="302" t="s">
        <v>752</v>
      </c>
      <c r="C26" s="21">
        <f ca="1">ROUND((C19+C20)*F26,0)</f>
        <v>420212</v>
      </c>
      <c r="D26" s="2426" t="s">
        <v>753</v>
      </c>
      <c r="E26" s="313" t="s">
        <v>754</v>
      </c>
      <c r="F26" s="312">
        <f ca="1">INDIRECT("'数据-取费表'!q"&amp;$G$1)</f>
        <v>0.2</v>
      </c>
      <c r="G26" s="1382"/>
      <c r="H26" s="299" t="s">
        <v>395</v>
      </c>
      <c r="I26" s="300" t="s">
        <v>755</v>
      </c>
      <c r="J26" s="301">
        <f ca="1">IF(J5&lt;&gt;0,ROUND(J25*(1-((1+M28)/(1+M26))^M27)/(M26-M28),0),0)</f>
        <v>0</v>
      </c>
      <c r="K26" s="324" t="s">
        <v>756</v>
      </c>
      <c r="L26" s="302" t="s">
        <v>757</v>
      </c>
      <c r="M26" s="312">
        <f ca="1">INDIRECT("'数据-取费表'!I"&amp;$G$1)</f>
        <v>0.06</v>
      </c>
    </row>
    <row r="27" spans="1:37" ht="18" customHeight="1">
      <c r="A27" s="981" t="s">
        <v>399</v>
      </c>
      <c r="B27" s="302" t="s">
        <v>758</v>
      </c>
      <c r="C27" s="21">
        <f ca="1">ROUND(F21*F26,4)</f>
        <v>4.0000000000000001E-3</v>
      </c>
      <c r="D27" s="2426" t="s">
        <v>759</v>
      </c>
      <c r="E27" s="3447"/>
      <c r="F27" s="321"/>
      <c r="G27" s="1382"/>
      <c r="H27" s="304"/>
      <c r="I27" s="305"/>
      <c r="J27" s="306"/>
      <c r="K27" s="332" t="s">
        <v>760</v>
      </c>
      <c r="L27" s="302" t="s">
        <v>761</v>
      </c>
      <c r="M27" s="333">
        <f ca="1">INDIRECT("'数据-取费表'!ag"&amp;$G$1)</f>
        <v>0</v>
      </c>
    </row>
    <row r="28" spans="1:37" s="1395" customFormat="1" ht="18" customHeight="1">
      <c r="A28" s="981" t="s">
        <v>400</v>
      </c>
      <c r="B28" s="302" t="s">
        <v>762</v>
      </c>
      <c r="C28" s="21">
        <f>ROUND(F28/(1+'数据-取费表'!C42),4)</f>
        <v>5.33E-2</v>
      </c>
      <c r="D28" s="2426" t="s">
        <v>763</v>
      </c>
      <c r="E28" s="302" t="s">
        <v>710</v>
      </c>
      <c r="F28" s="322">
        <f>'数据-取费表'!B41</f>
        <v>5.6000000000000001E-2</v>
      </c>
      <c r="G28" s="1394"/>
      <c r="H28" s="308"/>
      <c r="I28" s="309"/>
      <c r="J28" s="310"/>
      <c r="K28" s="327"/>
      <c r="L28" s="302" t="s">
        <v>764</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765</v>
      </c>
      <c r="C29" s="1089">
        <f ca="1">ROUND((C19+C20+C23+C26)/(1-F21-C24-C27-C28),0)</f>
        <v>2810907</v>
      </c>
      <c r="D29" s="1090"/>
      <c r="E29" s="1088"/>
      <c r="F29" s="1091"/>
      <c r="G29" s="1394"/>
      <c r="H29" s="334" t="s">
        <v>396</v>
      </c>
      <c r="I29" s="335" t="s">
        <v>766</v>
      </c>
      <c r="J29" s="336">
        <f ca="1">ROUND(J26/(1+F40)^F41,0)</f>
        <v>0</v>
      </c>
      <c r="K29" s="337" t="s">
        <v>767</v>
      </c>
      <c r="L29" s="338"/>
      <c r="M29" s="339">
        <f ca="1">INDIRECT("'数据-取费表'!k"&amp;$G$1)</f>
        <v>410.74</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712</v>
      </c>
      <c r="C30" s="310">
        <f ca="1">ROUND(C31+C36+C37+C38,0)</f>
        <v>328937</v>
      </c>
      <c r="D30" s="1085" t="s">
        <v>713</v>
      </c>
      <c r="E30" s="3467"/>
      <c r="F30" s="1071"/>
      <c r="G30" s="1382"/>
      <c r="H30" s="2693"/>
      <c r="I30" s="1396"/>
      <c r="J30" s="1397"/>
      <c r="K30" s="2472"/>
      <c r="L30" s="2694"/>
      <c r="M30" s="2695"/>
    </row>
    <row r="31" spans="1:37" ht="18" customHeight="1">
      <c r="A31" s="981" t="s">
        <v>398</v>
      </c>
      <c r="B31" s="302" t="s">
        <v>717</v>
      </c>
      <c r="C31" s="2314">
        <f ca="1">ROUND(IF(AND(项目基本情况!B11="自然人",项目基本情况!B10="北京市"),C6*F31/(1+'数据-取费表'!C42),C32+C33+C34),0)</f>
        <v>295126</v>
      </c>
      <c r="D31" s="3463" t="s">
        <v>718</v>
      </c>
      <c r="E31" s="3466" t="s">
        <v>768</v>
      </c>
      <c r="F31" s="2313" t="str">
        <f>IF(项目基本情况!B11="企业","——",IF(M47="住宅",IF(F6*F7*F8/12/(1+'数据-取费表'!F30)&gt;100000,4%,2.5%),IF(F6*F7*F8/12/(1+'数据-取费表'!F30)&gt;100000,12%,7%)))</f>
        <v>——</v>
      </c>
      <c r="G31" s="1382"/>
      <c r="H31" s="2804" t="s">
        <v>2303</v>
      </c>
      <c r="I31" s="1396"/>
      <c r="J31" s="1397"/>
      <c r="K31" s="2472"/>
      <c r="L31" s="2694"/>
      <c r="M31" s="2695"/>
    </row>
    <row r="32" spans="1:37" ht="18" customHeight="1">
      <c r="A32" s="981" t="s">
        <v>397</v>
      </c>
      <c r="B32" s="302" t="s">
        <v>721</v>
      </c>
      <c r="C32" s="21">
        <f ca="1">IF(项目基本情况!B11="自然人","——",ROUND(C6*F32/(1+'数据-取费表'!C42),0))</f>
        <v>93550</v>
      </c>
      <c r="D32" s="3466" t="s">
        <v>722</v>
      </c>
      <c r="E32" s="302" t="s">
        <v>710</v>
      </c>
      <c r="F32" s="331">
        <f>'数据-取费表'!B41</f>
        <v>5.6000000000000001E-2</v>
      </c>
      <c r="G32" s="1382"/>
      <c r="H32" s="2693"/>
      <c r="I32" s="1396"/>
      <c r="J32" s="1397"/>
      <c r="K32" s="2472"/>
      <c r="L32" s="2694"/>
      <c r="M32" s="2695"/>
    </row>
    <row r="33" spans="1:18" ht="18" customHeight="1">
      <c r="A33" s="981" t="s">
        <v>399</v>
      </c>
      <c r="B33" s="302" t="s">
        <v>725</v>
      </c>
      <c r="C33" s="21">
        <f ca="1">IF(项目基本情况!B11="自然人","——",IF(D33="按租金收入计税",ROUND(C6*F33/(1+'数据-取费表'!C42),0),IF(D33="按房产原值计税",ROUND(C29*F33*0.7,0),INDIRECT("'数据-取费表'!Aj"&amp;$G$1))))</f>
        <v>200465</v>
      </c>
      <c r="D33" s="1368" t="s">
        <v>3333</v>
      </c>
      <c r="E33" s="302" t="s">
        <v>710</v>
      </c>
      <c r="F33" s="322">
        <f>IF(D33="按票据","——",IF(D33="按租金收入计税",'数据-取费表'!B51,'数据-取费表'!B50))</f>
        <v>0.12</v>
      </c>
      <c r="G33" s="1382"/>
      <c r="H33" s="2696"/>
      <c r="I33" s="1396"/>
      <c r="J33" s="1397"/>
      <c r="K33" s="2697"/>
      <c r="L33" s="2696"/>
      <c r="M33" s="2696"/>
    </row>
    <row r="34" spans="1:18" ht="18" customHeight="1">
      <c r="A34" s="1068" t="s">
        <v>678</v>
      </c>
      <c r="B34" s="155" t="s">
        <v>728</v>
      </c>
      <c r="C34" s="22">
        <f ca="1">IF(项目基本情况!B11="自然人","——",ROUND(F34*F35,0))</f>
        <v>1111</v>
      </c>
      <c r="D34" s="324" t="s">
        <v>729</v>
      </c>
      <c r="E34" s="302" t="s">
        <v>730</v>
      </c>
      <c r="F34" s="325">
        <f>'数据-取费表'!B52</f>
        <v>24</v>
      </c>
      <c r="G34" s="1382"/>
      <c r="H34" s="2693"/>
      <c r="I34" s="1396"/>
      <c r="J34" s="1397"/>
      <c r="K34" s="2698"/>
      <c r="L34" s="2699"/>
      <c r="M34" s="2699"/>
    </row>
    <row r="35" spans="1:18" ht="18" customHeight="1">
      <c r="A35" s="1101"/>
      <c r="B35" s="1099"/>
      <c r="C35" s="26"/>
      <c r="D35" s="327"/>
      <c r="E35" s="302" t="s">
        <v>734</v>
      </c>
      <c r="F35" s="303">
        <f ca="1">INDIRECT("'数据-取费表'!r"&amp;$G$1)</f>
        <v>46.29</v>
      </c>
      <c r="G35" s="1382"/>
      <c r="H35" s="2693"/>
      <c r="I35" s="1396"/>
      <c r="J35" s="1397"/>
      <c r="K35" s="2697"/>
      <c r="L35" s="2696"/>
      <c r="M35" s="2696"/>
    </row>
    <row r="36" spans="1:18" ht="18" customHeight="1">
      <c r="A36" s="1100" t="s">
        <v>402</v>
      </c>
      <c r="B36" s="302" t="s">
        <v>736</v>
      </c>
      <c r="C36" s="21">
        <f ca="1">ROUND(C29*F36,0)</f>
        <v>14055</v>
      </c>
      <c r="D36" s="3466" t="s">
        <v>769</v>
      </c>
      <c r="E36" s="302" t="s">
        <v>710</v>
      </c>
      <c r="F36" s="328">
        <f ca="1">INDIRECT("'数据-取费表'!Ak"&amp;$G$1)</f>
        <v>5.0000000000000001E-3</v>
      </c>
      <c r="G36" s="1382"/>
      <c r="H36" s="2696"/>
      <c r="I36" s="1396"/>
      <c r="J36" s="1397"/>
      <c r="K36" s="2540"/>
      <c r="L36" s="2696"/>
      <c r="M36" s="2696"/>
    </row>
    <row r="37" spans="1:18" ht="18" customHeight="1">
      <c r="A37" s="981" t="s">
        <v>437</v>
      </c>
      <c r="B37" s="302" t="s">
        <v>740</v>
      </c>
      <c r="C37" s="21">
        <f ca="1">ROUND(C13*F37,0)</f>
        <v>2193</v>
      </c>
      <c r="D37" s="3466" t="s">
        <v>741</v>
      </c>
      <c r="E37" s="302" t="s">
        <v>742</v>
      </c>
      <c r="F37" s="330">
        <f ca="1">INDIRECT("'数据-取费表'!Al"&amp;$G$1)</f>
        <v>1E-3</v>
      </c>
      <c r="G37" s="1382"/>
      <c r="H37" s="2696"/>
      <c r="I37" s="1396"/>
      <c r="J37" s="1397"/>
      <c r="K37" s="2540"/>
      <c r="L37" s="2696"/>
      <c r="M37" s="2696"/>
    </row>
    <row r="38" spans="1:18" ht="18" customHeight="1" thickBot="1">
      <c r="A38" s="1087" t="s">
        <v>682</v>
      </c>
      <c r="B38" s="1088" t="s">
        <v>726</v>
      </c>
      <c r="C38" s="1089">
        <f ca="1">ROUND(C5*F38,0)</f>
        <v>17563</v>
      </c>
      <c r="D38" s="1090" t="s">
        <v>746</v>
      </c>
      <c r="E38" s="1088" t="s">
        <v>742</v>
      </c>
      <c r="F38" s="1084">
        <f ca="1">INDIRECT("'数据-取费表'!Am"&amp;$G$1)</f>
        <v>0.01</v>
      </c>
      <c r="G38" s="1382"/>
      <c r="H38" s="2696"/>
      <c r="I38" s="1396"/>
      <c r="J38" s="1397"/>
      <c r="K38" s="2700"/>
      <c r="L38" s="2696"/>
      <c r="M38" s="2696"/>
    </row>
    <row r="39" spans="1:18" ht="24.6" customHeight="1" thickTop="1">
      <c r="A39" s="1077" t="s">
        <v>394</v>
      </c>
      <c r="B39" s="1092" t="s">
        <v>770</v>
      </c>
      <c r="C39" s="310">
        <f ca="1">C5-C30</f>
        <v>1427321</v>
      </c>
      <c r="D39" s="1093" t="s">
        <v>771</v>
      </c>
      <c r="E39" s="1094"/>
      <c r="F39" s="1095"/>
      <c r="G39" s="1382"/>
      <c r="H39" s="2696"/>
      <c r="I39" s="1396"/>
      <c r="J39" s="1397"/>
      <c r="K39" s="2700"/>
      <c r="L39" s="2696"/>
      <c r="M39" s="2696"/>
    </row>
    <row r="40" spans="1:18" ht="18" customHeight="1">
      <c r="A40" s="299" t="s">
        <v>395</v>
      </c>
      <c r="B40" s="300" t="s">
        <v>772</v>
      </c>
      <c r="C40" s="301">
        <f ca="1">ROUND(C39*(1-((1+F42)/(1+F40))^F41)/(F40-F42),0)</f>
        <v>18906734</v>
      </c>
      <c r="D40" s="324" t="s">
        <v>756</v>
      </c>
      <c r="E40" s="302" t="s">
        <v>757</v>
      </c>
      <c r="F40" s="312">
        <f ca="1">INDIRECT("'数据-取费表'!I"&amp;$G$1)</f>
        <v>0.06</v>
      </c>
      <c r="G40" s="1382"/>
      <c r="H40" s="1459">
        <f ca="1">C39/C6</f>
        <v>0.81372184041070317</v>
      </c>
      <c r="I40" s="1396"/>
      <c r="J40" s="1397"/>
      <c r="K40" s="2700"/>
      <c r="L40" s="1459"/>
      <c r="M40" s="1459"/>
    </row>
    <row r="41" spans="1:18" ht="18" customHeight="1">
      <c r="A41" s="304"/>
      <c r="B41" s="305"/>
      <c r="C41" s="306"/>
      <c r="D41" s="332" t="s">
        <v>773</v>
      </c>
      <c r="E41" s="302" t="s">
        <v>761</v>
      </c>
      <c r="F41" s="333">
        <f ca="1">IF(INDIRECT("'数据-取费表'!af"&amp;$G$1)=0,INDIRECT("'数据-取费表'!ae"&amp;$G$1),INDIRECT("'数据-取费表'!af"&amp;$G$1))</f>
        <v>19.62</v>
      </c>
      <c r="G41" s="1382"/>
      <c r="H41" s="1189"/>
      <c r="I41" s="1396"/>
      <c r="J41" s="1397"/>
      <c r="K41" s="2540"/>
      <c r="L41" s="1189"/>
      <c r="M41" s="1189"/>
    </row>
    <row r="42" spans="1:18" ht="18" customHeight="1">
      <c r="A42" s="308"/>
      <c r="B42" s="309"/>
      <c r="C42" s="310"/>
      <c r="D42" s="327"/>
      <c r="E42" s="302" t="s">
        <v>764</v>
      </c>
      <c r="F42" s="312">
        <f ca="1">INDIRECT("'数据-取费表'!v"&amp;$G$1)</f>
        <v>0.02</v>
      </c>
      <c r="G42" s="1382"/>
      <c r="H42" s="1189"/>
      <c r="I42" s="1396"/>
      <c r="J42" s="1397"/>
      <c r="K42" s="2540"/>
      <c r="L42" s="1189"/>
      <c r="M42" s="1189"/>
    </row>
    <row r="43" spans="1:18" ht="18" customHeight="1" thickBot="1">
      <c r="A43" s="334" t="s">
        <v>396</v>
      </c>
      <c r="B43" s="335" t="s">
        <v>774</v>
      </c>
      <c r="C43" s="336">
        <f ca="1">ROUND(C40/F43,0)</f>
        <v>46031</v>
      </c>
      <c r="D43" s="337" t="s">
        <v>775</v>
      </c>
      <c r="E43" s="338" t="s">
        <v>776</v>
      </c>
      <c r="F43" s="339">
        <f ca="1">INDIRECT("'数据-取费表'!k"&amp;$G$1)</f>
        <v>410.74</v>
      </c>
      <c r="G43" s="1382"/>
      <c r="H43" s="1189"/>
      <c r="I43" s="1189"/>
      <c r="J43" s="1189"/>
      <c r="K43" s="2540"/>
      <c r="L43" s="1189"/>
      <c r="M43" s="1189"/>
    </row>
    <row r="44" spans="1:18" s="1382" customFormat="1" ht="18" customHeight="1">
      <c r="A44" s="1398"/>
      <c r="B44" s="1398"/>
      <c r="C44" s="1399"/>
      <c r="D44" s="1398"/>
      <c r="E44" s="1398"/>
      <c r="F44" s="1398"/>
      <c r="K44" s="1400"/>
    </row>
    <row r="45" spans="1:18" s="1382" customFormat="1" ht="18" customHeight="1" thickBot="1">
      <c r="A45" s="3427" t="s">
        <v>3349</v>
      </c>
      <c r="B45" s="1398"/>
      <c r="C45" s="1470">
        <f ca="1">ROUND((C68-C40)/10000,4)</f>
        <v>-1910.3821</v>
      </c>
      <c r="D45" s="3428" t="s">
        <v>3350</v>
      </c>
      <c r="E45" s="1398"/>
      <c r="F45" s="1398"/>
      <c r="O45" s="1401" t="s">
        <v>806</v>
      </c>
      <c r="P45" s="1459"/>
      <c r="Q45" s="1459"/>
      <c r="R45" s="1459"/>
    </row>
    <row r="46" spans="1:18" s="1382" customFormat="1" ht="13.5" thickBot="1">
      <c r="A46" s="1402" t="s">
        <v>807</v>
      </c>
      <c r="C46" s="1403">
        <f ca="1">ROUND(C45,0)</f>
        <v>-1910</v>
      </c>
      <c r="D46" s="1404" t="str">
        <f>C2</f>
        <v>万元</v>
      </c>
      <c r="I46" s="1405" t="s">
        <v>808</v>
      </c>
      <c r="J46" s="1406"/>
      <c r="K46" s="1407"/>
      <c r="L46" s="1408">
        <f ca="1">IF(M47="住宅",0,IF(L48&gt;J51,L60,J60))</f>
        <v>310154</v>
      </c>
      <c r="O46" s="1409" t="s">
        <v>809</v>
      </c>
      <c r="P46" s="1410" t="s">
        <v>810</v>
      </c>
      <c r="Q46" s="1411" t="s">
        <v>811</v>
      </c>
      <c r="R46" s="1411" t="s">
        <v>812</v>
      </c>
    </row>
    <row r="47" spans="1:18" s="1382" customFormat="1" ht="13.5" thickBot="1">
      <c r="A47" s="945" t="s">
        <v>685</v>
      </c>
      <c r="B47" s="977" t="s">
        <v>686</v>
      </c>
      <c r="C47" s="977" t="s">
        <v>687</v>
      </c>
      <c r="D47" s="977" t="s">
        <v>688</v>
      </c>
      <c r="E47" s="1057" t="s">
        <v>689</v>
      </c>
      <c r="F47" s="1058"/>
      <c r="G47" s="721"/>
      <c r="I47" s="1412" t="s">
        <v>813</v>
      </c>
      <c r="J47" s="1413" t="s">
        <v>3461</v>
      </c>
      <c r="K47" s="1414" t="s">
        <v>814</v>
      </c>
      <c r="L47" s="1415">
        <f ca="1">INDIRECT("'数据-取费表'!d"&amp;$G$1)</f>
        <v>40</v>
      </c>
      <c r="M47" s="1378" t="str">
        <f>IF(ISNUMBER(FIND("住宅",C1)),"住宅","非住宅")</f>
        <v>非住宅</v>
      </c>
      <c r="O47" s="1416" t="s">
        <v>403</v>
      </c>
      <c r="P47" s="1417" t="s">
        <v>815</v>
      </c>
      <c r="Q47" s="1418">
        <f ca="1">C40+J29</f>
        <v>18906734</v>
      </c>
      <c r="R47" s="1418" t="s">
        <v>816</v>
      </c>
    </row>
    <row r="48" spans="1:18" s="1382" customFormat="1" ht="28.5" thickBot="1">
      <c r="A48" s="1108" t="s">
        <v>438</v>
      </c>
      <c r="B48" s="300" t="s">
        <v>690</v>
      </c>
      <c r="C48" s="3469">
        <f ca="1">C49+C53+C55</f>
        <v>0</v>
      </c>
      <c r="D48" s="1110"/>
      <c r="E48" s="1111"/>
      <c r="F48" s="961"/>
      <c r="G48" s="721"/>
      <c r="H48" s="722"/>
      <c r="I48" s="1419" t="s">
        <v>817</v>
      </c>
      <c r="J48" s="1420" t="s">
        <v>3524</v>
      </c>
      <c r="K48" s="1421" t="s">
        <v>818</v>
      </c>
      <c r="L48" s="1422">
        <f ca="1">INDIRECT("'数据-取费表'!f"&amp;$G$1)</f>
        <v>19.62</v>
      </c>
      <c r="O48" s="1416" t="s">
        <v>404</v>
      </c>
      <c r="P48" s="1417" t="s">
        <v>819</v>
      </c>
      <c r="Q48" s="1418">
        <f ca="1">J60</f>
        <v>310154</v>
      </c>
      <c r="R48" s="1418" t="s">
        <v>820</v>
      </c>
    </row>
    <row r="49" spans="1:18" s="1382" customFormat="1" ht="13.5" thickBot="1">
      <c r="A49" s="974" t="s">
        <v>439</v>
      </c>
      <c r="B49" s="1369" t="s">
        <v>777</v>
      </c>
      <c r="C49" s="1112">
        <f ca="1">ROUND(F49*F51*F50*(1-F52),0)</f>
        <v>0</v>
      </c>
      <c r="D49" s="1054" t="s">
        <v>693</v>
      </c>
      <c r="E49" s="1370" t="s">
        <v>778</v>
      </c>
      <c r="F49" s="1059"/>
      <c r="G49" s="1423"/>
      <c r="H49" s="722"/>
      <c r="I49" s="1419" t="s">
        <v>821</v>
      </c>
      <c r="J49" s="1424">
        <f>取值过程!C16</f>
        <v>2011</v>
      </c>
      <c r="K49" s="1421" t="s">
        <v>822</v>
      </c>
      <c r="L49" s="1425"/>
      <c r="O49" s="1426" t="s">
        <v>405</v>
      </c>
      <c r="P49" s="1417" t="s">
        <v>823</v>
      </c>
      <c r="Q49" s="1418">
        <f ca="1">C29</f>
        <v>2810907</v>
      </c>
      <c r="R49" s="1418" t="s">
        <v>816</v>
      </c>
    </row>
    <row r="50" spans="1:18" s="1382" customFormat="1" ht="13.5" thickBot="1">
      <c r="A50" s="975"/>
      <c r="B50" s="978"/>
      <c r="C50" s="979"/>
      <c r="D50" s="952"/>
      <c r="E50" s="1055" t="s">
        <v>695</v>
      </c>
      <c r="F50" s="1056">
        <f ca="1">F7</f>
        <v>410.74</v>
      </c>
      <c r="H50" s="722"/>
      <c r="I50" s="1419" t="s">
        <v>824</v>
      </c>
      <c r="J50" s="1427">
        <f>SUMPRODUCT((I63:I65=J47)*(J62:L62=J48)*(J63:L65))</f>
        <v>60</v>
      </c>
      <c r="K50" s="1421" t="s">
        <v>825</v>
      </c>
      <c r="L50" s="1425"/>
      <c r="M50" s="1428"/>
      <c r="O50" s="1426" t="s">
        <v>406</v>
      </c>
      <c r="P50" s="1417" t="s">
        <v>826</v>
      </c>
      <c r="Q50" s="1429">
        <f ca="1">J58</f>
        <v>0.45600000000000002</v>
      </c>
      <c r="R50" s="1418"/>
    </row>
    <row r="51" spans="1:18" s="1382" customFormat="1" ht="13.5" thickBot="1">
      <c r="A51" s="976"/>
      <c r="B51" s="978"/>
      <c r="C51" s="979"/>
      <c r="D51" s="952"/>
      <c r="E51" s="980" t="s">
        <v>696</v>
      </c>
      <c r="F51" s="303">
        <f ca="1">F8</f>
        <v>365</v>
      </c>
      <c r="I51" s="1430" t="s">
        <v>827</v>
      </c>
      <c r="J51" s="1431">
        <f>IF(J49="",J50,J49+J50-YEAR('数据-取费表'!B2))</f>
        <v>47</v>
      </c>
      <c r="K51" s="1432" t="s">
        <v>828</v>
      </c>
      <c r="L51" s="1433">
        <f ca="1">ROUND(-PV(INDIRECT("'数据-取费表'!h"&amp;$G$1),J51,(C39-C13*C76),0),0)</f>
        <v>22905036</v>
      </c>
      <c r="M51" s="1434"/>
      <c r="O51" s="1426" t="s">
        <v>407</v>
      </c>
      <c r="P51" s="1417" t="s">
        <v>829</v>
      </c>
      <c r="Q51" s="1429">
        <f>J52</f>
        <v>7.4999999999999997E-2</v>
      </c>
      <c r="R51" s="1418"/>
    </row>
    <row r="52" spans="1:18" s="1382" customFormat="1" ht="13.5" thickBot="1">
      <c r="A52" s="976"/>
      <c r="B52" s="978"/>
      <c r="C52" s="979"/>
      <c r="D52" s="952"/>
      <c r="E52" s="980" t="s">
        <v>697</v>
      </c>
      <c r="F52" s="1053"/>
      <c r="I52" s="1435" t="s">
        <v>830</v>
      </c>
      <c r="J52" s="1436">
        <v>7.4999999999999997E-2</v>
      </c>
      <c r="K52" s="1435" t="s">
        <v>831</v>
      </c>
      <c r="L52" s="1436"/>
      <c r="O52" s="1426" t="s">
        <v>408</v>
      </c>
      <c r="P52" s="1417" t="s">
        <v>832</v>
      </c>
      <c r="Q52" s="1418">
        <f ca="1">J53</f>
        <v>19.62</v>
      </c>
      <c r="R52" s="1418" t="s">
        <v>833</v>
      </c>
    </row>
    <row r="53" spans="1:18" s="1382" customFormat="1" ht="30.75" customHeight="1" thickBot="1">
      <c r="A53" s="1109" t="s">
        <v>440</v>
      </c>
      <c r="B53" s="2426" t="s">
        <v>698</v>
      </c>
      <c r="C53" s="316">
        <f ca="1">ROUND(IF(F53="押一",C49/12*F11,IF(F53="押二",C49/12*2*F11,IF(F53="押三",C49/12*3*F11,C54*F11))),0)</f>
        <v>0</v>
      </c>
      <c r="D53" s="1364" t="s">
        <v>2116</v>
      </c>
      <c r="E53" s="313" t="s">
        <v>699</v>
      </c>
      <c r="F53" s="1114"/>
      <c r="I53" s="1437" t="s">
        <v>834</v>
      </c>
      <c r="J53" s="2166">
        <f ca="1">IF(M47="住宅",IF(D1="——",MAX(J51,L48),MAX(J51,L48-'数据-取费表'!B24)),IF(D1="——",MIN(J51,L48),MIN(J51,L48-'数据-取费表'!B24)))</f>
        <v>19.62</v>
      </c>
      <c r="K53" s="3708" t="s">
        <v>835</v>
      </c>
      <c r="L53" s="3709"/>
      <c r="O53" s="1416" t="s">
        <v>409</v>
      </c>
      <c r="P53" s="1417" t="s">
        <v>836</v>
      </c>
      <c r="Q53" s="1418">
        <f ca="1">Q47+Q48</f>
        <v>19216888</v>
      </c>
      <c r="R53" s="1418" t="s">
        <v>410</v>
      </c>
    </row>
    <row r="54" spans="1:18" s="1382" customFormat="1" ht="13.5" thickBot="1">
      <c r="A54" s="974"/>
      <c r="B54" s="1471" t="s">
        <v>889</v>
      </c>
      <c r="C54" s="958"/>
      <c r="D54" s="1364"/>
      <c r="E54" s="3455"/>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837</v>
      </c>
      <c r="P54" s="1379"/>
      <c r="Q54" s="1379"/>
      <c r="R54" s="1379"/>
    </row>
    <row r="55" spans="1:18" s="1382" customFormat="1" ht="13.5" thickBot="1">
      <c r="A55" s="1081" t="s">
        <v>437</v>
      </c>
      <c r="B55" s="1367" t="s">
        <v>701</v>
      </c>
      <c r="C55" s="1082"/>
      <c r="D55" s="1364"/>
      <c r="E55" s="3455"/>
      <c r="F55" s="1438"/>
      <c r="I55" s="1441" t="s">
        <v>838</v>
      </c>
      <c r="J55" s="1442">
        <f ca="1">ROUND(IF(J47="钢混",J57/J50,1-(1-2%)*(J50-J57)/J50),3)</f>
        <v>0.45600000000000002</v>
      </c>
      <c r="K55" s="1443" t="s">
        <v>839</v>
      </c>
      <c r="L55" s="1444"/>
      <c r="O55" s="1409" t="s">
        <v>809</v>
      </c>
      <c r="P55" s="1410" t="s">
        <v>810</v>
      </c>
      <c r="Q55" s="1411" t="s">
        <v>811</v>
      </c>
      <c r="R55" s="1411" t="s">
        <v>812</v>
      </c>
    </row>
    <row r="56" spans="1:18" s="1382" customFormat="1" ht="36" customHeight="1" thickTop="1" thickBot="1">
      <c r="A56" s="956">
        <v>2</v>
      </c>
      <c r="B56" s="957" t="s">
        <v>702</v>
      </c>
      <c r="C56" s="232">
        <f ca="1">C13</f>
        <v>2192507</v>
      </c>
      <c r="D56" s="1445"/>
      <c r="E56" s="1446"/>
      <c r="F56" s="1438"/>
      <c r="I56" s="1447" t="s">
        <v>840</v>
      </c>
      <c r="J56" s="1448"/>
      <c r="K56" s="1419" t="s">
        <v>841</v>
      </c>
      <c r="L56" s="1422" t="str">
        <f ca="1">IF(L48&lt;J51,"——",L48-J51)</f>
        <v>——</v>
      </c>
      <c r="O56" s="1416" t="s">
        <v>403</v>
      </c>
      <c r="P56" s="1417" t="s">
        <v>815</v>
      </c>
      <c r="Q56" s="1418">
        <f ca="1">C40+J29</f>
        <v>18906734</v>
      </c>
      <c r="R56" s="1418" t="s">
        <v>816</v>
      </c>
    </row>
    <row r="57" spans="1:18" s="1382" customFormat="1" ht="24.75" thickBot="1">
      <c r="A57" s="1449"/>
      <c r="B57" s="949" t="s">
        <v>765</v>
      </c>
      <c r="C57" s="238">
        <f ca="1">C29</f>
        <v>2810907</v>
      </c>
      <c r="D57" s="1450"/>
      <c r="E57" s="1451"/>
      <c r="F57" s="1452"/>
      <c r="I57" s="1453" t="s">
        <v>842</v>
      </c>
      <c r="J57" s="1454">
        <f ca="1">IF(OR(M47="住宅",J51&lt;L48,J56="是"),"——",J51-L48)</f>
        <v>27.38</v>
      </c>
      <c r="K57" s="1419" t="s">
        <v>890</v>
      </c>
      <c r="L57" s="1422" t="str">
        <f ca="1">IF(L48&lt;J51,"——",IF(L55="比较法",L49,IF(L55="基准地价",L50,L51)))</f>
        <v>——</v>
      </c>
      <c r="O57" s="1416" t="s">
        <v>404</v>
      </c>
      <c r="P57" s="1417" t="s">
        <v>891</v>
      </c>
      <c r="Q57" s="1418">
        <f ca="1">L60</f>
        <v>0</v>
      </c>
      <c r="R57" s="1418" t="s">
        <v>892</v>
      </c>
    </row>
    <row r="58" spans="1:18" s="1382" customFormat="1" ht="24.75" thickBot="1">
      <c r="A58" s="315" t="s">
        <v>393</v>
      </c>
      <c r="B58" s="957" t="s">
        <v>712</v>
      </c>
      <c r="C58" s="316">
        <f ca="1">ROUND(C59+C64+C65+C66,0)</f>
        <v>17359</v>
      </c>
      <c r="D58" s="959" t="s">
        <v>713</v>
      </c>
      <c r="E58" s="960"/>
      <c r="F58" s="961"/>
      <c r="I58" s="1453" t="s">
        <v>846</v>
      </c>
      <c r="J58" s="1455">
        <f ca="1">IF(J55&lt;0.4,0.4,J55)</f>
        <v>0.45600000000000002</v>
      </c>
      <c r="K58" s="1432" t="s">
        <v>893</v>
      </c>
      <c r="L58" s="1422" t="e">
        <f ca="1">ROUND(POWER(1+L52,L47-L48)*(POWER(1+L52,L48)-1)/(POWER(1+L52,L47)-1),4)</f>
        <v>#DIV/0!</v>
      </c>
      <c r="O58" s="1426" t="s">
        <v>405</v>
      </c>
      <c r="P58" s="1417" t="s">
        <v>848</v>
      </c>
      <c r="Q58" s="1418">
        <f>IF(L55="比较法",L49,IF(L55="基准地价",L50,0))</f>
        <v>0</v>
      </c>
      <c r="R58" s="1418" t="s">
        <v>816</v>
      </c>
    </row>
    <row r="59" spans="1:18" s="1382" customFormat="1" ht="24.75" thickBot="1">
      <c r="A59" s="981" t="s">
        <v>398</v>
      </c>
      <c r="B59" s="949" t="s">
        <v>717</v>
      </c>
      <c r="C59" s="2314">
        <f ca="1">ROUND(IF(AND(项目基本情况!B11="自然人",项目基本情况!B10="北京市"),C49*F59/(1+'数据-取费表'!C42),C60+C61+C62),0)</f>
        <v>1111</v>
      </c>
      <c r="D59" s="962" t="s">
        <v>718</v>
      </c>
      <c r="E59" s="963" t="s">
        <v>719</v>
      </c>
      <c r="F59" s="2313" t="str">
        <f>IF(项目基本情况!B11="企业","——",IF('数据-取费表'!B10="住宅",IF(F49*F50*F51/12/(1+'数据-取费表'!F30)&gt;100000,4%,2.5%),IF(F49*F50*F51/12/(1+'数据-取费表'!F30)&gt;100000,12%,7%)))</f>
        <v>——</v>
      </c>
      <c r="I59" s="1453" t="s">
        <v>849</v>
      </c>
      <c r="J59" s="1454">
        <f ca="1">IF(OR(M47="住宅",J51&lt;L48,J56="是"),"——",ROUND(C29*J58,0))</f>
        <v>1281774</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850</v>
      </c>
      <c r="Q59" s="1429">
        <f>L52</f>
        <v>0</v>
      </c>
      <c r="R59" s="1418"/>
    </row>
    <row r="60" spans="1:18" s="1382" customFormat="1" ht="16.5" thickBot="1">
      <c r="A60" s="981" t="s">
        <v>397</v>
      </c>
      <c r="B60" s="949" t="s">
        <v>721</v>
      </c>
      <c r="C60" s="21">
        <f ca="1">IF(项目基本情况!B11="自然人","——",ROUND(C48*F60/(1+'数据-取费表'!C42),0))</f>
        <v>0</v>
      </c>
      <c r="D60" s="963" t="s">
        <v>722</v>
      </c>
      <c r="E60" s="949" t="s">
        <v>710</v>
      </c>
      <c r="F60" s="331">
        <f t="shared" ref="F60:F66" si="0">F32</f>
        <v>5.6000000000000001E-2</v>
      </c>
      <c r="I60" s="1456" t="s">
        <v>851</v>
      </c>
      <c r="J60" s="1457">
        <f ca="1">IF(OR(M47="住宅",J51&lt;L48,J56="是"),"0",ROUND(J59/(1+J52)^J53,0))</f>
        <v>310154</v>
      </c>
      <c r="K60" s="1458" t="s">
        <v>852</v>
      </c>
      <c r="L60" s="1457">
        <f ca="1">IF(OR(M47="住宅",L48&lt;J51),0,ROUND(L57*(L58/L59-1),0))</f>
        <v>0</v>
      </c>
      <c r="O60" s="1426" t="s">
        <v>407</v>
      </c>
      <c r="P60" s="1417" t="s">
        <v>853</v>
      </c>
      <c r="Q60" s="1418" t="e">
        <f ca="1">L58</f>
        <v>#DIV/0!</v>
      </c>
      <c r="R60" s="1418" t="s">
        <v>854</v>
      </c>
    </row>
    <row r="61" spans="1:18" s="1382" customFormat="1" ht="13.5" thickBot="1">
      <c r="A61" s="981" t="s">
        <v>779</v>
      </c>
      <c r="B61" s="949" t="s">
        <v>780</v>
      </c>
      <c r="C61" s="21">
        <f ca="1">IF(项目基本情况!B11="自然人","——",IF(D61="按租金收入计税",ROUND(C49*F61/(1+'数据-取费表'!C42),0),IF(D61="按房产原值计税",ROUND(C57*F61*0.7,0),INDIRECT("'数据-取费表'!Aj"&amp;$G$1))))</f>
        <v>0</v>
      </c>
      <c r="D61" s="1368" t="s">
        <v>3333</v>
      </c>
      <c r="E61" s="949" t="s">
        <v>781</v>
      </c>
      <c r="F61" s="322">
        <f t="shared" si="0"/>
        <v>0.12</v>
      </c>
      <c r="I61" s="1459"/>
      <c r="J61" s="1459"/>
      <c r="K61" s="1459"/>
      <c r="L61" s="1459"/>
      <c r="O61" s="1426" t="s">
        <v>408</v>
      </c>
      <c r="P61" s="1417" t="str">
        <f>K59</f>
        <v>建筑物剩余耐用年限下的土地年期修正系数Kn</v>
      </c>
      <c r="Q61" s="1418" t="e">
        <f ca="1">L59</f>
        <v>#DIV/0!</v>
      </c>
      <c r="R61" s="1418" t="s">
        <v>855</v>
      </c>
    </row>
    <row r="62" spans="1:18" s="1382" customFormat="1" ht="13.5" thickBot="1">
      <c r="A62" s="981" t="s">
        <v>782</v>
      </c>
      <c r="B62" s="948" t="s">
        <v>783</v>
      </c>
      <c r="C62" s="22">
        <f ca="1">IF(项目基本情况!B11="自然人","——",ROUND(F62*F63,0))</f>
        <v>1111</v>
      </c>
      <c r="D62" s="964" t="s">
        <v>784</v>
      </c>
      <c r="E62" s="949" t="s">
        <v>785</v>
      </c>
      <c r="F62" s="325">
        <f t="shared" si="0"/>
        <v>24</v>
      </c>
      <c r="I62" s="1460" t="s">
        <v>856</v>
      </c>
      <c r="J62" s="1461" t="s">
        <v>857</v>
      </c>
      <c r="K62" s="1461" t="s">
        <v>858</v>
      </c>
      <c r="L62" s="1461" t="s">
        <v>859</v>
      </c>
      <c r="M62" s="1462" t="s">
        <v>860</v>
      </c>
      <c r="O62" s="1416" t="s">
        <v>409</v>
      </c>
      <c r="P62" s="1417" t="s">
        <v>861</v>
      </c>
      <c r="Q62" s="1418">
        <f ca="1">Q56+Q57</f>
        <v>18906734</v>
      </c>
      <c r="R62" s="1418" t="s">
        <v>410</v>
      </c>
    </row>
    <row r="63" spans="1:18" s="1382" customFormat="1" ht="13.5" thickBot="1">
      <c r="A63" s="326"/>
      <c r="B63" s="955"/>
      <c r="C63" s="26"/>
      <c r="D63" s="965"/>
      <c r="E63" s="949" t="s">
        <v>786</v>
      </c>
      <c r="F63" s="303">
        <f t="shared" ca="1" si="0"/>
        <v>46.29</v>
      </c>
      <c r="I63" s="1460" t="s">
        <v>862</v>
      </c>
      <c r="J63" s="1461">
        <v>70</v>
      </c>
      <c r="K63" s="1461">
        <v>50</v>
      </c>
      <c r="L63" s="1461">
        <v>80</v>
      </c>
      <c r="M63" s="1463">
        <v>0.02</v>
      </c>
      <c r="O63" s="1401" t="s">
        <v>863</v>
      </c>
      <c r="P63" s="1379"/>
      <c r="Q63" s="1379"/>
      <c r="R63" s="1379"/>
    </row>
    <row r="64" spans="1:18" s="1382" customFormat="1" ht="13.5" thickBot="1">
      <c r="A64" s="981" t="s">
        <v>787</v>
      </c>
      <c r="B64" s="949" t="s">
        <v>788</v>
      </c>
      <c r="C64" s="21">
        <f ca="1">ROUND(C57*F64,0)</f>
        <v>14055</v>
      </c>
      <c r="D64" s="963" t="s">
        <v>789</v>
      </c>
      <c r="E64" s="949" t="s">
        <v>781</v>
      </c>
      <c r="F64" s="328">
        <f t="shared" ca="1" si="0"/>
        <v>5.0000000000000001E-3</v>
      </c>
      <c r="I64" s="1460" t="s">
        <v>864</v>
      </c>
      <c r="J64" s="1461">
        <v>50</v>
      </c>
      <c r="K64" s="1461">
        <v>35</v>
      </c>
      <c r="L64" s="1461">
        <v>60</v>
      </c>
      <c r="M64" s="1462">
        <v>0</v>
      </c>
      <c r="O64" s="1409" t="s">
        <v>809</v>
      </c>
      <c r="P64" s="1410" t="s">
        <v>810</v>
      </c>
      <c r="Q64" s="1411" t="s">
        <v>811</v>
      </c>
      <c r="R64" s="1411" t="s">
        <v>812</v>
      </c>
    </row>
    <row r="65" spans="1:18" s="1382" customFormat="1" ht="13.5" thickBot="1">
      <c r="A65" s="981" t="s">
        <v>790</v>
      </c>
      <c r="B65" s="949" t="s">
        <v>740</v>
      </c>
      <c r="C65" s="21">
        <f ca="1">ROUND(C56*F65,0)</f>
        <v>2193</v>
      </c>
      <c r="D65" s="963" t="s">
        <v>741</v>
      </c>
      <c r="E65" s="949" t="s">
        <v>742</v>
      </c>
      <c r="F65" s="330">
        <f t="shared" ca="1" si="0"/>
        <v>1E-3</v>
      </c>
      <c r="I65" s="1460" t="s">
        <v>865</v>
      </c>
      <c r="J65" s="1461">
        <v>40</v>
      </c>
      <c r="K65" s="1461">
        <v>30</v>
      </c>
      <c r="L65" s="1461">
        <v>50</v>
      </c>
      <c r="M65" s="1463">
        <v>0.02</v>
      </c>
      <c r="O65" s="1416" t="s">
        <v>403</v>
      </c>
      <c r="P65" s="1417" t="s">
        <v>866</v>
      </c>
      <c r="Q65" s="1418">
        <f ca="1">C40+J29</f>
        <v>18906734</v>
      </c>
      <c r="R65" s="1418" t="s">
        <v>816</v>
      </c>
    </row>
    <row r="66" spans="1:18" s="1382" customFormat="1" ht="16.5" thickBot="1">
      <c r="A66" s="981" t="s">
        <v>791</v>
      </c>
      <c r="B66" s="949" t="s">
        <v>726</v>
      </c>
      <c r="C66" s="21">
        <f ca="1">ROUND(C48*F66,0)</f>
        <v>0</v>
      </c>
      <c r="D66" s="963" t="s">
        <v>792</v>
      </c>
      <c r="E66" s="949" t="s">
        <v>710</v>
      </c>
      <c r="F66" s="312">
        <f t="shared" ca="1" si="0"/>
        <v>0.01</v>
      </c>
      <c r="O66" s="1416" t="s">
        <v>404</v>
      </c>
      <c r="P66" s="1417" t="s">
        <v>844</v>
      </c>
      <c r="Q66" s="1418">
        <f ca="1">L60</f>
        <v>0</v>
      </c>
      <c r="R66" s="1418" t="s">
        <v>867</v>
      </c>
    </row>
    <row r="67" spans="1:18" s="1382" customFormat="1" ht="16.5" thickBot="1">
      <c r="A67" s="956" t="s">
        <v>394</v>
      </c>
      <c r="B67" s="966" t="s">
        <v>750</v>
      </c>
      <c r="C67" s="316">
        <f ca="1">C48-C58</f>
        <v>-17359</v>
      </c>
      <c r="D67" s="962" t="s">
        <v>751</v>
      </c>
      <c r="E67" s="967"/>
      <c r="F67" s="968"/>
      <c r="O67" s="1426" t="s">
        <v>405</v>
      </c>
      <c r="P67" s="1417" t="s">
        <v>848</v>
      </c>
      <c r="Q67" s="1464">
        <f ca="1">L51</f>
        <v>22905036</v>
      </c>
      <c r="R67" s="1418" t="s">
        <v>868</v>
      </c>
    </row>
    <row r="68" spans="1:18" s="1382" customFormat="1" ht="16.5" thickBot="1">
      <c r="A68" s="946" t="s">
        <v>395</v>
      </c>
      <c r="B68" s="947" t="s">
        <v>772</v>
      </c>
      <c r="C68" s="301">
        <f ca="1">ROUND(C67*(1-((1+F70)/(1+F68))^F69)/(F68-F70),0)</f>
        <v>-197087</v>
      </c>
      <c r="D68" s="964" t="s">
        <v>756</v>
      </c>
      <c r="E68" s="949" t="s">
        <v>757</v>
      </c>
      <c r="F68" s="312">
        <f ca="1">F40</f>
        <v>0.06</v>
      </c>
      <c r="O68" s="1426" t="s">
        <v>406</v>
      </c>
      <c r="P68" s="1465" t="s">
        <v>869</v>
      </c>
      <c r="Q68" s="1418">
        <f ca="1">ROUND(Q69-Q70*Q71,0)</f>
        <v>1273846</v>
      </c>
      <c r="R68" s="1418" t="s">
        <v>414</v>
      </c>
    </row>
    <row r="69" spans="1:18" s="1382" customFormat="1" ht="13.5" thickBot="1">
      <c r="A69" s="950"/>
      <c r="B69" s="951"/>
      <c r="C69" s="306"/>
      <c r="D69" s="969" t="s">
        <v>760</v>
      </c>
      <c r="E69" s="949" t="s">
        <v>761</v>
      </c>
      <c r="F69" s="333">
        <f ca="1">F41</f>
        <v>19.62</v>
      </c>
      <c r="O69" s="1426" t="s">
        <v>411</v>
      </c>
      <c r="P69" s="1465" t="s">
        <v>870</v>
      </c>
      <c r="Q69" s="1418">
        <f ca="1">C39</f>
        <v>1427321</v>
      </c>
      <c r="R69" s="1418" t="s">
        <v>816</v>
      </c>
    </row>
    <row r="70" spans="1:18" s="1382" customFormat="1" ht="13.5" thickBot="1">
      <c r="A70" s="953"/>
      <c r="B70" s="954"/>
      <c r="C70" s="310"/>
      <c r="D70" s="965"/>
      <c r="E70" s="949" t="s">
        <v>764</v>
      </c>
      <c r="F70" s="1053"/>
      <c r="O70" s="1426" t="s">
        <v>412</v>
      </c>
      <c r="P70" s="1465" t="s">
        <v>871</v>
      </c>
      <c r="Q70" s="1418">
        <f ca="1">C13</f>
        <v>2192507</v>
      </c>
      <c r="R70" s="1418" t="s">
        <v>816</v>
      </c>
    </row>
    <row r="71" spans="1:18" s="1382" customFormat="1" ht="13.5" thickBot="1">
      <c r="A71" s="970" t="s">
        <v>396</v>
      </c>
      <c r="B71" s="971" t="s">
        <v>774</v>
      </c>
      <c r="C71" s="336">
        <f ca="1">ROUND(C68/F71,0)</f>
        <v>-480</v>
      </c>
      <c r="D71" s="972" t="s">
        <v>775</v>
      </c>
      <c r="E71" s="973" t="s">
        <v>776</v>
      </c>
      <c r="F71" s="339">
        <f ca="1">F43</f>
        <v>410.74</v>
      </c>
      <c r="O71" s="1426" t="s">
        <v>413</v>
      </c>
      <c r="P71" s="1465" t="s">
        <v>872</v>
      </c>
      <c r="Q71" s="1429">
        <f ca="1">C76</f>
        <v>7.0000000000000007E-2</v>
      </c>
      <c r="R71" s="1418"/>
    </row>
    <row r="72" spans="1:18" s="1382" customFormat="1" ht="13.5" thickBot="1">
      <c r="B72" s="725"/>
      <c r="C72" s="725"/>
      <c r="O72" s="1426" t="s">
        <v>407</v>
      </c>
      <c r="P72" s="1417" t="s">
        <v>850</v>
      </c>
      <c r="Q72" s="1429">
        <f>L52</f>
        <v>0</v>
      </c>
      <c r="R72" s="1418"/>
    </row>
    <row r="73" spans="1:18" ht="16.5" thickBot="1">
      <c r="A73" s="1382"/>
      <c r="B73" s="725"/>
      <c r="C73" s="725"/>
      <c r="D73" s="1382"/>
      <c r="E73" s="1382"/>
      <c r="F73" s="1382"/>
      <c r="O73" s="1426" t="s">
        <v>408</v>
      </c>
      <c r="P73" s="1417" t="s">
        <v>853</v>
      </c>
      <c r="Q73" s="1418" t="e">
        <f ca="1">L58</f>
        <v>#DIV/0!</v>
      </c>
      <c r="R73" s="1418" t="s">
        <v>854</v>
      </c>
    </row>
    <row r="74" spans="1:18" ht="13.5" thickBot="1">
      <c r="A74" s="1382"/>
      <c r="B74" s="273" t="s">
        <v>873</v>
      </c>
      <c r="C74" s="1467"/>
      <c r="D74" s="1382"/>
      <c r="E74" s="1382"/>
      <c r="F74" s="1382"/>
      <c r="O74" s="1426" t="s">
        <v>415</v>
      </c>
      <c r="P74" s="1417" t="str">
        <f>K59</f>
        <v>建筑物剩余耐用年限下的土地年期修正系数Kn</v>
      </c>
      <c r="Q74" s="1418" t="e">
        <f ca="1">L59</f>
        <v>#DIV/0!</v>
      </c>
      <c r="R74" s="1418" t="s">
        <v>855</v>
      </c>
    </row>
    <row r="75" spans="1:18" ht="13.5" thickBot="1">
      <c r="A75" s="1382"/>
      <c r="B75" s="340" t="s">
        <v>793</v>
      </c>
      <c r="C75" s="341">
        <f ca="1">ROUND(C13*C76,0)</f>
        <v>153475</v>
      </c>
      <c r="D75" s="1382"/>
      <c r="E75" s="1382"/>
      <c r="F75" s="1382"/>
      <c r="K75" s="1400"/>
      <c r="L75" s="1382"/>
      <c r="O75" s="1416" t="s">
        <v>409</v>
      </c>
      <c r="P75" s="1417" t="s">
        <v>836</v>
      </c>
      <c r="Q75" s="1418">
        <f ca="1">Q65+Q66</f>
        <v>18906734</v>
      </c>
      <c r="R75" s="1418" t="s">
        <v>410</v>
      </c>
    </row>
    <row r="76" spans="1:18">
      <c r="B76" s="342" t="s">
        <v>794</v>
      </c>
      <c r="C76" s="343">
        <f ca="1">INDIRECT("'数据-取费表'!j"&amp;$G$1)</f>
        <v>7.0000000000000007E-2</v>
      </c>
      <c r="I76" s="1382"/>
      <c r="J76" s="1382"/>
      <c r="K76" s="1400"/>
      <c r="L76" s="1382"/>
    </row>
    <row r="77" spans="1:18">
      <c r="B77" s="344" t="s">
        <v>795</v>
      </c>
      <c r="C77" s="345"/>
      <c r="I77" s="1382"/>
      <c r="J77" s="1382"/>
      <c r="K77" s="1400"/>
      <c r="L77" s="1382"/>
    </row>
    <row r="78" spans="1:18">
      <c r="B78" s="270" t="s">
        <v>796</v>
      </c>
      <c r="C78" s="346"/>
    </row>
    <row r="79" spans="1:18">
      <c r="B79" s="340" t="s">
        <v>797</v>
      </c>
      <c r="C79" s="274">
        <f ca="1">1-C80</f>
        <v>0.89200000000000002</v>
      </c>
    </row>
    <row r="80" spans="1:18">
      <c r="B80" s="340" t="s">
        <v>798</v>
      </c>
      <c r="C80" s="274">
        <f ca="1">ROUND(C75/C39,3)</f>
        <v>0.108</v>
      </c>
    </row>
    <row r="81" spans="2:3">
      <c r="B81" s="270" t="s">
        <v>799</v>
      </c>
      <c r="C81" s="238"/>
    </row>
    <row r="82" spans="2:3">
      <c r="B82" s="273" t="s">
        <v>800</v>
      </c>
      <c r="C82" s="275">
        <f ca="1">1-C83</f>
        <v>0.88400000000000001</v>
      </c>
    </row>
    <row r="83" spans="2:3">
      <c r="B83" s="273" t="s">
        <v>801</v>
      </c>
      <c r="C83" s="274">
        <f ca="1">ROUND(C13/C40,3)</f>
        <v>0.11600000000000001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tabSelected="1" zoomScale="90" zoomScaleNormal="90" workbookViewId="0">
      <pane ySplit="24" topLeftCell="A25" activePane="bottomLeft" state="frozen"/>
      <selection activeCell="I58" sqref="I58"/>
      <selection pane="bottomLeft" activeCell="T11" sqref="T11"/>
    </sheetView>
  </sheetViews>
  <sheetFormatPr defaultColWidth="9" defaultRowHeight="12.75"/>
  <cols>
    <col min="1" max="1" width="11.5" style="130" customWidth="1"/>
    <col min="2" max="2" width="9.25" style="24" customWidth="1"/>
    <col min="3" max="3" width="6.7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2081</v>
      </c>
      <c r="C1" s="3809" t="s">
        <v>2082</v>
      </c>
      <c r="D1" s="3810"/>
      <c r="E1" s="3810"/>
      <c r="F1" s="3810"/>
      <c r="G1" s="3810"/>
      <c r="H1" s="3810"/>
      <c r="I1" s="3810"/>
      <c r="J1" s="3810"/>
      <c r="K1" s="3810"/>
      <c r="L1" s="3810"/>
      <c r="M1" s="3810"/>
      <c r="N1" s="3810"/>
      <c r="O1" s="3810"/>
      <c r="P1" s="3810"/>
      <c r="Q1" s="3810"/>
      <c r="R1" s="3810"/>
      <c r="S1" s="3811"/>
      <c r="T1" s="982" t="s">
        <v>1987</v>
      </c>
    </row>
    <row r="2" spans="1:45" s="654" customFormat="1" ht="38.25">
      <c r="A2" s="983"/>
      <c r="B2" s="650" t="s">
        <v>1063</v>
      </c>
      <c r="C2" s="651" t="str">
        <f t="shared" ref="C2:R2" si="0">C3&amp;"(含)"&amp;"-"&amp;D3</f>
        <v>0(含)-100</v>
      </c>
      <c r="D2" s="652" t="str">
        <f t="shared" si="0"/>
        <v>100(含)-200</v>
      </c>
      <c r="E2" s="652" t="str">
        <f t="shared" si="0"/>
        <v>200(含)-300</v>
      </c>
      <c r="F2" s="652" t="str">
        <f t="shared" si="0"/>
        <v>300(含)-500</v>
      </c>
      <c r="G2" s="652" t="str">
        <f t="shared" si="0"/>
        <v>500(含)-1000</v>
      </c>
      <c r="H2" s="652" t="str">
        <f t="shared" si="0"/>
        <v>1000(含)-2000</v>
      </c>
      <c r="I2" s="652" t="str">
        <f t="shared" si="0"/>
        <v>2000(含)-</v>
      </c>
      <c r="J2" s="652" t="str">
        <f t="shared" si="0"/>
        <v>(含)-</v>
      </c>
      <c r="K2" s="652" t="str">
        <f t="shared" si="0"/>
        <v>(含)-</v>
      </c>
      <c r="L2" s="652" t="str">
        <f t="shared" si="0"/>
        <v>(含)-</v>
      </c>
      <c r="M2" s="652" t="str">
        <f t="shared" si="0"/>
        <v>(含)-</v>
      </c>
      <c r="N2" s="652" t="str">
        <f t="shared" si="0"/>
        <v>(含)-</v>
      </c>
      <c r="O2" s="652" t="str">
        <f t="shared" si="0"/>
        <v>(含)-</v>
      </c>
      <c r="P2" s="652" t="str">
        <f t="shared" si="0"/>
        <v>(含)-</v>
      </c>
      <c r="Q2" s="652" t="str">
        <f t="shared" si="0"/>
        <v>(含)-</v>
      </c>
      <c r="R2" s="652" t="str">
        <f t="shared" si="0"/>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v>0</v>
      </c>
      <c r="D3" s="657">
        <v>100</v>
      </c>
      <c r="E3" s="657">
        <v>200</v>
      </c>
      <c r="F3" s="1303">
        <v>300</v>
      </c>
      <c r="G3" s="1303">
        <v>500</v>
      </c>
      <c r="H3" s="1303">
        <v>1000</v>
      </c>
      <c r="I3" s="1303">
        <v>2000</v>
      </c>
      <c r="J3" s="1303"/>
      <c r="K3" s="1303"/>
      <c r="L3" s="1304"/>
      <c r="M3" s="1305"/>
      <c r="N3" s="1305"/>
      <c r="O3" s="1303"/>
      <c r="P3" s="1303"/>
      <c r="Q3" s="1303"/>
      <c r="R3" s="1303"/>
      <c r="S3" s="1306"/>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v>100</v>
      </c>
      <c r="D4" s="989">
        <v>99</v>
      </c>
      <c r="E4" s="989">
        <v>98</v>
      </c>
      <c r="F4" s="1307">
        <v>97</v>
      </c>
      <c r="G4" s="1307">
        <v>96</v>
      </c>
      <c r="H4" s="1307">
        <v>95</v>
      </c>
      <c r="I4" s="1307">
        <v>96</v>
      </c>
      <c r="J4" s="1307"/>
      <c r="K4" s="1307"/>
      <c r="L4" s="1307"/>
      <c r="M4" s="1308"/>
      <c r="N4" s="1308"/>
      <c r="O4" s="1307"/>
      <c r="P4" s="1307"/>
      <c r="Q4" s="1307"/>
      <c r="R4" s="1307"/>
      <c r="S4" s="1309"/>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4" t="s">
        <v>3565</v>
      </c>
      <c r="C5" s="994" t="s">
        <v>3537</v>
      </c>
      <c r="D5" s="995" t="s">
        <v>3511</v>
      </c>
      <c r="E5" s="995" t="s">
        <v>3538</v>
      </c>
      <c r="F5" s="1310" t="s">
        <v>3539</v>
      </c>
      <c r="G5" s="1310" t="s">
        <v>3540</v>
      </c>
      <c r="H5" s="1310"/>
      <c r="I5" s="1310"/>
      <c r="J5" s="1310"/>
      <c r="K5" s="1310"/>
      <c r="L5" s="1311"/>
      <c r="M5" s="1312"/>
      <c r="N5" s="1312"/>
      <c r="O5" s="1310"/>
      <c r="P5" s="1310"/>
      <c r="Q5" s="1310"/>
      <c r="R5" s="1310"/>
      <c r="S5" s="1313"/>
      <c r="T5" s="997">
        <f>'比较法-商业'!N88</f>
        <v>3</v>
      </c>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97</v>
      </c>
      <c r="E6" s="901">
        <f t="shared" ref="E6:S6" si="1">D6-$T5</f>
        <v>94</v>
      </c>
      <c r="F6" s="1314">
        <f t="shared" si="1"/>
        <v>91</v>
      </c>
      <c r="G6" s="1314">
        <f t="shared" si="1"/>
        <v>88</v>
      </c>
      <c r="H6" s="1314">
        <f t="shared" si="1"/>
        <v>85</v>
      </c>
      <c r="I6" s="1314">
        <f t="shared" si="1"/>
        <v>82</v>
      </c>
      <c r="J6" s="1314">
        <f t="shared" si="1"/>
        <v>79</v>
      </c>
      <c r="K6" s="1314">
        <f t="shared" si="1"/>
        <v>76</v>
      </c>
      <c r="L6" s="1314">
        <f t="shared" si="1"/>
        <v>73</v>
      </c>
      <c r="M6" s="1314">
        <f t="shared" si="1"/>
        <v>70</v>
      </c>
      <c r="N6" s="1314">
        <f t="shared" si="1"/>
        <v>67</v>
      </c>
      <c r="O6" s="1314">
        <f t="shared" si="1"/>
        <v>64</v>
      </c>
      <c r="P6" s="1314">
        <f t="shared" si="1"/>
        <v>61</v>
      </c>
      <c r="Q6" s="1314">
        <f t="shared" si="1"/>
        <v>58</v>
      </c>
      <c r="R6" s="1314">
        <f t="shared" si="1"/>
        <v>55</v>
      </c>
      <c r="S6" s="1314">
        <f t="shared" si="1"/>
        <v>52</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5" t="s">
        <v>3566</v>
      </c>
      <c r="C7" s="903" t="s">
        <v>3567</v>
      </c>
      <c r="D7" s="897" t="s">
        <v>3556</v>
      </c>
      <c r="E7" s="897" t="s">
        <v>3538</v>
      </c>
      <c r="F7" s="1315" t="s">
        <v>3568</v>
      </c>
      <c r="G7" s="1315" t="s">
        <v>3569</v>
      </c>
      <c r="H7" s="1315"/>
      <c r="I7" s="1315"/>
      <c r="J7" s="1315"/>
      <c r="K7" s="1315"/>
      <c r="L7" s="1315"/>
      <c r="M7" s="1316"/>
      <c r="N7" s="1317"/>
      <c r="O7" s="1318"/>
      <c r="P7" s="1319"/>
      <c r="Q7" s="1320"/>
      <c r="R7" s="1321"/>
      <c r="S7" s="1322"/>
      <c r="T7" s="660">
        <f>'比较法-商业'!K27</f>
        <v>5</v>
      </c>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95</v>
      </c>
      <c r="E8" s="901">
        <f t="shared" ref="E8:S8" si="2">D8-$T7</f>
        <v>90</v>
      </c>
      <c r="F8" s="1314">
        <f t="shared" si="2"/>
        <v>85</v>
      </c>
      <c r="G8" s="1314">
        <f t="shared" si="2"/>
        <v>80</v>
      </c>
      <c r="H8" s="1314">
        <f t="shared" si="2"/>
        <v>75</v>
      </c>
      <c r="I8" s="1314">
        <f t="shared" si="2"/>
        <v>70</v>
      </c>
      <c r="J8" s="1314">
        <f t="shared" si="2"/>
        <v>65</v>
      </c>
      <c r="K8" s="1314">
        <f t="shared" si="2"/>
        <v>60</v>
      </c>
      <c r="L8" s="1314">
        <f t="shared" si="2"/>
        <v>55</v>
      </c>
      <c r="M8" s="1314">
        <f t="shared" si="2"/>
        <v>50</v>
      </c>
      <c r="N8" s="1314">
        <f t="shared" si="2"/>
        <v>45</v>
      </c>
      <c r="O8" s="1314">
        <f t="shared" si="2"/>
        <v>40</v>
      </c>
      <c r="P8" s="1314">
        <f t="shared" si="2"/>
        <v>35</v>
      </c>
      <c r="Q8" s="1314">
        <f t="shared" si="2"/>
        <v>30</v>
      </c>
      <c r="R8" s="1314">
        <f t="shared" si="2"/>
        <v>25</v>
      </c>
      <c r="S8" s="1314">
        <f t="shared" si="2"/>
        <v>20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5" t="s">
        <v>3570</v>
      </c>
      <c r="C9" s="903" t="s">
        <v>3517</v>
      </c>
      <c r="D9" s="897" t="s">
        <v>3521</v>
      </c>
      <c r="E9" s="897" t="s">
        <v>3571</v>
      </c>
      <c r="F9" s="1315" t="s">
        <v>3572</v>
      </c>
      <c r="G9" s="1315"/>
      <c r="H9" s="1315"/>
      <c r="I9" s="1315"/>
      <c r="J9" s="1315"/>
      <c r="K9" s="1315"/>
      <c r="L9" s="1323"/>
      <c r="M9" s="1316"/>
      <c r="N9" s="1317"/>
      <c r="O9" s="1318"/>
      <c r="P9" s="1319"/>
      <c r="Q9" s="1320"/>
      <c r="R9" s="1321"/>
      <c r="S9" s="1322"/>
      <c r="T9" s="660">
        <f>'比较法-商业'!K42</f>
        <v>1</v>
      </c>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99</v>
      </c>
      <c r="E10" s="999">
        <f t="shared" ref="E10:S10" si="3">D10-$T9</f>
        <v>98</v>
      </c>
      <c r="F10" s="1324">
        <f t="shared" si="3"/>
        <v>97</v>
      </c>
      <c r="G10" s="1324">
        <f t="shared" si="3"/>
        <v>96</v>
      </c>
      <c r="H10" s="1324">
        <f t="shared" si="3"/>
        <v>95</v>
      </c>
      <c r="I10" s="1324">
        <f t="shared" si="3"/>
        <v>94</v>
      </c>
      <c r="J10" s="1324">
        <f t="shared" si="3"/>
        <v>93</v>
      </c>
      <c r="K10" s="1324">
        <f t="shared" si="3"/>
        <v>92</v>
      </c>
      <c r="L10" s="1324">
        <f t="shared" si="3"/>
        <v>91</v>
      </c>
      <c r="M10" s="1324">
        <f t="shared" si="3"/>
        <v>90</v>
      </c>
      <c r="N10" s="1324">
        <f t="shared" si="3"/>
        <v>89</v>
      </c>
      <c r="O10" s="1324">
        <f t="shared" si="3"/>
        <v>88</v>
      </c>
      <c r="P10" s="1324">
        <f t="shared" si="3"/>
        <v>87</v>
      </c>
      <c r="Q10" s="1324">
        <f t="shared" si="3"/>
        <v>86</v>
      </c>
      <c r="R10" s="1324">
        <f t="shared" si="3"/>
        <v>85</v>
      </c>
      <c r="S10" s="1324">
        <f t="shared" si="3"/>
        <v>84</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4" t="s">
        <v>3573</v>
      </c>
      <c r="C11" s="994" t="s">
        <v>3560</v>
      </c>
      <c r="D11" s="995" t="s">
        <v>3520</v>
      </c>
      <c r="E11" s="995"/>
      <c r="F11" s="995"/>
      <c r="G11" s="995"/>
      <c r="H11" s="995"/>
      <c r="I11" s="995"/>
      <c r="J11" s="995"/>
      <c r="K11" s="995"/>
      <c r="L11" s="995"/>
      <c r="M11" s="996"/>
      <c r="N11" s="1000"/>
      <c r="O11" s="1001"/>
      <c r="P11" s="1002"/>
      <c r="Q11" s="1003"/>
      <c r="R11" s="1004"/>
      <c r="S11" s="1005"/>
      <c r="T11" s="997">
        <f>'比较法-商业'!K39</f>
        <v>5</v>
      </c>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95</v>
      </c>
      <c r="E12" s="901">
        <f t="shared" ref="E12:S12" si="4">D12-$T11</f>
        <v>90</v>
      </c>
      <c r="F12" s="901">
        <f t="shared" si="4"/>
        <v>85</v>
      </c>
      <c r="G12" s="901">
        <f t="shared" si="4"/>
        <v>80</v>
      </c>
      <c r="H12" s="901">
        <f t="shared" si="4"/>
        <v>75</v>
      </c>
      <c r="I12" s="901">
        <f t="shared" si="4"/>
        <v>70</v>
      </c>
      <c r="J12" s="901">
        <f t="shared" si="4"/>
        <v>65</v>
      </c>
      <c r="K12" s="901">
        <f t="shared" si="4"/>
        <v>60</v>
      </c>
      <c r="L12" s="901">
        <f t="shared" si="4"/>
        <v>55</v>
      </c>
      <c r="M12" s="901">
        <f t="shared" si="4"/>
        <v>50</v>
      </c>
      <c r="N12" s="901">
        <f t="shared" si="4"/>
        <v>45</v>
      </c>
      <c r="O12" s="901">
        <f t="shared" si="4"/>
        <v>40</v>
      </c>
      <c r="P12" s="901">
        <f t="shared" si="4"/>
        <v>35</v>
      </c>
      <c r="Q12" s="901">
        <f t="shared" si="4"/>
        <v>30</v>
      </c>
      <c r="R12" s="901">
        <f>Q12-$T11</f>
        <v>25</v>
      </c>
      <c r="S12" s="901">
        <f t="shared" si="4"/>
        <v>20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4" t="s">
        <v>2089</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4" t="s">
        <v>2090</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6" t="s">
        <v>2091</v>
      </c>
      <c r="B17" s="2147" t="s">
        <v>2092</v>
      </c>
      <c r="C17" s="1009">
        <v>1</v>
      </c>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v>100</v>
      </c>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8" t="s">
        <v>2093</v>
      </c>
      <c r="E19" s="1338"/>
      <c r="F19" s="1338"/>
      <c r="G19" s="1338"/>
      <c r="H19" s="1058"/>
      <c r="I19" s="159"/>
      <c r="J19" s="159"/>
      <c r="K19" s="159"/>
      <c r="L19" s="159"/>
      <c r="M19" s="159"/>
      <c r="N19" s="159"/>
      <c r="O19" s="159"/>
      <c r="P19" s="159"/>
      <c r="Q19" s="159"/>
      <c r="R19" s="717"/>
      <c r="S19" s="129"/>
    </row>
    <row r="20" spans="1:45" ht="16.5" thickBot="1">
      <c r="A20" s="661" t="s">
        <v>2094</v>
      </c>
      <c r="B20" s="294">
        <f ca="1">IF(D20="——",S22,S22-F20)</f>
        <v>34894</v>
      </c>
      <c r="C20" s="159"/>
      <c r="D20" s="2149" t="s">
        <v>43</v>
      </c>
      <c r="E20" s="1339"/>
      <c r="F20" s="982" t="e">
        <f ca="1">SUMIF(INDIRECT("'"&amp;H20&amp;"'"&amp;"!A:A"),"承租人权益价值",INDIRECT("'"&amp;H20&amp;"'"&amp;"!c:c"))</f>
        <v>#REF!</v>
      </c>
      <c r="G20" s="982" t="s">
        <v>2095</v>
      </c>
      <c r="H20" s="2150"/>
      <c r="I20" s="159"/>
      <c r="J20" s="159"/>
      <c r="K20" s="159"/>
      <c r="L20" s="159"/>
      <c r="M20" s="159"/>
      <c r="N20" s="159"/>
      <c r="O20" s="159"/>
      <c r="P20" s="159"/>
      <c r="Q20" s="159"/>
      <c r="R20" s="717"/>
      <c r="S20" s="129"/>
    </row>
    <row r="21" spans="1:45" ht="15.75">
      <c r="A21" s="661" t="s">
        <v>2096</v>
      </c>
      <c r="B21" s="294">
        <f ca="1">ROUND(B20*10000/B22,0)</f>
        <v>64730</v>
      </c>
      <c r="C21" s="159"/>
      <c r="D21" s="159"/>
      <c r="E21" s="159"/>
      <c r="F21" s="159"/>
      <c r="G21" s="159"/>
      <c r="H21" s="159"/>
      <c r="I21" s="159"/>
      <c r="J21" s="159"/>
      <c r="K21" s="159"/>
      <c r="L21" s="159"/>
      <c r="M21" s="159"/>
      <c r="N21" s="159"/>
      <c r="O21" s="159"/>
      <c r="P21" s="159"/>
      <c r="Q21" s="159"/>
      <c r="R21" s="717"/>
      <c r="S21" s="129"/>
    </row>
    <row r="22" spans="1:45">
      <c r="A22" s="316" t="s">
        <v>2097</v>
      </c>
      <c r="B22" s="21">
        <f>SUM(B24:B10000)</f>
        <v>5390.7</v>
      </c>
      <c r="C22" s="3806" t="s">
        <v>27</v>
      </c>
      <c r="D22" s="3807"/>
      <c r="E22" s="3807"/>
      <c r="F22" s="3807"/>
      <c r="G22" s="3807"/>
      <c r="H22" s="3807"/>
      <c r="I22" s="3807"/>
      <c r="J22" s="3807"/>
      <c r="K22" s="3807"/>
      <c r="L22" s="3807"/>
      <c r="M22" s="3807"/>
      <c r="N22" s="3807"/>
      <c r="O22" s="3807"/>
      <c r="P22" s="3807"/>
      <c r="Q22" s="3808"/>
      <c r="R22" s="662">
        <f ca="1">ROUND(S22*10000/B22,0)</f>
        <v>64730</v>
      </c>
      <c r="S22" s="21">
        <f ca="1">SUM(S24:S10000)</f>
        <v>34894</v>
      </c>
    </row>
    <row r="23" spans="1:45" s="9" customFormat="1" ht="24">
      <c r="A23" s="3445" t="s">
        <v>2098</v>
      </c>
      <c r="B23" s="3445" t="s">
        <v>2099</v>
      </c>
      <c r="C23" s="3445" t="s">
        <v>2100</v>
      </c>
      <c r="D23" s="3445" t="str">
        <f>B5</f>
        <v>可视性</v>
      </c>
      <c r="E23" s="3445" t="s">
        <v>2100</v>
      </c>
      <c r="F23" s="3445" t="str">
        <f>B7</f>
        <v>人流量</v>
      </c>
      <c r="G23" s="3445" t="s">
        <v>2100</v>
      </c>
      <c r="H23" s="3445" t="str">
        <f>B9</f>
        <v>装修情况</v>
      </c>
      <c r="I23" s="3445" t="s">
        <v>2100</v>
      </c>
      <c r="J23" s="3445" t="str">
        <f>B11</f>
        <v>层高</v>
      </c>
      <c r="K23" s="3445" t="s">
        <v>2100</v>
      </c>
      <c r="L23" s="3445" t="str">
        <f>B13</f>
        <v>修正项6</v>
      </c>
      <c r="M23" s="3445" t="s">
        <v>2100</v>
      </c>
      <c r="N23" s="3445" t="str">
        <f>B15</f>
        <v>修正项7</v>
      </c>
      <c r="O23" s="3445" t="s">
        <v>2100</v>
      </c>
      <c r="P23" s="3445" t="str">
        <f>B17</f>
        <v>楼层</v>
      </c>
      <c r="Q23" s="3445" t="s">
        <v>2100</v>
      </c>
      <c r="R23" s="3449" t="s">
        <v>2101</v>
      </c>
      <c r="S23" s="3445" t="s">
        <v>2102</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3384</v>
      </c>
      <c r="B24" s="664">
        <v>410.74</v>
      </c>
      <c r="C24" s="2806">
        <v>1</v>
      </c>
      <c r="D24" s="2807" t="s">
        <v>3511</v>
      </c>
      <c r="E24" s="2806">
        <v>1</v>
      </c>
      <c r="F24" s="2807" t="s">
        <v>3556</v>
      </c>
      <c r="G24" s="2806">
        <v>1</v>
      </c>
      <c r="H24" s="2807" t="s">
        <v>3521</v>
      </c>
      <c r="I24" s="2806">
        <v>1</v>
      </c>
      <c r="J24" s="2807" t="s">
        <v>3560</v>
      </c>
      <c r="K24" s="2806">
        <v>1</v>
      </c>
      <c r="L24" s="2807"/>
      <c r="M24" s="2806">
        <v>1</v>
      </c>
      <c r="N24" s="2807"/>
      <c r="O24" s="2806">
        <v>1</v>
      </c>
      <c r="P24" s="2807">
        <v>1</v>
      </c>
      <c r="Q24" s="2806">
        <v>1</v>
      </c>
      <c r="R24" s="667">
        <f ca="1">'结果表 (2)'!G20</f>
        <v>74529</v>
      </c>
      <c r="S24" s="665">
        <f t="shared" ref="S24:S87" ca="1" si="5">ROUND(R24*B24/10000,0)</f>
        <v>3061</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t="s">
        <v>3385</v>
      </c>
      <c r="B25" s="54">
        <v>891.56</v>
      </c>
      <c r="C25" s="21">
        <f>IF(B25="",1,(LOOKUP(B25,$3:$3,$4:$4)-LOOKUP($B$24,$3:$3,$4:$4)+100)/100)</f>
        <v>0.99</v>
      </c>
      <c r="D25" s="666" t="s">
        <v>3538</v>
      </c>
      <c r="E25" s="21">
        <f>(SUMIF($5:$5,D25,$6:$6)-SUMIF($5:$5,$D$24,$6:$6)+100)/100</f>
        <v>0.97</v>
      </c>
      <c r="F25" s="666" t="s">
        <v>3538</v>
      </c>
      <c r="G25" s="21">
        <f>(SUMIF($7:$7,F25,$8:$8)-SUMIF($7:$7,$F$24,$8:$8)+100)/100</f>
        <v>0.95</v>
      </c>
      <c r="H25" s="666" t="s">
        <v>3521</v>
      </c>
      <c r="I25" s="21">
        <f>(SUMIF($9:$9,H25,$10:$10)-SUMIF($9:$9,$H$24,$10:$10)+100)/100</f>
        <v>1</v>
      </c>
      <c r="J25" s="666" t="s">
        <v>3560</v>
      </c>
      <c r="K25" s="21">
        <f>(SUMIF($11:$11,J25,$12:$12)-SUMIF($11:$11,$J$24,$12:$12)+100)/100</f>
        <v>1</v>
      </c>
      <c r="L25" s="666"/>
      <c r="M25" s="21">
        <f>(SUMIF($13:$13,L25,$14:$14)-SUMIF($13:$13,$L$24,$14:$14)+100)/100</f>
        <v>1</v>
      </c>
      <c r="N25" s="666"/>
      <c r="O25" s="21">
        <f>(SUMIF($15:$15,N25,$16:$16)-SUMIF($15:$15,$N$24,$16:$16)+100)/100</f>
        <v>1</v>
      </c>
      <c r="P25" s="2807">
        <v>1</v>
      </c>
      <c r="Q25" s="21">
        <f>(SUMIF($17:$17,P25,$18:$18)-SUMIF($17:$17,$P$24,$18:$18)+100)/100</f>
        <v>1</v>
      </c>
      <c r="R25" s="662">
        <f ca="1">IF(B25="",0,ROUND($R$24*C25*E25*G25*I25*K25*M25*O25*Q25,0))</f>
        <v>67992</v>
      </c>
      <c r="S25" s="316">
        <f t="shared" ca="1" si="5"/>
        <v>6062</v>
      </c>
    </row>
    <row r="26" spans="1:45">
      <c r="A26" s="150" t="s">
        <v>3386</v>
      </c>
      <c r="B26" s="54">
        <v>820.83</v>
      </c>
      <c r="C26" s="21">
        <f t="shared" ref="C26:C89" si="6">IF(B26="",1,(LOOKUP(B26,$3:$3,$4:$4)-LOOKUP($B$24,$3:$3,$4:$4)+100)/100)</f>
        <v>0.99</v>
      </c>
      <c r="D26" s="666" t="s">
        <v>3511</v>
      </c>
      <c r="E26" s="21">
        <f t="shared" ref="E26:E89" si="7">(SUMIF($5:$5,D26,$6:$6)-SUMIF($5:$5,$D$24,$6:$6)+100)/100</f>
        <v>1</v>
      </c>
      <c r="F26" s="666" t="s">
        <v>3556</v>
      </c>
      <c r="G26" s="21">
        <f t="shared" ref="G26:G89" si="8">(SUMIF($7:$7,F26,$8:$8)-SUMIF($7:$7,$F$24,$8:$8)+100)/100</f>
        <v>1</v>
      </c>
      <c r="H26" s="666" t="s">
        <v>3521</v>
      </c>
      <c r="I26" s="21">
        <f t="shared" ref="I26:I89" si="9">(SUMIF($9:$9,H26,$10:$10)-SUMIF($9:$9,$H$24,$10:$10)+100)/100</f>
        <v>1</v>
      </c>
      <c r="J26" s="666" t="s">
        <v>3560</v>
      </c>
      <c r="K26" s="21">
        <f t="shared" ref="K26:K89" si="10">(SUMIF($11:$11,J26,$12:$12)-SUMIF($11:$11,$J$24,$12:$12)+100)/100</f>
        <v>1</v>
      </c>
      <c r="L26" s="666"/>
      <c r="M26" s="21">
        <f t="shared" ref="M26:M89" si="11">(SUMIF($13:$13,L26,$14:$14)-SUMIF($13:$13,$L$24,$14:$14)+100)/100</f>
        <v>1</v>
      </c>
      <c r="N26" s="666"/>
      <c r="O26" s="21">
        <f t="shared" ref="O26:O89" si="12">(SUMIF($15:$15,N26,$16:$16)-SUMIF($15:$15,$N$24,$16:$16)+100)/100</f>
        <v>1</v>
      </c>
      <c r="P26" s="2807">
        <v>1</v>
      </c>
      <c r="Q26" s="21">
        <f t="shared" ref="Q26:Q89" si="13">(SUMIF($17:$17,P26,$18:$18)-SUMIF($17:$17,$P$24,$18:$18)+100)/100</f>
        <v>1</v>
      </c>
      <c r="R26" s="662">
        <f t="shared" ref="R26:R89" ca="1" si="14">IF(B26="",0,ROUND($R$24*C26*E26*G26*I26*K26*M26*O26*Q26,0))</f>
        <v>73784</v>
      </c>
      <c r="S26" s="316">
        <f t="shared" ca="1" si="5"/>
        <v>6056</v>
      </c>
    </row>
    <row r="27" spans="1:45">
      <c r="A27" s="150" t="s">
        <v>3387</v>
      </c>
      <c r="B27" s="54">
        <v>114.12</v>
      </c>
      <c r="C27" s="21">
        <f t="shared" si="6"/>
        <v>1.02</v>
      </c>
      <c r="D27" s="666" t="s">
        <v>3511</v>
      </c>
      <c r="E27" s="21">
        <f t="shared" si="7"/>
        <v>1</v>
      </c>
      <c r="F27" s="666" t="s">
        <v>3556</v>
      </c>
      <c r="G27" s="21">
        <f t="shared" si="8"/>
        <v>1</v>
      </c>
      <c r="H27" s="666" t="s">
        <v>3521</v>
      </c>
      <c r="I27" s="21">
        <f t="shared" si="9"/>
        <v>1</v>
      </c>
      <c r="J27" s="666" t="s">
        <v>3560</v>
      </c>
      <c r="K27" s="21">
        <f t="shared" si="10"/>
        <v>1</v>
      </c>
      <c r="L27" s="666"/>
      <c r="M27" s="21">
        <f t="shared" si="11"/>
        <v>1</v>
      </c>
      <c r="N27" s="666"/>
      <c r="O27" s="21">
        <f t="shared" si="12"/>
        <v>1</v>
      </c>
      <c r="P27" s="2807">
        <v>1</v>
      </c>
      <c r="Q27" s="21">
        <f t="shared" si="13"/>
        <v>1</v>
      </c>
      <c r="R27" s="662">
        <f t="shared" ca="1" si="14"/>
        <v>76020</v>
      </c>
      <c r="S27" s="316">
        <f t="shared" ca="1" si="5"/>
        <v>868</v>
      </c>
    </row>
    <row r="28" spans="1:45">
      <c r="A28" s="150" t="s">
        <v>3388</v>
      </c>
      <c r="B28" s="54">
        <v>229.57</v>
      </c>
      <c r="C28" s="21">
        <f t="shared" si="6"/>
        <v>1.01</v>
      </c>
      <c r="D28" s="666" t="s">
        <v>3540</v>
      </c>
      <c r="E28" s="21">
        <f t="shared" si="7"/>
        <v>0.91</v>
      </c>
      <c r="F28" s="666" t="s">
        <v>3569</v>
      </c>
      <c r="G28" s="21">
        <f t="shared" si="8"/>
        <v>0.85</v>
      </c>
      <c r="H28" s="666" t="s">
        <v>3521</v>
      </c>
      <c r="I28" s="21">
        <f t="shared" si="9"/>
        <v>1</v>
      </c>
      <c r="J28" s="666" t="s">
        <v>3560</v>
      </c>
      <c r="K28" s="21">
        <f t="shared" si="10"/>
        <v>1</v>
      </c>
      <c r="L28" s="666"/>
      <c r="M28" s="21">
        <f t="shared" si="11"/>
        <v>1</v>
      </c>
      <c r="N28" s="666"/>
      <c r="O28" s="21">
        <f t="shared" si="12"/>
        <v>1</v>
      </c>
      <c r="P28" s="2807">
        <v>1</v>
      </c>
      <c r="Q28" s="21">
        <f t="shared" si="13"/>
        <v>1</v>
      </c>
      <c r="R28" s="662">
        <f t="shared" ca="1" si="14"/>
        <v>58225</v>
      </c>
      <c r="S28" s="316">
        <f t="shared" ca="1" si="5"/>
        <v>1337</v>
      </c>
    </row>
    <row r="29" spans="1:45">
      <c r="A29" s="150" t="s">
        <v>3389</v>
      </c>
      <c r="B29" s="54">
        <v>174.61</v>
      </c>
      <c r="C29" s="21">
        <f t="shared" si="6"/>
        <v>1.02</v>
      </c>
      <c r="D29" s="666" t="s">
        <v>3540</v>
      </c>
      <c r="E29" s="21">
        <f t="shared" si="7"/>
        <v>0.91</v>
      </c>
      <c r="F29" s="666" t="s">
        <v>3569</v>
      </c>
      <c r="G29" s="21">
        <f t="shared" si="8"/>
        <v>0.85</v>
      </c>
      <c r="H29" s="666" t="s">
        <v>3521</v>
      </c>
      <c r="I29" s="21">
        <f t="shared" si="9"/>
        <v>1</v>
      </c>
      <c r="J29" s="666" t="s">
        <v>3560</v>
      </c>
      <c r="K29" s="21">
        <f t="shared" si="10"/>
        <v>1</v>
      </c>
      <c r="L29" s="666"/>
      <c r="M29" s="21">
        <f t="shared" si="11"/>
        <v>1</v>
      </c>
      <c r="N29" s="666"/>
      <c r="O29" s="21">
        <f t="shared" si="12"/>
        <v>1</v>
      </c>
      <c r="P29" s="2807">
        <v>1</v>
      </c>
      <c r="Q29" s="21">
        <f t="shared" si="13"/>
        <v>1</v>
      </c>
      <c r="R29" s="662">
        <f t="shared" ca="1" si="14"/>
        <v>58801</v>
      </c>
      <c r="S29" s="316">
        <f t="shared" ca="1" si="5"/>
        <v>1027</v>
      </c>
    </row>
    <row r="30" spans="1:45">
      <c r="A30" s="150" t="s">
        <v>3390</v>
      </c>
      <c r="B30" s="54">
        <v>579.52</v>
      </c>
      <c r="C30" s="21">
        <f t="shared" si="6"/>
        <v>0.99</v>
      </c>
      <c r="D30" s="666" t="s">
        <v>3540</v>
      </c>
      <c r="E30" s="21">
        <f t="shared" si="7"/>
        <v>0.91</v>
      </c>
      <c r="F30" s="666" t="s">
        <v>3569</v>
      </c>
      <c r="G30" s="21">
        <f t="shared" si="8"/>
        <v>0.85</v>
      </c>
      <c r="H30" s="666" t="s">
        <v>3521</v>
      </c>
      <c r="I30" s="21">
        <f t="shared" si="9"/>
        <v>1</v>
      </c>
      <c r="J30" s="666" t="s">
        <v>3560</v>
      </c>
      <c r="K30" s="21">
        <f t="shared" si="10"/>
        <v>1</v>
      </c>
      <c r="L30" s="666"/>
      <c r="M30" s="21">
        <f t="shared" si="11"/>
        <v>1</v>
      </c>
      <c r="N30" s="666"/>
      <c r="O30" s="21">
        <f t="shared" si="12"/>
        <v>1</v>
      </c>
      <c r="P30" s="2807">
        <v>1</v>
      </c>
      <c r="Q30" s="21">
        <f t="shared" si="13"/>
        <v>1</v>
      </c>
      <c r="R30" s="662">
        <f t="shared" ca="1" si="14"/>
        <v>57072</v>
      </c>
      <c r="S30" s="316">
        <f t="shared" ca="1" si="5"/>
        <v>3307</v>
      </c>
    </row>
    <row r="31" spans="1:45">
      <c r="A31" s="150" t="s">
        <v>3391</v>
      </c>
      <c r="B31" s="54">
        <v>392.45</v>
      </c>
      <c r="C31" s="21">
        <f t="shared" si="6"/>
        <v>1</v>
      </c>
      <c r="D31" s="666" t="s">
        <v>3540</v>
      </c>
      <c r="E31" s="21">
        <f t="shared" si="7"/>
        <v>0.91</v>
      </c>
      <c r="F31" s="666" t="s">
        <v>3569</v>
      </c>
      <c r="G31" s="21">
        <f t="shared" si="8"/>
        <v>0.85</v>
      </c>
      <c r="H31" s="666" t="s">
        <v>3521</v>
      </c>
      <c r="I31" s="21">
        <f t="shared" si="9"/>
        <v>1</v>
      </c>
      <c r="J31" s="666" t="s">
        <v>3560</v>
      </c>
      <c r="K31" s="21">
        <f t="shared" si="10"/>
        <v>1</v>
      </c>
      <c r="L31" s="666"/>
      <c r="M31" s="21">
        <f t="shared" si="11"/>
        <v>1</v>
      </c>
      <c r="N31" s="666"/>
      <c r="O31" s="21">
        <f t="shared" si="12"/>
        <v>1</v>
      </c>
      <c r="P31" s="2807">
        <v>1</v>
      </c>
      <c r="Q31" s="21">
        <f t="shared" si="13"/>
        <v>1</v>
      </c>
      <c r="R31" s="662">
        <f t="shared" ca="1" si="14"/>
        <v>57648</v>
      </c>
      <c r="S31" s="316">
        <f t="shared" ca="1" si="5"/>
        <v>2262</v>
      </c>
    </row>
    <row r="32" spans="1:45">
      <c r="A32" s="150" t="s">
        <v>3392</v>
      </c>
      <c r="B32" s="54">
        <v>129.91</v>
      </c>
      <c r="C32" s="21">
        <f t="shared" si="6"/>
        <v>1.02</v>
      </c>
      <c r="D32" s="666" t="s">
        <v>3540</v>
      </c>
      <c r="E32" s="21">
        <f t="shared" si="7"/>
        <v>0.91</v>
      </c>
      <c r="F32" s="666" t="s">
        <v>3569</v>
      </c>
      <c r="G32" s="21">
        <f t="shared" si="8"/>
        <v>0.85</v>
      </c>
      <c r="H32" s="666" t="s">
        <v>3521</v>
      </c>
      <c r="I32" s="21">
        <f t="shared" si="9"/>
        <v>1</v>
      </c>
      <c r="J32" s="666" t="s">
        <v>3560</v>
      </c>
      <c r="K32" s="21">
        <f t="shared" si="10"/>
        <v>1</v>
      </c>
      <c r="L32" s="666"/>
      <c r="M32" s="21">
        <f t="shared" si="11"/>
        <v>1</v>
      </c>
      <c r="N32" s="666"/>
      <c r="O32" s="21">
        <f t="shared" si="12"/>
        <v>1</v>
      </c>
      <c r="P32" s="2807">
        <v>1</v>
      </c>
      <c r="Q32" s="21">
        <f t="shared" si="13"/>
        <v>1</v>
      </c>
      <c r="R32" s="662">
        <f t="shared" ca="1" si="14"/>
        <v>58801</v>
      </c>
      <c r="S32" s="316">
        <f t="shared" ca="1" si="5"/>
        <v>764</v>
      </c>
    </row>
    <row r="33" spans="1:19">
      <c r="A33" s="150" t="s">
        <v>3393</v>
      </c>
      <c r="B33" s="54">
        <v>130.21</v>
      </c>
      <c r="C33" s="21">
        <f t="shared" si="6"/>
        <v>1.02</v>
      </c>
      <c r="D33" s="666" t="s">
        <v>3540</v>
      </c>
      <c r="E33" s="21">
        <f t="shared" si="7"/>
        <v>0.91</v>
      </c>
      <c r="F33" s="666" t="s">
        <v>3569</v>
      </c>
      <c r="G33" s="21">
        <f t="shared" si="8"/>
        <v>0.85</v>
      </c>
      <c r="H33" s="666" t="s">
        <v>3521</v>
      </c>
      <c r="I33" s="21">
        <f t="shared" si="9"/>
        <v>1</v>
      </c>
      <c r="J33" s="666" t="s">
        <v>3560</v>
      </c>
      <c r="K33" s="21">
        <f t="shared" si="10"/>
        <v>1</v>
      </c>
      <c r="L33" s="666"/>
      <c r="M33" s="21">
        <f t="shared" si="11"/>
        <v>1</v>
      </c>
      <c r="N33" s="666"/>
      <c r="O33" s="21">
        <f t="shared" si="12"/>
        <v>1</v>
      </c>
      <c r="P33" s="2807">
        <v>1</v>
      </c>
      <c r="Q33" s="21">
        <f t="shared" si="13"/>
        <v>1</v>
      </c>
      <c r="R33" s="662">
        <f t="shared" ca="1" si="14"/>
        <v>58801</v>
      </c>
      <c r="S33" s="316">
        <f t="shared" ca="1" si="5"/>
        <v>766</v>
      </c>
    </row>
    <row r="34" spans="1:19">
      <c r="A34" s="150" t="s">
        <v>3394</v>
      </c>
      <c r="B34" s="54">
        <v>219.79</v>
      </c>
      <c r="C34" s="21">
        <f t="shared" si="6"/>
        <v>1.01</v>
      </c>
      <c r="D34" s="666" t="s">
        <v>3540</v>
      </c>
      <c r="E34" s="21">
        <f t="shared" si="7"/>
        <v>0.91</v>
      </c>
      <c r="F34" s="666" t="s">
        <v>3569</v>
      </c>
      <c r="G34" s="21">
        <f t="shared" si="8"/>
        <v>0.85</v>
      </c>
      <c r="H34" s="666" t="s">
        <v>3521</v>
      </c>
      <c r="I34" s="21">
        <f t="shared" si="9"/>
        <v>1</v>
      </c>
      <c r="J34" s="666" t="s">
        <v>3560</v>
      </c>
      <c r="K34" s="21">
        <f t="shared" si="10"/>
        <v>1</v>
      </c>
      <c r="L34" s="666"/>
      <c r="M34" s="21">
        <f t="shared" si="11"/>
        <v>1</v>
      </c>
      <c r="N34" s="666"/>
      <c r="O34" s="21">
        <f t="shared" si="12"/>
        <v>1</v>
      </c>
      <c r="P34" s="2807">
        <v>1</v>
      </c>
      <c r="Q34" s="21">
        <f t="shared" si="13"/>
        <v>1</v>
      </c>
      <c r="R34" s="662">
        <f t="shared" ca="1" si="14"/>
        <v>58225</v>
      </c>
      <c r="S34" s="316">
        <f t="shared" ca="1" si="5"/>
        <v>1280</v>
      </c>
    </row>
    <row r="35" spans="1:19">
      <c r="A35" s="150" t="s">
        <v>3395</v>
      </c>
      <c r="B35" s="54">
        <v>147.19999999999999</v>
      </c>
      <c r="C35" s="21">
        <f t="shared" si="6"/>
        <v>1.02</v>
      </c>
      <c r="D35" s="666" t="s">
        <v>3540</v>
      </c>
      <c r="E35" s="21">
        <f t="shared" si="7"/>
        <v>0.91</v>
      </c>
      <c r="F35" s="666" t="s">
        <v>3569</v>
      </c>
      <c r="G35" s="21">
        <f t="shared" si="8"/>
        <v>0.85</v>
      </c>
      <c r="H35" s="666" t="s">
        <v>3521</v>
      </c>
      <c r="I35" s="21">
        <f t="shared" si="9"/>
        <v>1</v>
      </c>
      <c r="J35" s="666" t="s">
        <v>3560</v>
      </c>
      <c r="K35" s="21">
        <f t="shared" si="10"/>
        <v>1</v>
      </c>
      <c r="L35" s="666"/>
      <c r="M35" s="21">
        <f t="shared" si="11"/>
        <v>1</v>
      </c>
      <c r="N35" s="666"/>
      <c r="O35" s="21">
        <f t="shared" si="12"/>
        <v>1</v>
      </c>
      <c r="P35" s="2807">
        <v>1</v>
      </c>
      <c r="Q35" s="21">
        <f t="shared" si="13"/>
        <v>1</v>
      </c>
      <c r="R35" s="662">
        <f t="shared" ca="1" si="14"/>
        <v>58801</v>
      </c>
      <c r="S35" s="316">
        <f t="shared" ca="1" si="5"/>
        <v>866</v>
      </c>
    </row>
    <row r="36" spans="1:19">
      <c r="A36" s="150" t="s">
        <v>3396</v>
      </c>
      <c r="B36" s="54">
        <v>221.24</v>
      </c>
      <c r="C36" s="21">
        <f t="shared" si="6"/>
        <v>1.01</v>
      </c>
      <c r="D36" s="666" t="s">
        <v>3540</v>
      </c>
      <c r="E36" s="21">
        <f t="shared" si="7"/>
        <v>0.91</v>
      </c>
      <c r="F36" s="666" t="s">
        <v>3569</v>
      </c>
      <c r="G36" s="21">
        <f t="shared" si="8"/>
        <v>0.85</v>
      </c>
      <c r="H36" s="666" t="s">
        <v>3521</v>
      </c>
      <c r="I36" s="21">
        <f t="shared" si="9"/>
        <v>1</v>
      </c>
      <c r="J36" s="666" t="s">
        <v>3560</v>
      </c>
      <c r="K36" s="21">
        <f t="shared" si="10"/>
        <v>1</v>
      </c>
      <c r="L36" s="666"/>
      <c r="M36" s="21">
        <f t="shared" si="11"/>
        <v>1</v>
      </c>
      <c r="N36" s="666"/>
      <c r="O36" s="21">
        <f t="shared" si="12"/>
        <v>1</v>
      </c>
      <c r="P36" s="2807">
        <v>1</v>
      </c>
      <c r="Q36" s="21">
        <f t="shared" si="13"/>
        <v>1</v>
      </c>
      <c r="R36" s="662">
        <f t="shared" ca="1" si="14"/>
        <v>58225</v>
      </c>
      <c r="S36" s="316">
        <f t="shared" ca="1" si="5"/>
        <v>1288</v>
      </c>
    </row>
    <row r="37" spans="1:19">
      <c r="A37" s="150" t="s">
        <v>3397</v>
      </c>
      <c r="B37" s="54">
        <v>341.21</v>
      </c>
      <c r="C37" s="21">
        <f t="shared" si="6"/>
        <v>1</v>
      </c>
      <c r="D37" s="666" t="s">
        <v>3540</v>
      </c>
      <c r="E37" s="21">
        <f t="shared" si="7"/>
        <v>0.91</v>
      </c>
      <c r="F37" s="666" t="s">
        <v>3569</v>
      </c>
      <c r="G37" s="21">
        <f t="shared" si="8"/>
        <v>0.85</v>
      </c>
      <c r="H37" s="666" t="s">
        <v>3521</v>
      </c>
      <c r="I37" s="21">
        <f t="shared" si="9"/>
        <v>1</v>
      </c>
      <c r="J37" s="666" t="s">
        <v>3560</v>
      </c>
      <c r="K37" s="21">
        <f t="shared" si="10"/>
        <v>1</v>
      </c>
      <c r="L37" s="666"/>
      <c r="M37" s="21">
        <f t="shared" si="11"/>
        <v>1</v>
      </c>
      <c r="N37" s="666"/>
      <c r="O37" s="21">
        <f t="shared" si="12"/>
        <v>1</v>
      </c>
      <c r="P37" s="2807">
        <v>1</v>
      </c>
      <c r="Q37" s="21">
        <f t="shared" si="13"/>
        <v>1</v>
      </c>
      <c r="R37" s="662">
        <f t="shared" ca="1" si="14"/>
        <v>57648</v>
      </c>
      <c r="S37" s="316">
        <f t="shared" ca="1" si="5"/>
        <v>1967</v>
      </c>
    </row>
    <row r="38" spans="1:19">
      <c r="A38" s="150" t="s">
        <v>3398</v>
      </c>
      <c r="B38" s="54">
        <v>105.02</v>
      </c>
      <c r="C38" s="21">
        <f t="shared" si="6"/>
        <v>1.02</v>
      </c>
      <c r="D38" s="666" t="s">
        <v>3540</v>
      </c>
      <c r="E38" s="21">
        <f t="shared" si="7"/>
        <v>0.91</v>
      </c>
      <c r="F38" s="666" t="s">
        <v>3569</v>
      </c>
      <c r="G38" s="21">
        <f t="shared" si="8"/>
        <v>0.85</v>
      </c>
      <c r="H38" s="666" t="s">
        <v>3521</v>
      </c>
      <c r="I38" s="21">
        <f t="shared" si="9"/>
        <v>1</v>
      </c>
      <c r="J38" s="666" t="s">
        <v>3560</v>
      </c>
      <c r="K38" s="21">
        <f t="shared" si="10"/>
        <v>1</v>
      </c>
      <c r="L38" s="666"/>
      <c r="M38" s="21">
        <f t="shared" si="11"/>
        <v>1</v>
      </c>
      <c r="N38" s="666"/>
      <c r="O38" s="21">
        <f t="shared" si="12"/>
        <v>1</v>
      </c>
      <c r="P38" s="2807">
        <v>1</v>
      </c>
      <c r="Q38" s="21">
        <f t="shared" si="13"/>
        <v>1</v>
      </c>
      <c r="R38" s="662">
        <f t="shared" ca="1" si="14"/>
        <v>58801</v>
      </c>
      <c r="S38" s="316">
        <f t="shared" ca="1" si="5"/>
        <v>618</v>
      </c>
    </row>
    <row r="39" spans="1:19">
      <c r="A39" s="150" t="s">
        <v>3399</v>
      </c>
      <c r="B39" s="54">
        <v>105.26</v>
      </c>
      <c r="C39" s="21">
        <f t="shared" si="6"/>
        <v>1.02</v>
      </c>
      <c r="D39" s="666" t="s">
        <v>3540</v>
      </c>
      <c r="E39" s="21">
        <f t="shared" si="7"/>
        <v>0.91</v>
      </c>
      <c r="F39" s="666" t="s">
        <v>3569</v>
      </c>
      <c r="G39" s="21">
        <f t="shared" si="8"/>
        <v>0.85</v>
      </c>
      <c r="H39" s="666" t="s">
        <v>3521</v>
      </c>
      <c r="I39" s="21">
        <f t="shared" si="9"/>
        <v>1</v>
      </c>
      <c r="J39" s="666" t="s">
        <v>3560</v>
      </c>
      <c r="K39" s="21">
        <f t="shared" si="10"/>
        <v>1</v>
      </c>
      <c r="L39" s="666"/>
      <c r="M39" s="21">
        <f t="shared" si="11"/>
        <v>1</v>
      </c>
      <c r="N39" s="666"/>
      <c r="O39" s="21">
        <f t="shared" si="12"/>
        <v>1</v>
      </c>
      <c r="P39" s="2807">
        <v>1</v>
      </c>
      <c r="Q39" s="21">
        <f t="shared" si="13"/>
        <v>1</v>
      </c>
      <c r="R39" s="662">
        <f t="shared" ca="1" si="14"/>
        <v>58801</v>
      </c>
      <c r="S39" s="316">
        <f t="shared" ca="1" si="5"/>
        <v>619</v>
      </c>
    </row>
    <row r="40" spans="1:19">
      <c r="A40" s="150" t="s">
        <v>3400</v>
      </c>
      <c r="B40" s="54">
        <v>56.19</v>
      </c>
      <c r="C40" s="21">
        <f t="shared" si="6"/>
        <v>1.03</v>
      </c>
      <c r="D40" s="666" t="s">
        <v>3538</v>
      </c>
      <c r="E40" s="21">
        <f t="shared" si="7"/>
        <v>0.97</v>
      </c>
      <c r="F40" s="666" t="s">
        <v>3538</v>
      </c>
      <c r="G40" s="21">
        <f t="shared" si="8"/>
        <v>0.95</v>
      </c>
      <c r="H40" s="666" t="s">
        <v>3521</v>
      </c>
      <c r="I40" s="21">
        <f t="shared" si="9"/>
        <v>1</v>
      </c>
      <c r="J40" s="666" t="s">
        <v>3560</v>
      </c>
      <c r="K40" s="21">
        <f t="shared" si="10"/>
        <v>1</v>
      </c>
      <c r="L40" s="666"/>
      <c r="M40" s="21">
        <f t="shared" si="11"/>
        <v>1</v>
      </c>
      <c r="N40" s="666"/>
      <c r="O40" s="21">
        <f t="shared" si="12"/>
        <v>1</v>
      </c>
      <c r="P40" s="2807">
        <v>1</v>
      </c>
      <c r="Q40" s="21">
        <f t="shared" si="13"/>
        <v>1</v>
      </c>
      <c r="R40" s="662">
        <f t="shared" ca="1" si="14"/>
        <v>70739</v>
      </c>
      <c r="S40" s="316">
        <f t="shared" ca="1" si="5"/>
        <v>397</v>
      </c>
    </row>
    <row r="41" spans="1:19">
      <c r="A41" s="150" t="s">
        <v>3401</v>
      </c>
      <c r="B41" s="54">
        <v>43.73</v>
      </c>
      <c r="C41" s="21">
        <f t="shared" si="6"/>
        <v>1.03</v>
      </c>
      <c r="D41" s="666" t="s">
        <v>3540</v>
      </c>
      <c r="E41" s="21">
        <f t="shared" si="7"/>
        <v>0.91</v>
      </c>
      <c r="F41" s="666" t="s">
        <v>3569</v>
      </c>
      <c r="G41" s="21">
        <f t="shared" si="8"/>
        <v>0.85</v>
      </c>
      <c r="H41" s="666" t="s">
        <v>3521</v>
      </c>
      <c r="I41" s="21">
        <f t="shared" si="9"/>
        <v>1</v>
      </c>
      <c r="J41" s="666" t="s">
        <v>3560</v>
      </c>
      <c r="K41" s="21">
        <f t="shared" si="10"/>
        <v>1</v>
      </c>
      <c r="L41" s="666"/>
      <c r="M41" s="21">
        <f t="shared" si="11"/>
        <v>1</v>
      </c>
      <c r="N41" s="666"/>
      <c r="O41" s="21">
        <f t="shared" si="12"/>
        <v>1</v>
      </c>
      <c r="P41" s="2807">
        <v>1</v>
      </c>
      <c r="Q41" s="21">
        <f t="shared" si="13"/>
        <v>1</v>
      </c>
      <c r="R41" s="662">
        <f t="shared" ca="1" si="14"/>
        <v>59378</v>
      </c>
      <c r="S41" s="316">
        <f t="shared" ca="1" si="5"/>
        <v>260</v>
      </c>
    </row>
    <row r="42" spans="1:19">
      <c r="A42" s="150" t="s">
        <v>3402</v>
      </c>
      <c r="B42" s="54">
        <v>277.54000000000002</v>
      </c>
      <c r="C42" s="21">
        <f t="shared" si="6"/>
        <v>1.01</v>
      </c>
      <c r="D42" s="666" t="s">
        <v>3511</v>
      </c>
      <c r="E42" s="21">
        <f t="shared" si="7"/>
        <v>1</v>
      </c>
      <c r="F42" s="666" t="s">
        <v>3556</v>
      </c>
      <c r="G42" s="21">
        <f t="shared" si="8"/>
        <v>1</v>
      </c>
      <c r="H42" s="666" t="s">
        <v>3521</v>
      </c>
      <c r="I42" s="21">
        <f t="shared" si="9"/>
        <v>1</v>
      </c>
      <c r="J42" s="666" t="s">
        <v>3560</v>
      </c>
      <c r="K42" s="21">
        <f t="shared" si="10"/>
        <v>1</v>
      </c>
      <c r="L42" s="666"/>
      <c r="M42" s="21">
        <f t="shared" si="11"/>
        <v>1</v>
      </c>
      <c r="N42" s="666"/>
      <c r="O42" s="21">
        <f t="shared" si="12"/>
        <v>1</v>
      </c>
      <c r="P42" s="2807">
        <v>1</v>
      </c>
      <c r="Q42" s="21">
        <f t="shared" si="13"/>
        <v>1</v>
      </c>
      <c r="R42" s="662">
        <f t="shared" ca="1" si="14"/>
        <v>75274</v>
      </c>
      <c r="S42" s="316">
        <f t="shared" ca="1" si="5"/>
        <v>2089</v>
      </c>
    </row>
    <row r="43" spans="1:19">
      <c r="A43" s="150"/>
      <c r="B43" s="54"/>
      <c r="C43" s="21">
        <f t="shared" si="6"/>
        <v>1</v>
      </c>
      <c r="D43" s="666"/>
      <c r="E43" s="21">
        <f t="shared" si="7"/>
        <v>0.03</v>
      </c>
      <c r="F43" s="666"/>
      <c r="G43" s="21">
        <f t="shared" si="8"/>
        <v>0.05</v>
      </c>
      <c r="H43" s="666"/>
      <c r="I43" s="21">
        <f t="shared" si="9"/>
        <v>0.01</v>
      </c>
      <c r="J43" s="666"/>
      <c r="K43" s="21">
        <f t="shared" si="10"/>
        <v>0</v>
      </c>
      <c r="L43" s="666"/>
      <c r="M43" s="21">
        <f t="shared" si="11"/>
        <v>1</v>
      </c>
      <c r="N43" s="666"/>
      <c r="O43" s="21">
        <f t="shared" si="12"/>
        <v>1</v>
      </c>
      <c r="P43" s="666"/>
      <c r="Q43" s="21">
        <f t="shared" si="13"/>
        <v>0</v>
      </c>
      <c r="R43" s="662">
        <f t="shared" si="14"/>
        <v>0</v>
      </c>
      <c r="S43" s="316">
        <f t="shared" si="5"/>
        <v>0</v>
      </c>
    </row>
    <row r="44" spans="1:19">
      <c r="A44" s="150"/>
      <c r="B44" s="54"/>
      <c r="C44" s="21">
        <f t="shared" si="6"/>
        <v>1</v>
      </c>
      <c r="D44" s="666"/>
      <c r="E44" s="21">
        <f t="shared" si="7"/>
        <v>0.03</v>
      </c>
      <c r="F44" s="666"/>
      <c r="G44" s="21">
        <f t="shared" si="8"/>
        <v>0.05</v>
      </c>
      <c r="H44" s="666"/>
      <c r="I44" s="21">
        <f t="shared" si="9"/>
        <v>0.01</v>
      </c>
      <c r="J44" s="666"/>
      <c r="K44" s="21">
        <f t="shared" si="10"/>
        <v>0</v>
      </c>
      <c r="L44" s="666"/>
      <c r="M44" s="21">
        <f t="shared" si="11"/>
        <v>1</v>
      </c>
      <c r="N44" s="666"/>
      <c r="O44" s="21">
        <f t="shared" si="12"/>
        <v>1</v>
      </c>
      <c r="P44" s="666"/>
      <c r="Q44" s="21">
        <f t="shared" si="13"/>
        <v>0</v>
      </c>
      <c r="R44" s="662">
        <f t="shared" si="14"/>
        <v>0</v>
      </c>
      <c r="S44" s="316">
        <f t="shared" si="5"/>
        <v>0</v>
      </c>
    </row>
    <row r="45" spans="1:19">
      <c r="A45" s="150"/>
      <c r="B45" s="54"/>
      <c r="C45" s="21">
        <f t="shared" si="6"/>
        <v>1</v>
      </c>
      <c r="D45" s="666"/>
      <c r="E45" s="21">
        <f t="shared" si="7"/>
        <v>0.03</v>
      </c>
      <c r="F45" s="666"/>
      <c r="G45" s="21">
        <f t="shared" si="8"/>
        <v>0.05</v>
      </c>
      <c r="H45" s="666"/>
      <c r="I45" s="21">
        <f t="shared" si="9"/>
        <v>0.01</v>
      </c>
      <c r="J45" s="666"/>
      <c r="K45" s="21">
        <f t="shared" si="10"/>
        <v>0</v>
      </c>
      <c r="L45" s="666"/>
      <c r="M45" s="21">
        <f t="shared" si="11"/>
        <v>1</v>
      </c>
      <c r="N45" s="666"/>
      <c r="O45" s="21">
        <f t="shared" si="12"/>
        <v>1</v>
      </c>
      <c r="P45" s="666"/>
      <c r="Q45" s="21">
        <f t="shared" si="13"/>
        <v>0</v>
      </c>
      <c r="R45" s="662">
        <f t="shared" si="14"/>
        <v>0</v>
      </c>
      <c r="S45" s="316">
        <f t="shared" si="5"/>
        <v>0</v>
      </c>
    </row>
    <row r="46" spans="1:19">
      <c r="A46" s="150"/>
      <c r="B46" s="54"/>
      <c r="C46" s="21">
        <f t="shared" si="6"/>
        <v>1</v>
      </c>
      <c r="D46" s="666"/>
      <c r="E46" s="21">
        <f t="shared" si="7"/>
        <v>0.03</v>
      </c>
      <c r="F46" s="666"/>
      <c r="G46" s="21">
        <f t="shared" si="8"/>
        <v>0.05</v>
      </c>
      <c r="H46" s="666"/>
      <c r="I46" s="21">
        <f t="shared" si="9"/>
        <v>0.01</v>
      </c>
      <c r="J46" s="666"/>
      <c r="K46" s="21">
        <f t="shared" si="10"/>
        <v>0</v>
      </c>
      <c r="L46" s="666"/>
      <c r="M46" s="21">
        <f t="shared" si="11"/>
        <v>1</v>
      </c>
      <c r="N46" s="666"/>
      <c r="O46" s="21">
        <f t="shared" si="12"/>
        <v>1</v>
      </c>
      <c r="P46" s="666"/>
      <c r="Q46" s="21">
        <f t="shared" si="13"/>
        <v>0</v>
      </c>
      <c r="R46" s="662">
        <f t="shared" si="14"/>
        <v>0</v>
      </c>
      <c r="S46" s="316">
        <f t="shared" si="5"/>
        <v>0</v>
      </c>
    </row>
    <row r="47" spans="1:19">
      <c r="A47" s="150"/>
      <c r="B47" s="54"/>
      <c r="C47" s="21">
        <f t="shared" si="6"/>
        <v>1</v>
      </c>
      <c r="D47" s="666"/>
      <c r="E47" s="21">
        <f t="shared" si="7"/>
        <v>0.03</v>
      </c>
      <c r="F47" s="666"/>
      <c r="G47" s="21">
        <f t="shared" si="8"/>
        <v>0.05</v>
      </c>
      <c r="H47" s="666"/>
      <c r="I47" s="21">
        <f t="shared" si="9"/>
        <v>0.01</v>
      </c>
      <c r="J47" s="666"/>
      <c r="K47" s="21">
        <f t="shared" si="10"/>
        <v>0</v>
      </c>
      <c r="L47" s="666"/>
      <c r="M47" s="21">
        <f t="shared" si="11"/>
        <v>1</v>
      </c>
      <c r="N47" s="666"/>
      <c r="O47" s="21">
        <f t="shared" si="12"/>
        <v>1</v>
      </c>
      <c r="P47" s="666"/>
      <c r="Q47" s="21">
        <f t="shared" si="13"/>
        <v>0</v>
      </c>
      <c r="R47" s="662">
        <f t="shared" si="14"/>
        <v>0</v>
      </c>
      <c r="S47" s="316">
        <f t="shared" si="5"/>
        <v>0</v>
      </c>
    </row>
    <row r="48" spans="1:19">
      <c r="A48" s="150"/>
      <c r="B48" s="54"/>
      <c r="C48" s="21">
        <f t="shared" si="6"/>
        <v>1</v>
      </c>
      <c r="D48" s="666"/>
      <c r="E48" s="21">
        <f t="shared" si="7"/>
        <v>0.03</v>
      </c>
      <c r="F48" s="666"/>
      <c r="G48" s="21">
        <f t="shared" si="8"/>
        <v>0.05</v>
      </c>
      <c r="H48" s="666"/>
      <c r="I48" s="21">
        <f t="shared" si="9"/>
        <v>0.01</v>
      </c>
      <c r="J48" s="666"/>
      <c r="K48" s="21">
        <f t="shared" si="10"/>
        <v>0</v>
      </c>
      <c r="L48" s="666"/>
      <c r="M48" s="21">
        <f t="shared" si="11"/>
        <v>1</v>
      </c>
      <c r="N48" s="666"/>
      <c r="O48" s="21">
        <f t="shared" si="12"/>
        <v>1</v>
      </c>
      <c r="P48" s="666"/>
      <c r="Q48" s="21">
        <f t="shared" si="13"/>
        <v>0</v>
      </c>
      <c r="R48" s="662">
        <f t="shared" si="14"/>
        <v>0</v>
      </c>
      <c r="S48" s="316">
        <f t="shared" si="5"/>
        <v>0</v>
      </c>
    </row>
    <row r="49" spans="1:19">
      <c r="A49" s="150"/>
      <c r="B49" s="54"/>
      <c r="C49" s="21">
        <f t="shared" si="6"/>
        <v>1</v>
      </c>
      <c r="D49" s="666"/>
      <c r="E49" s="21">
        <f t="shared" si="7"/>
        <v>0.03</v>
      </c>
      <c r="F49" s="666"/>
      <c r="G49" s="21">
        <f t="shared" si="8"/>
        <v>0.05</v>
      </c>
      <c r="H49" s="666"/>
      <c r="I49" s="21">
        <f t="shared" si="9"/>
        <v>0.01</v>
      </c>
      <c r="J49" s="666"/>
      <c r="K49" s="21">
        <f t="shared" si="10"/>
        <v>0</v>
      </c>
      <c r="L49" s="666"/>
      <c r="M49" s="21">
        <f t="shared" si="11"/>
        <v>1</v>
      </c>
      <c r="N49" s="666"/>
      <c r="O49" s="21">
        <f t="shared" si="12"/>
        <v>1</v>
      </c>
      <c r="P49" s="666"/>
      <c r="Q49" s="21">
        <f t="shared" si="13"/>
        <v>0</v>
      </c>
      <c r="R49" s="662">
        <f t="shared" si="14"/>
        <v>0</v>
      </c>
      <c r="S49" s="316">
        <f t="shared" si="5"/>
        <v>0</v>
      </c>
    </row>
    <row r="50" spans="1:19">
      <c r="A50" s="150"/>
      <c r="B50" s="54"/>
      <c r="C50" s="21">
        <f t="shared" si="6"/>
        <v>1</v>
      </c>
      <c r="D50" s="666"/>
      <c r="E50" s="21">
        <f t="shared" si="7"/>
        <v>0.03</v>
      </c>
      <c r="F50" s="666"/>
      <c r="G50" s="21">
        <f t="shared" si="8"/>
        <v>0.05</v>
      </c>
      <c r="H50" s="666"/>
      <c r="I50" s="21">
        <f t="shared" si="9"/>
        <v>0.01</v>
      </c>
      <c r="J50" s="666"/>
      <c r="K50" s="21">
        <f t="shared" si="10"/>
        <v>0</v>
      </c>
      <c r="L50" s="666"/>
      <c r="M50" s="21">
        <f t="shared" si="11"/>
        <v>1</v>
      </c>
      <c r="N50" s="666"/>
      <c r="O50" s="21">
        <f t="shared" si="12"/>
        <v>1</v>
      </c>
      <c r="P50" s="666"/>
      <c r="Q50" s="21">
        <f t="shared" si="13"/>
        <v>0</v>
      </c>
      <c r="R50" s="662">
        <f t="shared" si="14"/>
        <v>0</v>
      </c>
      <c r="S50" s="316">
        <f t="shared" si="5"/>
        <v>0</v>
      </c>
    </row>
    <row r="51" spans="1:19">
      <c r="A51" s="150"/>
      <c r="B51" s="54"/>
      <c r="C51" s="21">
        <f t="shared" si="6"/>
        <v>1</v>
      </c>
      <c r="D51" s="666"/>
      <c r="E51" s="21">
        <f t="shared" si="7"/>
        <v>0.03</v>
      </c>
      <c r="F51" s="666"/>
      <c r="G51" s="21">
        <f t="shared" si="8"/>
        <v>0.05</v>
      </c>
      <c r="H51" s="666"/>
      <c r="I51" s="21">
        <f t="shared" si="9"/>
        <v>0.01</v>
      </c>
      <c r="J51" s="666"/>
      <c r="K51" s="21">
        <f t="shared" si="10"/>
        <v>0</v>
      </c>
      <c r="L51" s="666"/>
      <c r="M51" s="21">
        <f t="shared" si="11"/>
        <v>1</v>
      </c>
      <c r="N51" s="666"/>
      <c r="O51" s="21">
        <f t="shared" si="12"/>
        <v>1</v>
      </c>
      <c r="P51" s="666"/>
      <c r="Q51" s="21">
        <f t="shared" si="13"/>
        <v>0</v>
      </c>
      <c r="R51" s="662">
        <f t="shared" si="14"/>
        <v>0</v>
      </c>
      <c r="S51" s="316">
        <f t="shared" si="5"/>
        <v>0</v>
      </c>
    </row>
    <row r="52" spans="1:19">
      <c r="A52" s="150"/>
      <c r="B52" s="54"/>
      <c r="C52" s="21">
        <f t="shared" si="6"/>
        <v>1</v>
      </c>
      <c r="D52" s="666"/>
      <c r="E52" s="21">
        <f t="shared" si="7"/>
        <v>0.03</v>
      </c>
      <c r="F52" s="666"/>
      <c r="G52" s="21">
        <f t="shared" si="8"/>
        <v>0.05</v>
      </c>
      <c r="H52" s="666"/>
      <c r="I52" s="21">
        <f t="shared" si="9"/>
        <v>0.01</v>
      </c>
      <c r="J52" s="666"/>
      <c r="K52" s="21">
        <f t="shared" si="10"/>
        <v>0</v>
      </c>
      <c r="L52" s="666"/>
      <c r="M52" s="21">
        <f t="shared" si="11"/>
        <v>1</v>
      </c>
      <c r="N52" s="666"/>
      <c r="O52" s="21">
        <f t="shared" si="12"/>
        <v>1</v>
      </c>
      <c r="P52" s="666"/>
      <c r="Q52" s="21">
        <f t="shared" si="13"/>
        <v>0</v>
      </c>
      <c r="R52" s="662">
        <f t="shared" si="14"/>
        <v>0</v>
      </c>
      <c r="S52" s="316">
        <f t="shared" si="5"/>
        <v>0</v>
      </c>
    </row>
    <row r="53" spans="1:19">
      <c r="A53" s="150"/>
      <c r="B53" s="54"/>
      <c r="C53" s="21">
        <f t="shared" si="6"/>
        <v>1</v>
      </c>
      <c r="D53" s="666"/>
      <c r="E53" s="21">
        <f t="shared" si="7"/>
        <v>0.03</v>
      </c>
      <c r="F53" s="666"/>
      <c r="G53" s="21">
        <f t="shared" si="8"/>
        <v>0.05</v>
      </c>
      <c r="H53" s="666"/>
      <c r="I53" s="21">
        <f t="shared" si="9"/>
        <v>0.01</v>
      </c>
      <c r="J53" s="666"/>
      <c r="K53" s="21">
        <f t="shared" si="10"/>
        <v>0</v>
      </c>
      <c r="L53" s="666"/>
      <c r="M53" s="21">
        <f t="shared" si="11"/>
        <v>1</v>
      </c>
      <c r="N53" s="666"/>
      <c r="O53" s="21">
        <f t="shared" si="12"/>
        <v>1</v>
      </c>
      <c r="P53" s="666"/>
      <c r="Q53" s="21">
        <f t="shared" si="13"/>
        <v>0</v>
      </c>
      <c r="R53" s="662">
        <f t="shared" si="14"/>
        <v>0</v>
      </c>
      <c r="S53" s="316">
        <f t="shared" si="5"/>
        <v>0</v>
      </c>
    </row>
    <row r="54" spans="1:19">
      <c r="A54" s="150"/>
      <c r="B54" s="54"/>
      <c r="C54" s="21">
        <f t="shared" si="6"/>
        <v>1</v>
      </c>
      <c r="D54" s="666"/>
      <c r="E54" s="21">
        <f t="shared" si="7"/>
        <v>0.03</v>
      </c>
      <c r="F54" s="666"/>
      <c r="G54" s="21">
        <f t="shared" si="8"/>
        <v>0.05</v>
      </c>
      <c r="H54" s="666"/>
      <c r="I54" s="21">
        <f t="shared" si="9"/>
        <v>0.01</v>
      </c>
      <c r="J54" s="666"/>
      <c r="K54" s="21">
        <f t="shared" si="10"/>
        <v>0</v>
      </c>
      <c r="L54" s="666"/>
      <c r="M54" s="21">
        <f t="shared" si="11"/>
        <v>1</v>
      </c>
      <c r="N54" s="666"/>
      <c r="O54" s="21">
        <f t="shared" si="12"/>
        <v>1</v>
      </c>
      <c r="P54" s="666"/>
      <c r="Q54" s="21">
        <f t="shared" si="13"/>
        <v>0</v>
      </c>
      <c r="R54" s="662">
        <f t="shared" si="14"/>
        <v>0</v>
      </c>
      <c r="S54" s="316">
        <f t="shared" si="5"/>
        <v>0</v>
      </c>
    </row>
    <row r="55" spans="1:19">
      <c r="A55" s="150"/>
      <c r="B55" s="54"/>
      <c r="C55" s="21">
        <f t="shared" si="6"/>
        <v>1</v>
      </c>
      <c r="D55" s="666"/>
      <c r="E55" s="21">
        <f t="shared" si="7"/>
        <v>0.03</v>
      </c>
      <c r="F55" s="666"/>
      <c r="G55" s="21">
        <f t="shared" si="8"/>
        <v>0.05</v>
      </c>
      <c r="H55" s="666"/>
      <c r="I55" s="21">
        <f t="shared" si="9"/>
        <v>0.01</v>
      </c>
      <c r="J55" s="666"/>
      <c r="K55" s="21">
        <f t="shared" si="10"/>
        <v>0</v>
      </c>
      <c r="L55" s="666"/>
      <c r="M55" s="21">
        <f t="shared" si="11"/>
        <v>1</v>
      </c>
      <c r="N55" s="666"/>
      <c r="O55" s="21">
        <f t="shared" si="12"/>
        <v>1</v>
      </c>
      <c r="P55" s="666"/>
      <c r="Q55" s="21">
        <f t="shared" si="13"/>
        <v>0</v>
      </c>
      <c r="R55" s="662">
        <f t="shared" si="14"/>
        <v>0</v>
      </c>
      <c r="S55" s="316">
        <f t="shared" si="5"/>
        <v>0</v>
      </c>
    </row>
    <row r="56" spans="1:19">
      <c r="A56" s="150"/>
      <c r="B56" s="54"/>
      <c r="C56" s="21">
        <f t="shared" si="6"/>
        <v>1</v>
      </c>
      <c r="D56" s="666"/>
      <c r="E56" s="21">
        <f t="shared" si="7"/>
        <v>0.03</v>
      </c>
      <c r="F56" s="666"/>
      <c r="G56" s="21">
        <f t="shared" si="8"/>
        <v>0.05</v>
      </c>
      <c r="H56" s="666"/>
      <c r="I56" s="21">
        <f t="shared" si="9"/>
        <v>0.01</v>
      </c>
      <c r="J56" s="666"/>
      <c r="K56" s="21">
        <f t="shared" si="10"/>
        <v>0</v>
      </c>
      <c r="L56" s="666"/>
      <c r="M56" s="21">
        <f t="shared" si="11"/>
        <v>1</v>
      </c>
      <c r="N56" s="666"/>
      <c r="O56" s="21">
        <f t="shared" si="12"/>
        <v>1</v>
      </c>
      <c r="P56" s="666"/>
      <c r="Q56" s="21">
        <f t="shared" si="13"/>
        <v>0</v>
      </c>
      <c r="R56" s="662">
        <f t="shared" si="14"/>
        <v>0</v>
      </c>
      <c r="S56" s="316">
        <f t="shared" si="5"/>
        <v>0</v>
      </c>
    </row>
    <row r="57" spans="1:19">
      <c r="A57" s="150"/>
      <c r="B57" s="54"/>
      <c r="C57" s="21">
        <f t="shared" si="6"/>
        <v>1</v>
      </c>
      <c r="D57" s="666"/>
      <c r="E57" s="21">
        <f t="shared" si="7"/>
        <v>0.03</v>
      </c>
      <c r="F57" s="666"/>
      <c r="G57" s="21">
        <f t="shared" si="8"/>
        <v>0.05</v>
      </c>
      <c r="H57" s="666"/>
      <c r="I57" s="21">
        <f t="shared" si="9"/>
        <v>0.01</v>
      </c>
      <c r="J57" s="666"/>
      <c r="K57" s="21">
        <f t="shared" si="10"/>
        <v>0</v>
      </c>
      <c r="L57" s="666"/>
      <c r="M57" s="21">
        <f t="shared" si="11"/>
        <v>1</v>
      </c>
      <c r="N57" s="666"/>
      <c r="O57" s="21">
        <f t="shared" si="12"/>
        <v>1</v>
      </c>
      <c r="P57" s="666"/>
      <c r="Q57" s="21">
        <f t="shared" si="13"/>
        <v>0</v>
      </c>
      <c r="R57" s="662">
        <f t="shared" si="14"/>
        <v>0</v>
      </c>
      <c r="S57" s="316">
        <f t="shared" si="5"/>
        <v>0</v>
      </c>
    </row>
    <row r="58" spans="1:19">
      <c r="A58" s="150"/>
      <c r="B58" s="54"/>
      <c r="C58" s="21">
        <f t="shared" si="6"/>
        <v>1</v>
      </c>
      <c r="D58" s="666"/>
      <c r="E58" s="21">
        <f t="shared" si="7"/>
        <v>0.03</v>
      </c>
      <c r="F58" s="666"/>
      <c r="G58" s="21">
        <f t="shared" si="8"/>
        <v>0.05</v>
      </c>
      <c r="H58" s="666"/>
      <c r="I58" s="21">
        <f t="shared" si="9"/>
        <v>0.01</v>
      </c>
      <c r="J58" s="666"/>
      <c r="K58" s="21">
        <f t="shared" si="10"/>
        <v>0</v>
      </c>
      <c r="L58" s="666"/>
      <c r="M58" s="21">
        <f t="shared" si="11"/>
        <v>1</v>
      </c>
      <c r="N58" s="666"/>
      <c r="O58" s="21">
        <f t="shared" si="12"/>
        <v>1</v>
      </c>
      <c r="P58" s="666"/>
      <c r="Q58" s="21">
        <f t="shared" si="13"/>
        <v>0</v>
      </c>
      <c r="R58" s="662">
        <f t="shared" si="14"/>
        <v>0</v>
      </c>
      <c r="S58" s="316">
        <f t="shared" si="5"/>
        <v>0</v>
      </c>
    </row>
    <row r="59" spans="1:19">
      <c r="A59" s="150"/>
      <c r="B59" s="54"/>
      <c r="C59" s="21">
        <f t="shared" si="6"/>
        <v>1</v>
      </c>
      <c r="D59" s="666"/>
      <c r="E59" s="21">
        <f t="shared" si="7"/>
        <v>0.03</v>
      </c>
      <c r="F59" s="666"/>
      <c r="G59" s="21">
        <f t="shared" si="8"/>
        <v>0.05</v>
      </c>
      <c r="H59" s="666"/>
      <c r="I59" s="21">
        <f t="shared" si="9"/>
        <v>0.01</v>
      </c>
      <c r="J59" s="666"/>
      <c r="K59" s="21">
        <f t="shared" si="10"/>
        <v>0</v>
      </c>
      <c r="L59" s="666"/>
      <c r="M59" s="21">
        <f t="shared" si="11"/>
        <v>1</v>
      </c>
      <c r="N59" s="666"/>
      <c r="O59" s="21">
        <f t="shared" si="12"/>
        <v>1</v>
      </c>
      <c r="P59" s="666"/>
      <c r="Q59" s="21">
        <f t="shared" si="13"/>
        <v>0</v>
      </c>
      <c r="R59" s="662">
        <f t="shared" si="14"/>
        <v>0</v>
      </c>
      <c r="S59" s="316">
        <f t="shared" si="5"/>
        <v>0</v>
      </c>
    </row>
    <row r="60" spans="1:19">
      <c r="A60" s="150"/>
      <c r="B60" s="54"/>
      <c r="C60" s="21">
        <f t="shared" si="6"/>
        <v>1</v>
      </c>
      <c r="D60" s="666"/>
      <c r="E60" s="21">
        <f t="shared" si="7"/>
        <v>0.03</v>
      </c>
      <c r="F60" s="666"/>
      <c r="G60" s="21">
        <f t="shared" si="8"/>
        <v>0.05</v>
      </c>
      <c r="H60" s="666"/>
      <c r="I60" s="21">
        <f t="shared" si="9"/>
        <v>0.01</v>
      </c>
      <c r="J60" s="666"/>
      <c r="K60" s="21">
        <f t="shared" si="10"/>
        <v>0</v>
      </c>
      <c r="L60" s="666"/>
      <c r="M60" s="21">
        <f t="shared" si="11"/>
        <v>1</v>
      </c>
      <c r="N60" s="666"/>
      <c r="O60" s="21">
        <f t="shared" si="12"/>
        <v>1</v>
      </c>
      <c r="P60" s="666"/>
      <c r="Q60" s="21">
        <f t="shared" si="13"/>
        <v>0</v>
      </c>
      <c r="R60" s="662">
        <f t="shared" si="14"/>
        <v>0</v>
      </c>
      <c r="S60" s="316">
        <f t="shared" si="5"/>
        <v>0</v>
      </c>
    </row>
    <row r="61" spans="1:19">
      <c r="A61" s="150"/>
      <c r="B61" s="54"/>
      <c r="C61" s="21">
        <f t="shared" si="6"/>
        <v>1</v>
      </c>
      <c r="D61" s="666"/>
      <c r="E61" s="21">
        <f t="shared" si="7"/>
        <v>0.03</v>
      </c>
      <c r="F61" s="666"/>
      <c r="G61" s="21">
        <f t="shared" si="8"/>
        <v>0.05</v>
      </c>
      <c r="H61" s="666"/>
      <c r="I61" s="21">
        <f t="shared" si="9"/>
        <v>0.01</v>
      </c>
      <c r="J61" s="666"/>
      <c r="K61" s="21">
        <f t="shared" si="10"/>
        <v>0</v>
      </c>
      <c r="L61" s="666"/>
      <c r="M61" s="21">
        <f t="shared" si="11"/>
        <v>1</v>
      </c>
      <c r="N61" s="666"/>
      <c r="O61" s="21">
        <f t="shared" si="12"/>
        <v>1</v>
      </c>
      <c r="P61" s="666"/>
      <c r="Q61" s="21">
        <f t="shared" si="13"/>
        <v>0</v>
      </c>
      <c r="R61" s="662">
        <f t="shared" si="14"/>
        <v>0</v>
      </c>
      <c r="S61" s="316">
        <f t="shared" si="5"/>
        <v>0</v>
      </c>
    </row>
    <row r="62" spans="1:19">
      <c r="A62" s="150"/>
      <c r="B62" s="54"/>
      <c r="C62" s="21">
        <f t="shared" si="6"/>
        <v>1</v>
      </c>
      <c r="D62" s="666"/>
      <c r="E62" s="21">
        <f t="shared" si="7"/>
        <v>0.03</v>
      </c>
      <c r="F62" s="666"/>
      <c r="G62" s="21">
        <f t="shared" si="8"/>
        <v>0.05</v>
      </c>
      <c r="H62" s="666"/>
      <c r="I62" s="21">
        <f t="shared" si="9"/>
        <v>0.01</v>
      </c>
      <c r="J62" s="666"/>
      <c r="K62" s="21">
        <f t="shared" si="10"/>
        <v>0</v>
      </c>
      <c r="L62" s="666"/>
      <c r="M62" s="21">
        <f t="shared" si="11"/>
        <v>1</v>
      </c>
      <c r="N62" s="666"/>
      <c r="O62" s="21">
        <f t="shared" si="12"/>
        <v>1</v>
      </c>
      <c r="P62" s="666"/>
      <c r="Q62" s="21">
        <f t="shared" si="13"/>
        <v>0</v>
      </c>
      <c r="R62" s="662">
        <f t="shared" si="14"/>
        <v>0</v>
      </c>
      <c r="S62" s="316">
        <f t="shared" si="5"/>
        <v>0</v>
      </c>
    </row>
    <row r="63" spans="1:19">
      <c r="A63" s="150"/>
      <c r="B63" s="54"/>
      <c r="C63" s="21">
        <f t="shared" si="6"/>
        <v>1</v>
      </c>
      <c r="D63" s="666"/>
      <c r="E63" s="21">
        <f t="shared" si="7"/>
        <v>0.03</v>
      </c>
      <c r="F63" s="666"/>
      <c r="G63" s="21">
        <f t="shared" si="8"/>
        <v>0.05</v>
      </c>
      <c r="H63" s="666"/>
      <c r="I63" s="21">
        <f t="shared" si="9"/>
        <v>0.01</v>
      </c>
      <c r="J63" s="666"/>
      <c r="K63" s="21">
        <f t="shared" si="10"/>
        <v>0</v>
      </c>
      <c r="L63" s="666"/>
      <c r="M63" s="21">
        <f t="shared" si="11"/>
        <v>1</v>
      </c>
      <c r="N63" s="666"/>
      <c r="O63" s="21">
        <f t="shared" si="12"/>
        <v>1</v>
      </c>
      <c r="P63" s="666"/>
      <c r="Q63" s="21">
        <f t="shared" si="13"/>
        <v>0</v>
      </c>
      <c r="R63" s="662">
        <f t="shared" si="14"/>
        <v>0</v>
      </c>
      <c r="S63" s="316">
        <f t="shared" si="5"/>
        <v>0</v>
      </c>
    </row>
    <row r="64" spans="1:19">
      <c r="A64" s="150"/>
      <c r="B64" s="54"/>
      <c r="C64" s="21">
        <f t="shared" si="6"/>
        <v>1</v>
      </c>
      <c r="D64" s="666"/>
      <c r="E64" s="21">
        <f t="shared" si="7"/>
        <v>0.03</v>
      </c>
      <c r="F64" s="666"/>
      <c r="G64" s="21">
        <f t="shared" si="8"/>
        <v>0.05</v>
      </c>
      <c r="H64" s="666"/>
      <c r="I64" s="21">
        <f t="shared" si="9"/>
        <v>0.01</v>
      </c>
      <c r="J64" s="666"/>
      <c r="K64" s="21">
        <f t="shared" si="10"/>
        <v>0</v>
      </c>
      <c r="L64" s="666"/>
      <c r="M64" s="21">
        <f t="shared" si="11"/>
        <v>1</v>
      </c>
      <c r="N64" s="666"/>
      <c r="O64" s="21">
        <f t="shared" si="12"/>
        <v>1</v>
      </c>
      <c r="P64" s="666"/>
      <c r="Q64" s="21">
        <f t="shared" si="13"/>
        <v>0</v>
      </c>
      <c r="R64" s="662">
        <f t="shared" si="14"/>
        <v>0</v>
      </c>
      <c r="S64" s="316">
        <f t="shared" si="5"/>
        <v>0</v>
      </c>
    </row>
    <row r="65" spans="1:19">
      <c r="A65" s="150"/>
      <c r="B65" s="54"/>
      <c r="C65" s="21">
        <f t="shared" si="6"/>
        <v>1</v>
      </c>
      <c r="D65" s="666"/>
      <c r="E65" s="21">
        <f t="shared" si="7"/>
        <v>0.03</v>
      </c>
      <c r="F65" s="666"/>
      <c r="G65" s="21">
        <f t="shared" si="8"/>
        <v>0.05</v>
      </c>
      <c r="H65" s="666"/>
      <c r="I65" s="21">
        <f t="shared" si="9"/>
        <v>0.01</v>
      </c>
      <c r="J65" s="666"/>
      <c r="K65" s="21">
        <f t="shared" si="10"/>
        <v>0</v>
      </c>
      <c r="L65" s="666"/>
      <c r="M65" s="21">
        <f t="shared" si="11"/>
        <v>1</v>
      </c>
      <c r="N65" s="666"/>
      <c r="O65" s="21">
        <f t="shared" si="12"/>
        <v>1</v>
      </c>
      <c r="P65" s="666"/>
      <c r="Q65" s="21">
        <f t="shared" si="13"/>
        <v>0</v>
      </c>
      <c r="R65" s="662">
        <f t="shared" si="14"/>
        <v>0</v>
      </c>
      <c r="S65" s="316">
        <f t="shared" si="5"/>
        <v>0</v>
      </c>
    </row>
    <row r="66" spans="1:19">
      <c r="A66" s="150"/>
      <c r="B66" s="54"/>
      <c r="C66" s="21">
        <f t="shared" si="6"/>
        <v>1</v>
      </c>
      <c r="D66" s="666"/>
      <c r="E66" s="21">
        <f t="shared" si="7"/>
        <v>0.03</v>
      </c>
      <c r="F66" s="666"/>
      <c r="G66" s="21">
        <f t="shared" si="8"/>
        <v>0.05</v>
      </c>
      <c r="H66" s="666"/>
      <c r="I66" s="21">
        <f t="shared" si="9"/>
        <v>0.01</v>
      </c>
      <c r="J66" s="666"/>
      <c r="K66" s="21">
        <f t="shared" si="10"/>
        <v>0</v>
      </c>
      <c r="L66" s="666"/>
      <c r="M66" s="21">
        <f t="shared" si="11"/>
        <v>1</v>
      </c>
      <c r="N66" s="666"/>
      <c r="O66" s="21">
        <f t="shared" si="12"/>
        <v>1</v>
      </c>
      <c r="P66" s="666"/>
      <c r="Q66" s="21">
        <f t="shared" si="13"/>
        <v>0</v>
      </c>
      <c r="R66" s="662">
        <f t="shared" si="14"/>
        <v>0</v>
      </c>
      <c r="S66" s="316">
        <f t="shared" si="5"/>
        <v>0</v>
      </c>
    </row>
    <row r="67" spans="1:19">
      <c r="A67" s="150"/>
      <c r="B67" s="54"/>
      <c r="C67" s="21">
        <f t="shared" si="6"/>
        <v>1</v>
      </c>
      <c r="D67" s="666"/>
      <c r="E67" s="21">
        <f t="shared" si="7"/>
        <v>0.03</v>
      </c>
      <c r="F67" s="666"/>
      <c r="G67" s="21">
        <f t="shared" si="8"/>
        <v>0.05</v>
      </c>
      <c r="H67" s="666"/>
      <c r="I67" s="21">
        <f t="shared" si="9"/>
        <v>0.01</v>
      </c>
      <c r="J67" s="666"/>
      <c r="K67" s="21">
        <f t="shared" si="10"/>
        <v>0</v>
      </c>
      <c r="L67" s="666"/>
      <c r="M67" s="21">
        <f t="shared" si="11"/>
        <v>1</v>
      </c>
      <c r="N67" s="666"/>
      <c r="O67" s="21">
        <f t="shared" si="12"/>
        <v>1</v>
      </c>
      <c r="P67" s="666"/>
      <c r="Q67" s="21">
        <f t="shared" si="13"/>
        <v>0</v>
      </c>
      <c r="R67" s="662">
        <f t="shared" si="14"/>
        <v>0</v>
      </c>
      <c r="S67" s="316">
        <f t="shared" si="5"/>
        <v>0</v>
      </c>
    </row>
    <row r="68" spans="1:19">
      <c r="A68" s="150"/>
      <c r="B68" s="54"/>
      <c r="C68" s="21">
        <f t="shared" si="6"/>
        <v>1</v>
      </c>
      <c r="D68" s="666"/>
      <c r="E68" s="21">
        <f t="shared" si="7"/>
        <v>0.03</v>
      </c>
      <c r="F68" s="666"/>
      <c r="G68" s="21">
        <f t="shared" si="8"/>
        <v>0.05</v>
      </c>
      <c r="H68" s="666"/>
      <c r="I68" s="21">
        <f t="shared" si="9"/>
        <v>0.01</v>
      </c>
      <c r="J68" s="666"/>
      <c r="K68" s="21">
        <f t="shared" si="10"/>
        <v>0</v>
      </c>
      <c r="L68" s="666"/>
      <c r="M68" s="21">
        <f t="shared" si="11"/>
        <v>1</v>
      </c>
      <c r="N68" s="666"/>
      <c r="O68" s="21">
        <f t="shared" si="12"/>
        <v>1</v>
      </c>
      <c r="P68" s="666"/>
      <c r="Q68" s="21">
        <f t="shared" si="13"/>
        <v>0</v>
      </c>
      <c r="R68" s="662">
        <f t="shared" si="14"/>
        <v>0</v>
      </c>
      <c r="S68" s="316">
        <f t="shared" si="5"/>
        <v>0</v>
      </c>
    </row>
    <row r="69" spans="1:19">
      <c r="A69" s="150"/>
      <c r="B69" s="54"/>
      <c r="C69" s="21">
        <f t="shared" si="6"/>
        <v>1</v>
      </c>
      <c r="D69" s="666"/>
      <c r="E69" s="21">
        <f t="shared" si="7"/>
        <v>0.03</v>
      </c>
      <c r="F69" s="666"/>
      <c r="G69" s="21">
        <f t="shared" si="8"/>
        <v>0.05</v>
      </c>
      <c r="H69" s="666"/>
      <c r="I69" s="21">
        <f t="shared" si="9"/>
        <v>0.01</v>
      </c>
      <c r="J69" s="666"/>
      <c r="K69" s="21">
        <f t="shared" si="10"/>
        <v>0</v>
      </c>
      <c r="L69" s="666"/>
      <c r="M69" s="21">
        <f t="shared" si="11"/>
        <v>1</v>
      </c>
      <c r="N69" s="666"/>
      <c r="O69" s="21">
        <f t="shared" si="12"/>
        <v>1</v>
      </c>
      <c r="P69" s="666"/>
      <c r="Q69" s="21">
        <f t="shared" si="13"/>
        <v>0</v>
      </c>
      <c r="R69" s="662">
        <f t="shared" si="14"/>
        <v>0</v>
      </c>
      <c r="S69" s="316">
        <f t="shared" si="5"/>
        <v>0</v>
      </c>
    </row>
    <row r="70" spans="1:19">
      <c r="A70" s="150"/>
      <c r="B70" s="54"/>
      <c r="C70" s="21">
        <f t="shared" si="6"/>
        <v>1</v>
      </c>
      <c r="D70" s="666"/>
      <c r="E70" s="21">
        <f t="shared" si="7"/>
        <v>0.03</v>
      </c>
      <c r="F70" s="666"/>
      <c r="G70" s="21">
        <f t="shared" si="8"/>
        <v>0.05</v>
      </c>
      <c r="H70" s="666"/>
      <c r="I70" s="21">
        <f t="shared" si="9"/>
        <v>0.01</v>
      </c>
      <c r="J70" s="666"/>
      <c r="K70" s="21">
        <f t="shared" si="10"/>
        <v>0</v>
      </c>
      <c r="L70" s="666"/>
      <c r="M70" s="21">
        <f t="shared" si="11"/>
        <v>1</v>
      </c>
      <c r="N70" s="666"/>
      <c r="O70" s="21">
        <f t="shared" si="12"/>
        <v>1</v>
      </c>
      <c r="P70" s="666"/>
      <c r="Q70" s="21">
        <f t="shared" si="13"/>
        <v>0</v>
      </c>
      <c r="R70" s="662">
        <f t="shared" si="14"/>
        <v>0</v>
      </c>
      <c r="S70" s="316">
        <f t="shared" si="5"/>
        <v>0</v>
      </c>
    </row>
    <row r="71" spans="1:19">
      <c r="A71" s="150"/>
      <c r="B71" s="54"/>
      <c r="C71" s="21">
        <f t="shared" si="6"/>
        <v>1</v>
      </c>
      <c r="D71" s="666"/>
      <c r="E71" s="21">
        <f t="shared" si="7"/>
        <v>0.03</v>
      </c>
      <c r="F71" s="666"/>
      <c r="G71" s="21">
        <f t="shared" si="8"/>
        <v>0.05</v>
      </c>
      <c r="H71" s="666"/>
      <c r="I71" s="21">
        <f t="shared" si="9"/>
        <v>0.01</v>
      </c>
      <c r="J71" s="666"/>
      <c r="K71" s="21">
        <f t="shared" si="10"/>
        <v>0</v>
      </c>
      <c r="L71" s="666"/>
      <c r="M71" s="21">
        <f t="shared" si="11"/>
        <v>1</v>
      </c>
      <c r="N71" s="666"/>
      <c r="O71" s="21">
        <f t="shared" si="12"/>
        <v>1</v>
      </c>
      <c r="P71" s="666"/>
      <c r="Q71" s="21">
        <f t="shared" si="13"/>
        <v>0</v>
      </c>
      <c r="R71" s="662">
        <f t="shared" si="14"/>
        <v>0</v>
      </c>
      <c r="S71" s="316">
        <f t="shared" si="5"/>
        <v>0</v>
      </c>
    </row>
    <row r="72" spans="1:19">
      <c r="A72" s="150"/>
      <c r="B72" s="54"/>
      <c r="C72" s="21">
        <f t="shared" si="6"/>
        <v>1</v>
      </c>
      <c r="D72" s="666"/>
      <c r="E72" s="21">
        <f t="shared" si="7"/>
        <v>0.03</v>
      </c>
      <c r="F72" s="666"/>
      <c r="G72" s="21">
        <f t="shared" si="8"/>
        <v>0.05</v>
      </c>
      <c r="H72" s="666"/>
      <c r="I72" s="21">
        <f t="shared" si="9"/>
        <v>0.01</v>
      </c>
      <c r="J72" s="666"/>
      <c r="K72" s="21">
        <f t="shared" si="10"/>
        <v>0</v>
      </c>
      <c r="L72" s="666"/>
      <c r="M72" s="21">
        <f t="shared" si="11"/>
        <v>1</v>
      </c>
      <c r="N72" s="666"/>
      <c r="O72" s="21">
        <f t="shared" si="12"/>
        <v>1</v>
      </c>
      <c r="P72" s="666"/>
      <c r="Q72" s="21">
        <f t="shared" si="13"/>
        <v>0</v>
      </c>
      <c r="R72" s="662">
        <f t="shared" si="14"/>
        <v>0</v>
      </c>
      <c r="S72" s="316">
        <f t="shared" si="5"/>
        <v>0</v>
      </c>
    </row>
    <row r="73" spans="1:19">
      <c r="A73" s="150"/>
      <c r="B73" s="54"/>
      <c r="C73" s="21">
        <f t="shared" si="6"/>
        <v>1</v>
      </c>
      <c r="D73" s="666"/>
      <c r="E73" s="21">
        <f t="shared" si="7"/>
        <v>0.03</v>
      </c>
      <c r="F73" s="666"/>
      <c r="G73" s="21">
        <f t="shared" si="8"/>
        <v>0.05</v>
      </c>
      <c r="H73" s="666"/>
      <c r="I73" s="21">
        <f t="shared" si="9"/>
        <v>0.01</v>
      </c>
      <c r="J73" s="666"/>
      <c r="K73" s="21">
        <f t="shared" si="10"/>
        <v>0</v>
      </c>
      <c r="L73" s="666"/>
      <c r="M73" s="21">
        <f t="shared" si="11"/>
        <v>1</v>
      </c>
      <c r="N73" s="666"/>
      <c r="O73" s="21">
        <f t="shared" si="12"/>
        <v>1</v>
      </c>
      <c r="P73" s="666"/>
      <c r="Q73" s="21">
        <f t="shared" si="13"/>
        <v>0</v>
      </c>
      <c r="R73" s="662">
        <f t="shared" si="14"/>
        <v>0</v>
      </c>
      <c r="S73" s="316">
        <f t="shared" si="5"/>
        <v>0</v>
      </c>
    </row>
    <row r="74" spans="1:19">
      <c r="A74" s="150"/>
      <c r="B74" s="54"/>
      <c r="C74" s="21">
        <f t="shared" si="6"/>
        <v>1</v>
      </c>
      <c r="D74" s="666"/>
      <c r="E74" s="21">
        <f t="shared" si="7"/>
        <v>0.03</v>
      </c>
      <c r="F74" s="666"/>
      <c r="G74" s="21">
        <f t="shared" si="8"/>
        <v>0.05</v>
      </c>
      <c r="H74" s="666"/>
      <c r="I74" s="21">
        <f t="shared" si="9"/>
        <v>0.01</v>
      </c>
      <c r="J74" s="666"/>
      <c r="K74" s="21">
        <f t="shared" si="10"/>
        <v>0</v>
      </c>
      <c r="L74" s="666"/>
      <c r="M74" s="21">
        <f t="shared" si="11"/>
        <v>1</v>
      </c>
      <c r="N74" s="666"/>
      <c r="O74" s="21">
        <f t="shared" si="12"/>
        <v>1</v>
      </c>
      <c r="P74" s="666"/>
      <c r="Q74" s="21">
        <f t="shared" si="13"/>
        <v>0</v>
      </c>
      <c r="R74" s="662">
        <f t="shared" si="14"/>
        <v>0</v>
      </c>
      <c r="S74" s="316">
        <f t="shared" si="5"/>
        <v>0</v>
      </c>
    </row>
    <row r="75" spans="1:19">
      <c r="A75" s="150"/>
      <c r="B75" s="54"/>
      <c r="C75" s="21">
        <f t="shared" si="6"/>
        <v>1</v>
      </c>
      <c r="D75" s="666"/>
      <c r="E75" s="21">
        <f t="shared" si="7"/>
        <v>0.03</v>
      </c>
      <c r="F75" s="666"/>
      <c r="G75" s="21">
        <f t="shared" si="8"/>
        <v>0.05</v>
      </c>
      <c r="H75" s="666"/>
      <c r="I75" s="21">
        <f t="shared" si="9"/>
        <v>0.01</v>
      </c>
      <c r="J75" s="666"/>
      <c r="K75" s="21">
        <f t="shared" si="10"/>
        <v>0</v>
      </c>
      <c r="L75" s="666"/>
      <c r="M75" s="21">
        <f t="shared" si="11"/>
        <v>1</v>
      </c>
      <c r="N75" s="666"/>
      <c r="O75" s="21">
        <f t="shared" si="12"/>
        <v>1</v>
      </c>
      <c r="P75" s="666"/>
      <c r="Q75" s="21">
        <f t="shared" si="13"/>
        <v>0</v>
      </c>
      <c r="R75" s="662">
        <f t="shared" si="14"/>
        <v>0</v>
      </c>
      <c r="S75" s="316">
        <f t="shared" si="5"/>
        <v>0</v>
      </c>
    </row>
    <row r="76" spans="1:19">
      <c r="A76" s="150"/>
      <c r="B76" s="54"/>
      <c r="C76" s="21">
        <f t="shared" si="6"/>
        <v>1</v>
      </c>
      <c r="D76" s="666"/>
      <c r="E76" s="21">
        <f t="shared" si="7"/>
        <v>0.03</v>
      </c>
      <c r="F76" s="666"/>
      <c r="G76" s="21">
        <f t="shared" si="8"/>
        <v>0.05</v>
      </c>
      <c r="H76" s="666"/>
      <c r="I76" s="21">
        <f t="shared" si="9"/>
        <v>0.01</v>
      </c>
      <c r="J76" s="666"/>
      <c r="K76" s="21">
        <f t="shared" si="10"/>
        <v>0</v>
      </c>
      <c r="L76" s="666"/>
      <c r="M76" s="21">
        <f t="shared" si="11"/>
        <v>1</v>
      </c>
      <c r="N76" s="666"/>
      <c r="O76" s="21">
        <f t="shared" si="12"/>
        <v>1</v>
      </c>
      <c r="P76" s="666"/>
      <c r="Q76" s="21">
        <f t="shared" si="13"/>
        <v>0</v>
      </c>
      <c r="R76" s="662">
        <f t="shared" si="14"/>
        <v>0</v>
      </c>
      <c r="S76" s="316">
        <f t="shared" si="5"/>
        <v>0</v>
      </c>
    </row>
    <row r="77" spans="1:19">
      <c r="A77" s="150"/>
      <c r="B77" s="54"/>
      <c r="C77" s="21">
        <f t="shared" si="6"/>
        <v>1</v>
      </c>
      <c r="D77" s="666"/>
      <c r="E77" s="21">
        <f t="shared" si="7"/>
        <v>0.03</v>
      </c>
      <c r="F77" s="666"/>
      <c r="G77" s="21">
        <f t="shared" si="8"/>
        <v>0.05</v>
      </c>
      <c r="H77" s="666"/>
      <c r="I77" s="21">
        <f t="shared" si="9"/>
        <v>0.01</v>
      </c>
      <c r="J77" s="666"/>
      <c r="K77" s="21">
        <f t="shared" si="10"/>
        <v>0</v>
      </c>
      <c r="L77" s="666"/>
      <c r="M77" s="21">
        <f t="shared" si="11"/>
        <v>1</v>
      </c>
      <c r="N77" s="666"/>
      <c r="O77" s="21">
        <f t="shared" si="12"/>
        <v>1</v>
      </c>
      <c r="P77" s="666"/>
      <c r="Q77" s="21">
        <f t="shared" si="13"/>
        <v>0</v>
      </c>
      <c r="R77" s="662">
        <f t="shared" si="14"/>
        <v>0</v>
      </c>
      <c r="S77" s="316">
        <f t="shared" si="5"/>
        <v>0</v>
      </c>
    </row>
    <row r="78" spans="1:19">
      <c r="A78" s="150"/>
      <c r="B78" s="54"/>
      <c r="C78" s="21">
        <f t="shared" si="6"/>
        <v>1</v>
      </c>
      <c r="D78" s="666"/>
      <c r="E78" s="21">
        <f t="shared" si="7"/>
        <v>0.03</v>
      </c>
      <c r="F78" s="666"/>
      <c r="G78" s="21">
        <f t="shared" si="8"/>
        <v>0.05</v>
      </c>
      <c r="H78" s="666"/>
      <c r="I78" s="21">
        <f t="shared" si="9"/>
        <v>0.01</v>
      </c>
      <c r="J78" s="666"/>
      <c r="K78" s="21">
        <f t="shared" si="10"/>
        <v>0</v>
      </c>
      <c r="L78" s="666"/>
      <c r="M78" s="21">
        <f t="shared" si="11"/>
        <v>1</v>
      </c>
      <c r="N78" s="666"/>
      <c r="O78" s="21">
        <f t="shared" si="12"/>
        <v>1</v>
      </c>
      <c r="P78" s="666"/>
      <c r="Q78" s="21">
        <f t="shared" si="13"/>
        <v>0</v>
      </c>
      <c r="R78" s="662">
        <f t="shared" si="14"/>
        <v>0</v>
      </c>
      <c r="S78" s="316">
        <f t="shared" si="5"/>
        <v>0</v>
      </c>
    </row>
    <row r="79" spans="1:19">
      <c r="A79" s="150"/>
      <c r="B79" s="54"/>
      <c r="C79" s="21">
        <f t="shared" si="6"/>
        <v>1</v>
      </c>
      <c r="D79" s="666"/>
      <c r="E79" s="21">
        <f t="shared" si="7"/>
        <v>0.03</v>
      </c>
      <c r="F79" s="666"/>
      <c r="G79" s="21">
        <f t="shared" si="8"/>
        <v>0.05</v>
      </c>
      <c r="H79" s="666"/>
      <c r="I79" s="21">
        <f t="shared" si="9"/>
        <v>0.01</v>
      </c>
      <c r="J79" s="666"/>
      <c r="K79" s="21">
        <f t="shared" si="10"/>
        <v>0</v>
      </c>
      <c r="L79" s="666"/>
      <c r="M79" s="21">
        <f t="shared" si="11"/>
        <v>1</v>
      </c>
      <c r="N79" s="666"/>
      <c r="O79" s="21">
        <f t="shared" si="12"/>
        <v>1</v>
      </c>
      <c r="P79" s="666"/>
      <c r="Q79" s="21">
        <f t="shared" si="13"/>
        <v>0</v>
      </c>
      <c r="R79" s="662">
        <f t="shared" si="14"/>
        <v>0</v>
      </c>
      <c r="S79" s="316">
        <f t="shared" si="5"/>
        <v>0</v>
      </c>
    </row>
    <row r="80" spans="1:19">
      <c r="A80" s="150"/>
      <c r="B80" s="54"/>
      <c r="C80" s="21">
        <f t="shared" si="6"/>
        <v>1</v>
      </c>
      <c r="D80" s="666"/>
      <c r="E80" s="21">
        <f t="shared" si="7"/>
        <v>0.03</v>
      </c>
      <c r="F80" s="666"/>
      <c r="G80" s="21">
        <f t="shared" si="8"/>
        <v>0.05</v>
      </c>
      <c r="H80" s="666"/>
      <c r="I80" s="21">
        <f t="shared" si="9"/>
        <v>0.01</v>
      </c>
      <c r="J80" s="666"/>
      <c r="K80" s="21">
        <f t="shared" si="10"/>
        <v>0</v>
      </c>
      <c r="L80" s="666"/>
      <c r="M80" s="21">
        <f t="shared" si="11"/>
        <v>1</v>
      </c>
      <c r="N80" s="666"/>
      <c r="O80" s="21">
        <f t="shared" si="12"/>
        <v>1</v>
      </c>
      <c r="P80" s="666"/>
      <c r="Q80" s="21">
        <f t="shared" si="13"/>
        <v>0</v>
      </c>
      <c r="R80" s="662">
        <f t="shared" si="14"/>
        <v>0</v>
      </c>
      <c r="S80" s="316">
        <f t="shared" si="5"/>
        <v>0</v>
      </c>
    </row>
    <row r="81" spans="1:19">
      <c r="A81" s="150"/>
      <c r="B81" s="54"/>
      <c r="C81" s="21">
        <f t="shared" si="6"/>
        <v>1</v>
      </c>
      <c r="D81" s="666"/>
      <c r="E81" s="21">
        <f t="shared" si="7"/>
        <v>0.03</v>
      </c>
      <c r="F81" s="666"/>
      <c r="G81" s="21">
        <f t="shared" si="8"/>
        <v>0.05</v>
      </c>
      <c r="H81" s="666"/>
      <c r="I81" s="21">
        <f t="shared" si="9"/>
        <v>0.01</v>
      </c>
      <c r="J81" s="666"/>
      <c r="K81" s="21">
        <f t="shared" si="10"/>
        <v>0</v>
      </c>
      <c r="L81" s="666"/>
      <c r="M81" s="21">
        <f t="shared" si="11"/>
        <v>1</v>
      </c>
      <c r="N81" s="666"/>
      <c r="O81" s="21">
        <f t="shared" si="12"/>
        <v>1</v>
      </c>
      <c r="P81" s="666"/>
      <c r="Q81" s="21">
        <f t="shared" si="13"/>
        <v>0</v>
      </c>
      <c r="R81" s="662">
        <f t="shared" si="14"/>
        <v>0</v>
      </c>
      <c r="S81" s="316">
        <f t="shared" si="5"/>
        <v>0</v>
      </c>
    </row>
    <row r="82" spans="1:19">
      <c r="A82" s="150"/>
      <c r="B82" s="54"/>
      <c r="C82" s="21">
        <f t="shared" si="6"/>
        <v>1</v>
      </c>
      <c r="D82" s="666"/>
      <c r="E82" s="21">
        <f t="shared" si="7"/>
        <v>0.03</v>
      </c>
      <c r="F82" s="666"/>
      <c r="G82" s="21">
        <f t="shared" si="8"/>
        <v>0.05</v>
      </c>
      <c r="H82" s="666"/>
      <c r="I82" s="21">
        <f t="shared" si="9"/>
        <v>0.01</v>
      </c>
      <c r="J82" s="666"/>
      <c r="K82" s="21">
        <f t="shared" si="10"/>
        <v>0</v>
      </c>
      <c r="L82" s="666"/>
      <c r="M82" s="21">
        <f t="shared" si="11"/>
        <v>1</v>
      </c>
      <c r="N82" s="666"/>
      <c r="O82" s="21">
        <f t="shared" si="12"/>
        <v>1</v>
      </c>
      <c r="P82" s="666"/>
      <c r="Q82" s="21">
        <f t="shared" si="13"/>
        <v>0</v>
      </c>
      <c r="R82" s="662">
        <f t="shared" si="14"/>
        <v>0</v>
      </c>
      <c r="S82" s="316">
        <f t="shared" si="5"/>
        <v>0</v>
      </c>
    </row>
    <row r="83" spans="1:19">
      <c r="A83" s="150"/>
      <c r="B83" s="54"/>
      <c r="C83" s="21">
        <f t="shared" si="6"/>
        <v>1</v>
      </c>
      <c r="D83" s="666"/>
      <c r="E83" s="21">
        <f t="shared" si="7"/>
        <v>0.03</v>
      </c>
      <c r="F83" s="666"/>
      <c r="G83" s="21">
        <f t="shared" si="8"/>
        <v>0.05</v>
      </c>
      <c r="H83" s="666"/>
      <c r="I83" s="21">
        <f t="shared" si="9"/>
        <v>0.01</v>
      </c>
      <c r="J83" s="666"/>
      <c r="K83" s="21">
        <f t="shared" si="10"/>
        <v>0</v>
      </c>
      <c r="L83" s="666"/>
      <c r="M83" s="21">
        <f t="shared" si="11"/>
        <v>1</v>
      </c>
      <c r="N83" s="666"/>
      <c r="O83" s="21">
        <f t="shared" si="12"/>
        <v>1</v>
      </c>
      <c r="P83" s="666"/>
      <c r="Q83" s="21">
        <f t="shared" si="13"/>
        <v>0</v>
      </c>
      <c r="R83" s="662">
        <f t="shared" si="14"/>
        <v>0</v>
      </c>
      <c r="S83" s="316">
        <f t="shared" si="5"/>
        <v>0</v>
      </c>
    </row>
    <row r="84" spans="1:19">
      <c r="A84" s="150"/>
      <c r="B84" s="54"/>
      <c r="C84" s="21">
        <f t="shared" si="6"/>
        <v>1</v>
      </c>
      <c r="D84" s="666"/>
      <c r="E84" s="21">
        <f t="shared" si="7"/>
        <v>0.03</v>
      </c>
      <c r="F84" s="666"/>
      <c r="G84" s="21">
        <f t="shared" si="8"/>
        <v>0.05</v>
      </c>
      <c r="H84" s="666"/>
      <c r="I84" s="21">
        <f t="shared" si="9"/>
        <v>0.01</v>
      </c>
      <c r="J84" s="666"/>
      <c r="K84" s="21">
        <f t="shared" si="10"/>
        <v>0</v>
      </c>
      <c r="L84" s="666"/>
      <c r="M84" s="21">
        <f t="shared" si="11"/>
        <v>1</v>
      </c>
      <c r="N84" s="666"/>
      <c r="O84" s="21">
        <f t="shared" si="12"/>
        <v>1</v>
      </c>
      <c r="P84" s="666"/>
      <c r="Q84" s="21">
        <f t="shared" si="13"/>
        <v>0</v>
      </c>
      <c r="R84" s="662">
        <f t="shared" si="14"/>
        <v>0</v>
      </c>
      <c r="S84" s="316">
        <f t="shared" si="5"/>
        <v>0</v>
      </c>
    </row>
    <row r="85" spans="1:19">
      <c r="A85" s="150"/>
      <c r="B85" s="54"/>
      <c r="C85" s="21">
        <f t="shared" si="6"/>
        <v>1</v>
      </c>
      <c r="D85" s="666"/>
      <c r="E85" s="21">
        <f t="shared" si="7"/>
        <v>0.03</v>
      </c>
      <c r="F85" s="666"/>
      <c r="G85" s="21">
        <f t="shared" si="8"/>
        <v>0.05</v>
      </c>
      <c r="H85" s="666"/>
      <c r="I85" s="21">
        <f t="shared" si="9"/>
        <v>0.01</v>
      </c>
      <c r="J85" s="666"/>
      <c r="K85" s="21">
        <f t="shared" si="10"/>
        <v>0</v>
      </c>
      <c r="L85" s="666"/>
      <c r="M85" s="21">
        <f t="shared" si="11"/>
        <v>1</v>
      </c>
      <c r="N85" s="666"/>
      <c r="O85" s="21">
        <f t="shared" si="12"/>
        <v>1</v>
      </c>
      <c r="P85" s="666"/>
      <c r="Q85" s="21">
        <f t="shared" si="13"/>
        <v>0</v>
      </c>
      <c r="R85" s="662">
        <f t="shared" si="14"/>
        <v>0</v>
      </c>
      <c r="S85" s="316">
        <f t="shared" si="5"/>
        <v>0</v>
      </c>
    </row>
    <row r="86" spans="1:19">
      <c r="A86" s="150"/>
      <c r="B86" s="54"/>
      <c r="C86" s="21">
        <f t="shared" si="6"/>
        <v>1</v>
      </c>
      <c r="D86" s="666"/>
      <c r="E86" s="21">
        <f t="shared" si="7"/>
        <v>0.03</v>
      </c>
      <c r="F86" s="666"/>
      <c r="G86" s="21">
        <f t="shared" si="8"/>
        <v>0.05</v>
      </c>
      <c r="H86" s="666"/>
      <c r="I86" s="21">
        <f t="shared" si="9"/>
        <v>0.01</v>
      </c>
      <c r="J86" s="666"/>
      <c r="K86" s="21">
        <f t="shared" si="10"/>
        <v>0</v>
      </c>
      <c r="L86" s="666"/>
      <c r="M86" s="21">
        <f t="shared" si="11"/>
        <v>1</v>
      </c>
      <c r="N86" s="666"/>
      <c r="O86" s="21">
        <f t="shared" si="12"/>
        <v>1</v>
      </c>
      <c r="P86" s="666"/>
      <c r="Q86" s="21">
        <f t="shared" si="13"/>
        <v>0</v>
      </c>
      <c r="R86" s="662">
        <f t="shared" si="14"/>
        <v>0</v>
      </c>
      <c r="S86" s="316">
        <f t="shared" si="5"/>
        <v>0</v>
      </c>
    </row>
    <row r="87" spans="1:19">
      <c r="A87" s="150"/>
      <c r="B87" s="54"/>
      <c r="C87" s="21">
        <f t="shared" si="6"/>
        <v>1</v>
      </c>
      <c r="D87" s="666"/>
      <c r="E87" s="21">
        <f t="shared" si="7"/>
        <v>0.03</v>
      </c>
      <c r="F87" s="666"/>
      <c r="G87" s="21">
        <f t="shared" si="8"/>
        <v>0.05</v>
      </c>
      <c r="H87" s="666"/>
      <c r="I87" s="21">
        <f t="shared" si="9"/>
        <v>0.01</v>
      </c>
      <c r="J87" s="666"/>
      <c r="K87" s="21">
        <f t="shared" si="10"/>
        <v>0</v>
      </c>
      <c r="L87" s="666"/>
      <c r="M87" s="21">
        <f t="shared" si="11"/>
        <v>1</v>
      </c>
      <c r="N87" s="666"/>
      <c r="O87" s="21">
        <f t="shared" si="12"/>
        <v>1</v>
      </c>
      <c r="P87" s="666"/>
      <c r="Q87" s="21">
        <f t="shared" si="13"/>
        <v>0</v>
      </c>
      <c r="R87" s="662">
        <f t="shared" si="14"/>
        <v>0</v>
      </c>
      <c r="S87" s="316">
        <f t="shared" si="5"/>
        <v>0</v>
      </c>
    </row>
    <row r="88" spans="1:19">
      <c r="A88" s="150"/>
      <c r="B88" s="54"/>
      <c r="C88" s="21">
        <f t="shared" si="6"/>
        <v>1</v>
      </c>
      <c r="D88" s="666"/>
      <c r="E88" s="21">
        <f t="shared" si="7"/>
        <v>0.03</v>
      </c>
      <c r="F88" s="666"/>
      <c r="G88" s="21">
        <f t="shared" si="8"/>
        <v>0.05</v>
      </c>
      <c r="H88" s="666"/>
      <c r="I88" s="21">
        <f t="shared" si="9"/>
        <v>0.01</v>
      </c>
      <c r="J88" s="666"/>
      <c r="K88" s="21">
        <f t="shared" si="10"/>
        <v>0</v>
      </c>
      <c r="L88" s="666"/>
      <c r="M88" s="21">
        <f t="shared" si="11"/>
        <v>1</v>
      </c>
      <c r="N88" s="666"/>
      <c r="O88" s="21">
        <f t="shared" si="12"/>
        <v>1</v>
      </c>
      <c r="P88" s="666"/>
      <c r="Q88" s="21">
        <f t="shared" si="13"/>
        <v>0</v>
      </c>
      <c r="R88" s="662">
        <f t="shared" si="14"/>
        <v>0</v>
      </c>
      <c r="S88" s="316">
        <f t="shared" ref="S88:S151" si="15">ROUND(R88*B88/10000,0)</f>
        <v>0</v>
      </c>
    </row>
    <row r="89" spans="1:19">
      <c r="A89" s="150"/>
      <c r="B89" s="54"/>
      <c r="C89" s="21">
        <f t="shared" si="6"/>
        <v>1</v>
      </c>
      <c r="D89" s="666"/>
      <c r="E89" s="21">
        <f t="shared" si="7"/>
        <v>0.03</v>
      </c>
      <c r="F89" s="666"/>
      <c r="G89" s="21">
        <f t="shared" si="8"/>
        <v>0.05</v>
      </c>
      <c r="H89" s="666"/>
      <c r="I89" s="21">
        <f t="shared" si="9"/>
        <v>0.01</v>
      </c>
      <c r="J89" s="666"/>
      <c r="K89" s="21">
        <f t="shared" si="10"/>
        <v>0</v>
      </c>
      <c r="L89" s="666"/>
      <c r="M89" s="21">
        <f t="shared" si="11"/>
        <v>1</v>
      </c>
      <c r="N89" s="666"/>
      <c r="O89" s="21">
        <f t="shared" si="12"/>
        <v>1</v>
      </c>
      <c r="P89" s="666"/>
      <c r="Q89" s="21">
        <f t="shared" si="13"/>
        <v>0</v>
      </c>
      <c r="R89" s="662">
        <f t="shared" si="14"/>
        <v>0</v>
      </c>
      <c r="S89" s="316">
        <f t="shared" si="15"/>
        <v>0</v>
      </c>
    </row>
    <row r="90" spans="1:19">
      <c r="A90" s="150"/>
      <c r="B90" s="54"/>
      <c r="C90" s="21">
        <f t="shared" ref="C90:C153" si="16">IF(B90="",1,(LOOKUP(B90,$3:$3,$4:$4)-LOOKUP($B$24,$3:$3,$4:$4)+100)/100)</f>
        <v>1</v>
      </c>
      <c r="D90" s="666"/>
      <c r="E90" s="21">
        <f t="shared" ref="E90:E153" si="17">(SUMIF($5:$5,D90,$6:$6)-SUMIF($5:$5,$D$24,$6:$6)+100)/100</f>
        <v>0.03</v>
      </c>
      <c r="F90" s="666"/>
      <c r="G90" s="21">
        <f t="shared" ref="G90:G153" si="18">(SUMIF($7:$7,F90,$8:$8)-SUMIF($7:$7,$F$24,$8:$8)+100)/100</f>
        <v>0.05</v>
      </c>
      <c r="H90" s="666"/>
      <c r="I90" s="21">
        <f t="shared" ref="I90:I153" si="19">(SUMIF($9:$9,H90,$10:$10)-SUMIF($9:$9,$H$24,$10:$10)+100)/100</f>
        <v>0.01</v>
      </c>
      <c r="J90" s="666"/>
      <c r="K90" s="21">
        <f t="shared" ref="K90:K153" si="20">(SUMIF($11:$11,J90,$12:$12)-SUMIF($11:$11,$J$24,$12:$12)+100)/100</f>
        <v>0</v>
      </c>
      <c r="L90" s="666"/>
      <c r="M90" s="21">
        <f t="shared" ref="M90:M153" si="21">(SUMIF($13:$13,L90,$14:$14)-SUMIF($13:$13,$L$24,$14:$14)+100)/100</f>
        <v>1</v>
      </c>
      <c r="N90" s="666"/>
      <c r="O90" s="21">
        <f t="shared" ref="O90:O153" si="22">(SUMIF($15:$15,N90,$16:$16)-SUMIF($15:$15,$N$24,$16:$16)+100)/100</f>
        <v>1</v>
      </c>
      <c r="P90" s="666"/>
      <c r="Q90" s="21">
        <f t="shared" ref="Q90:Q153" si="23">(SUMIF($17:$17,P90,$18:$18)-SUMIF($17:$17,$P$24,$18:$18)+100)/100</f>
        <v>0</v>
      </c>
      <c r="R90" s="662">
        <f t="shared" ref="R90:R153" si="24">IF(B90="",0,ROUND($R$24*C90*E90*G90*I90*K90*M90*O90*Q90,0))</f>
        <v>0</v>
      </c>
      <c r="S90" s="316">
        <f t="shared" si="15"/>
        <v>0</v>
      </c>
    </row>
    <row r="91" spans="1:19">
      <c r="A91" s="150"/>
      <c r="B91" s="54"/>
      <c r="C91" s="21">
        <f t="shared" si="16"/>
        <v>1</v>
      </c>
      <c r="D91" s="666"/>
      <c r="E91" s="21">
        <f t="shared" si="17"/>
        <v>0.03</v>
      </c>
      <c r="F91" s="666"/>
      <c r="G91" s="21">
        <f t="shared" si="18"/>
        <v>0.05</v>
      </c>
      <c r="H91" s="666"/>
      <c r="I91" s="21">
        <f t="shared" si="19"/>
        <v>0.01</v>
      </c>
      <c r="J91" s="666"/>
      <c r="K91" s="21">
        <f t="shared" si="20"/>
        <v>0</v>
      </c>
      <c r="L91" s="666"/>
      <c r="M91" s="21">
        <f t="shared" si="21"/>
        <v>1</v>
      </c>
      <c r="N91" s="666"/>
      <c r="O91" s="21">
        <f t="shared" si="22"/>
        <v>1</v>
      </c>
      <c r="P91" s="666"/>
      <c r="Q91" s="21">
        <f t="shared" si="23"/>
        <v>0</v>
      </c>
      <c r="R91" s="662">
        <f t="shared" si="24"/>
        <v>0</v>
      </c>
      <c r="S91" s="316">
        <f t="shared" si="15"/>
        <v>0</v>
      </c>
    </row>
    <row r="92" spans="1:19">
      <c r="A92" s="150"/>
      <c r="B92" s="54"/>
      <c r="C92" s="21">
        <f t="shared" si="16"/>
        <v>1</v>
      </c>
      <c r="D92" s="666"/>
      <c r="E92" s="21">
        <f t="shared" si="17"/>
        <v>0.03</v>
      </c>
      <c r="F92" s="666"/>
      <c r="G92" s="21">
        <f t="shared" si="18"/>
        <v>0.05</v>
      </c>
      <c r="H92" s="666"/>
      <c r="I92" s="21">
        <f t="shared" si="19"/>
        <v>0.01</v>
      </c>
      <c r="J92" s="666"/>
      <c r="K92" s="21">
        <f t="shared" si="20"/>
        <v>0</v>
      </c>
      <c r="L92" s="666"/>
      <c r="M92" s="21">
        <f t="shared" si="21"/>
        <v>1</v>
      </c>
      <c r="N92" s="666"/>
      <c r="O92" s="21">
        <f t="shared" si="22"/>
        <v>1</v>
      </c>
      <c r="P92" s="666"/>
      <c r="Q92" s="21">
        <f t="shared" si="23"/>
        <v>0</v>
      </c>
      <c r="R92" s="662">
        <f t="shared" si="24"/>
        <v>0</v>
      </c>
      <c r="S92" s="316">
        <f t="shared" si="15"/>
        <v>0</v>
      </c>
    </row>
    <row r="93" spans="1:19">
      <c r="A93" s="150"/>
      <c r="B93" s="54"/>
      <c r="C93" s="21">
        <f t="shared" si="16"/>
        <v>1</v>
      </c>
      <c r="D93" s="666"/>
      <c r="E93" s="21">
        <f t="shared" si="17"/>
        <v>0.03</v>
      </c>
      <c r="F93" s="666"/>
      <c r="G93" s="21">
        <f t="shared" si="18"/>
        <v>0.05</v>
      </c>
      <c r="H93" s="666"/>
      <c r="I93" s="21">
        <f t="shared" si="19"/>
        <v>0.01</v>
      </c>
      <c r="J93" s="666"/>
      <c r="K93" s="21">
        <f t="shared" si="20"/>
        <v>0</v>
      </c>
      <c r="L93" s="666"/>
      <c r="M93" s="21">
        <f t="shared" si="21"/>
        <v>1</v>
      </c>
      <c r="N93" s="666"/>
      <c r="O93" s="21">
        <f t="shared" si="22"/>
        <v>1</v>
      </c>
      <c r="P93" s="666"/>
      <c r="Q93" s="21">
        <f t="shared" si="23"/>
        <v>0</v>
      </c>
      <c r="R93" s="662">
        <f t="shared" si="24"/>
        <v>0</v>
      </c>
      <c r="S93" s="316">
        <f t="shared" si="15"/>
        <v>0</v>
      </c>
    </row>
    <row r="94" spans="1:19">
      <c r="A94" s="150"/>
      <c r="B94" s="54"/>
      <c r="C94" s="21">
        <f t="shared" si="16"/>
        <v>1</v>
      </c>
      <c r="D94" s="666"/>
      <c r="E94" s="21">
        <f t="shared" si="17"/>
        <v>0.03</v>
      </c>
      <c r="F94" s="666"/>
      <c r="G94" s="21">
        <f t="shared" si="18"/>
        <v>0.05</v>
      </c>
      <c r="H94" s="666"/>
      <c r="I94" s="21">
        <f t="shared" si="19"/>
        <v>0.01</v>
      </c>
      <c r="J94" s="666"/>
      <c r="K94" s="21">
        <f t="shared" si="20"/>
        <v>0</v>
      </c>
      <c r="L94" s="666"/>
      <c r="M94" s="21">
        <f t="shared" si="21"/>
        <v>1</v>
      </c>
      <c r="N94" s="666"/>
      <c r="O94" s="21">
        <f t="shared" si="22"/>
        <v>1</v>
      </c>
      <c r="P94" s="666"/>
      <c r="Q94" s="21">
        <f t="shared" si="23"/>
        <v>0</v>
      </c>
      <c r="R94" s="662">
        <f t="shared" si="24"/>
        <v>0</v>
      </c>
      <c r="S94" s="316">
        <f t="shared" si="15"/>
        <v>0</v>
      </c>
    </row>
    <row r="95" spans="1:19">
      <c r="A95" s="150"/>
      <c r="B95" s="54"/>
      <c r="C95" s="21">
        <f t="shared" si="16"/>
        <v>1</v>
      </c>
      <c r="D95" s="666"/>
      <c r="E95" s="21">
        <f t="shared" si="17"/>
        <v>0.03</v>
      </c>
      <c r="F95" s="666"/>
      <c r="G95" s="21">
        <f t="shared" si="18"/>
        <v>0.05</v>
      </c>
      <c r="H95" s="666"/>
      <c r="I95" s="21">
        <f t="shared" si="19"/>
        <v>0.01</v>
      </c>
      <c r="J95" s="666"/>
      <c r="K95" s="21">
        <f t="shared" si="20"/>
        <v>0</v>
      </c>
      <c r="L95" s="666"/>
      <c r="M95" s="21">
        <f t="shared" si="21"/>
        <v>1</v>
      </c>
      <c r="N95" s="666"/>
      <c r="O95" s="21">
        <f t="shared" si="22"/>
        <v>1</v>
      </c>
      <c r="P95" s="666"/>
      <c r="Q95" s="21">
        <f t="shared" si="23"/>
        <v>0</v>
      </c>
      <c r="R95" s="662">
        <f t="shared" si="24"/>
        <v>0</v>
      </c>
      <c r="S95" s="316">
        <f t="shared" si="15"/>
        <v>0</v>
      </c>
    </row>
    <row r="96" spans="1:19">
      <c r="A96" s="150"/>
      <c r="B96" s="54"/>
      <c r="C96" s="21">
        <f t="shared" si="16"/>
        <v>1</v>
      </c>
      <c r="D96" s="666"/>
      <c r="E96" s="21">
        <f t="shared" si="17"/>
        <v>0.03</v>
      </c>
      <c r="F96" s="666"/>
      <c r="G96" s="21">
        <f t="shared" si="18"/>
        <v>0.05</v>
      </c>
      <c r="H96" s="666"/>
      <c r="I96" s="21">
        <f t="shared" si="19"/>
        <v>0.01</v>
      </c>
      <c r="J96" s="666"/>
      <c r="K96" s="21">
        <f t="shared" si="20"/>
        <v>0</v>
      </c>
      <c r="L96" s="666"/>
      <c r="M96" s="21">
        <f t="shared" si="21"/>
        <v>1</v>
      </c>
      <c r="N96" s="666"/>
      <c r="O96" s="21">
        <f t="shared" si="22"/>
        <v>1</v>
      </c>
      <c r="P96" s="666"/>
      <c r="Q96" s="21">
        <f t="shared" si="23"/>
        <v>0</v>
      </c>
      <c r="R96" s="662">
        <f t="shared" si="24"/>
        <v>0</v>
      </c>
      <c r="S96" s="316">
        <f t="shared" si="15"/>
        <v>0</v>
      </c>
    </row>
    <row r="97" spans="1:19">
      <c r="A97" s="150"/>
      <c r="B97" s="54"/>
      <c r="C97" s="21">
        <f t="shared" si="16"/>
        <v>1</v>
      </c>
      <c r="D97" s="666"/>
      <c r="E97" s="21">
        <f t="shared" si="17"/>
        <v>0.03</v>
      </c>
      <c r="F97" s="666"/>
      <c r="G97" s="21">
        <f t="shared" si="18"/>
        <v>0.05</v>
      </c>
      <c r="H97" s="666"/>
      <c r="I97" s="21">
        <f t="shared" si="19"/>
        <v>0.01</v>
      </c>
      <c r="J97" s="666"/>
      <c r="K97" s="21">
        <f t="shared" si="20"/>
        <v>0</v>
      </c>
      <c r="L97" s="666"/>
      <c r="M97" s="21">
        <f t="shared" si="21"/>
        <v>1</v>
      </c>
      <c r="N97" s="666"/>
      <c r="O97" s="21">
        <f t="shared" si="22"/>
        <v>1</v>
      </c>
      <c r="P97" s="666"/>
      <c r="Q97" s="21">
        <f t="shared" si="23"/>
        <v>0</v>
      </c>
      <c r="R97" s="662">
        <f t="shared" si="24"/>
        <v>0</v>
      </c>
      <c r="S97" s="316">
        <f t="shared" si="15"/>
        <v>0</v>
      </c>
    </row>
    <row r="98" spans="1:19">
      <c r="A98" s="150"/>
      <c r="B98" s="54"/>
      <c r="C98" s="21">
        <f t="shared" si="16"/>
        <v>1</v>
      </c>
      <c r="D98" s="666"/>
      <c r="E98" s="21">
        <f t="shared" si="17"/>
        <v>0.03</v>
      </c>
      <c r="F98" s="666"/>
      <c r="G98" s="21">
        <f t="shared" si="18"/>
        <v>0.05</v>
      </c>
      <c r="H98" s="666"/>
      <c r="I98" s="21">
        <f t="shared" si="19"/>
        <v>0.01</v>
      </c>
      <c r="J98" s="666"/>
      <c r="K98" s="21">
        <f t="shared" si="20"/>
        <v>0</v>
      </c>
      <c r="L98" s="666"/>
      <c r="M98" s="21">
        <f t="shared" si="21"/>
        <v>1</v>
      </c>
      <c r="N98" s="666"/>
      <c r="O98" s="21">
        <f t="shared" si="22"/>
        <v>1</v>
      </c>
      <c r="P98" s="666"/>
      <c r="Q98" s="21">
        <f t="shared" si="23"/>
        <v>0</v>
      </c>
      <c r="R98" s="662">
        <f t="shared" si="24"/>
        <v>0</v>
      </c>
      <c r="S98" s="316">
        <f t="shared" si="15"/>
        <v>0</v>
      </c>
    </row>
    <row r="99" spans="1:19">
      <c r="A99" s="150"/>
      <c r="B99" s="54"/>
      <c r="C99" s="21">
        <f t="shared" si="16"/>
        <v>1</v>
      </c>
      <c r="D99" s="666"/>
      <c r="E99" s="21">
        <f t="shared" si="17"/>
        <v>0.03</v>
      </c>
      <c r="F99" s="666"/>
      <c r="G99" s="21">
        <f t="shared" si="18"/>
        <v>0.05</v>
      </c>
      <c r="H99" s="666"/>
      <c r="I99" s="21">
        <f t="shared" si="19"/>
        <v>0.01</v>
      </c>
      <c r="J99" s="666"/>
      <c r="K99" s="21">
        <f t="shared" si="20"/>
        <v>0</v>
      </c>
      <c r="L99" s="666"/>
      <c r="M99" s="21">
        <f t="shared" si="21"/>
        <v>1</v>
      </c>
      <c r="N99" s="666"/>
      <c r="O99" s="21">
        <f t="shared" si="22"/>
        <v>1</v>
      </c>
      <c r="P99" s="666"/>
      <c r="Q99" s="21">
        <f t="shared" si="23"/>
        <v>0</v>
      </c>
      <c r="R99" s="662">
        <f t="shared" si="24"/>
        <v>0</v>
      </c>
      <c r="S99" s="316">
        <f t="shared" si="15"/>
        <v>0</v>
      </c>
    </row>
    <row r="100" spans="1:19">
      <c r="A100" s="150"/>
      <c r="B100" s="54"/>
      <c r="C100" s="21">
        <f t="shared" si="16"/>
        <v>1</v>
      </c>
      <c r="D100" s="666"/>
      <c r="E100" s="21">
        <f t="shared" si="17"/>
        <v>0.03</v>
      </c>
      <c r="F100" s="666"/>
      <c r="G100" s="21">
        <f t="shared" si="18"/>
        <v>0.05</v>
      </c>
      <c r="H100" s="666"/>
      <c r="I100" s="21">
        <f t="shared" si="19"/>
        <v>0.01</v>
      </c>
      <c r="J100" s="666"/>
      <c r="K100" s="21">
        <f t="shared" si="20"/>
        <v>0</v>
      </c>
      <c r="L100" s="666"/>
      <c r="M100" s="21">
        <f t="shared" si="21"/>
        <v>1</v>
      </c>
      <c r="N100" s="666"/>
      <c r="O100" s="21">
        <f t="shared" si="22"/>
        <v>1</v>
      </c>
      <c r="P100" s="666"/>
      <c r="Q100" s="21">
        <f t="shared" si="23"/>
        <v>0</v>
      </c>
      <c r="R100" s="662">
        <f t="shared" si="24"/>
        <v>0</v>
      </c>
      <c r="S100" s="316">
        <f t="shared" si="15"/>
        <v>0</v>
      </c>
    </row>
    <row r="101" spans="1:19">
      <c r="A101" s="150"/>
      <c r="B101" s="54"/>
      <c r="C101" s="21">
        <f t="shared" si="16"/>
        <v>1</v>
      </c>
      <c r="D101" s="666"/>
      <c r="E101" s="21">
        <f t="shared" si="17"/>
        <v>0.03</v>
      </c>
      <c r="F101" s="666"/>
      <c r="G101" s="21">
        <f t="shared" si="18"/>
        <v>0.05</v>
      </c>
      <c r="H101" s="666"/>
      <c r="I101" s="21">
        <f t="shared" si="19"/>
        <v>0.01</v>
      </c>
      <c r="J101" s="666"/>
      <c r="K101" s="21">
        <f t="shared" si="20"/>
        <v>0</v>
      </c>
      <c r="L101" s="666"/>
      <c r="M101" s="21">
        <f t="shared" si="21"/>
        <v>1</v>
      </c>
      <c r="N101" s="666"/>
      <c r="O101" s="21">
        <f t="shared" si="22"/>
        <v>1</v>
      </c>
      <c r="P101" s="666"/>
      <c r="Q101" s="21">
        <f t="shared" si="23"/>
        <v>0</v>
      </c>
      <c r="R101" s="662">
        <f t="shared" si="24"/>
        <v>0</v>
      </c>
      <c r="S101" s="316">
        <f t="shared" si="15"/>
        <v>0</v>
      </c>
    </row>
    <row r="102" spans="1:19">
      <c r="A102" s="150"/>
      <c r="B102" s="54"/>
      <c r="C102" s="21">
        <f t="shared" si="16"/>
        <v>1</v>
      </c>
      <c r="D102" s="666"/>
      <c r="E102" s="21">
        <f t="shared" si="17"/>
        <v>0.03</v>
      </c>
      <c r="F102" s="666"/>
      <c r="G102" s="21">
        <f t="shared" si="18"/>
        <v>0.05</v>
      </c>
      <c r="H102" s="666"/>
      <c r="I102" s="21">
        <f t="shared" si="19"/>
        <v>0.01</v>
      </c>
      <c r="J102" s="666"/>
      <c r="K102" s="21">
        <f t="shared" si="20"/>
        <v>0</v>
      </c>
      <c r="L102" s="666"/>
      <c r="M102" s="21">
        <f t="shared" si="21"/>
        <v>1</v>
      </c>
      <c r="N102" s="666"/>
      <c r="O102" s="21">
        <f t="shared" si="22"/>
        <v>1</v>
      </c>
      <c r="P102" s="666"/>
      <c r="Q102" s="21">
        <f t="shared" si="23"/>
        <v>0</v>
      </c>
      <c r="R102" s="662">
        <f t="shared" si="24"/>
        <v>0</v>
      </c>
      <c r="S102" s="316">
        <f t="shared" si="15"/>
        <v>0</v>
      </c>
    </row>
    <row r="103" spans="1:19">
      <c r="A103" s="150"/>
      <c r="B103" s="54"/>
      <c r="C103" s="21">
        <f t="shared" si="16"/>
        <v>1</v>
      </c>
      <c r="D103" s="666"/>
      <c r="E103" s="21">
        <f t="shared" si="17"/>
        <v>0.03</v>
      </c>
      <c r="F103" s="666"/>
      <c r="G103" s="21">
        <f t="shared" si="18"/>
        <v>0.05</v>
      </c>
      <c r="H103" s="666"/>
      <c r="I103" s="21">
        <f t="shared" si="19"/>
        <v>0.01</v>
      </c>
      <c r="J103" s="666"/>
      <c r="K103" s="21">
        <f t="shared" si="20"/>
        <v>0</v>
      </c>
      <c r="L103" s="666"/>
      <c r="M103" s="21">
        <f t="shared" si="21"/>
        <v>1</v>
      </c>
      <c r="N103" s="666"/>
      <c r="O103" s="21">
        <f t="shared" si="22"/>
        <v>1</v>
      </c>
      <c r="P103" s="666"/>
      <c r="Q103" s="21">
        <f t="shared" si="23"/>
        <v>0</v>
      </c>
      <c r="R103" s="662">
        <f t="shared" si="24"/>
        <v>0</v>
      </c>
      <c r="S103" s="316">
        <f t="shared" si="15"/>
        <v>0</v>
      </c>
    </row>
    <row r="104" spans="1:19">
      <c r="A104" s="150"/>
      <c r="B104" s="54"/>
      <c r="C104" s="21">
        <f t="shared" si="16"/>
        <v>1</v>
      </c>
      <c r="D104" s="666"/>
      <c r="E104" s="21">
        <f t="shared" si="17"/>
        <v>0.03</v>
      </c>
      <c r="F104" s="666"/>
      <c r="G104" s="21">
        <f t="shared" si="18"/>
        <v>0.05</v>
      </c>
      <c r="H104" s="666"/>
      <c r="I104" s="21">
        <f t="shared" si="19"/>
        <v>0.01</v>
      </c>
      <c r="J104" s="666"/>
      <c r="K104" s="21">
        <f t="shared" si="20"/>
        <v>0</v>
      </c>
      <c r="L104" s="666"/>
      <c r="M104" s="21">
        <f t="shared" si="21"/>
        <v>1</v>
      </c>
      <c r="N104" s="666"/>
      <c r="O104" s="21">
        <f t="shared" si="22"/>
        <v>1</v>
      </c>
      <c r="P104" s="666"/>
      <c r="Q104" s="21">
        <f t="shared" si="23"/>
        <v>0</v>
      </c>
      <c r="R104" s="662">
        <f t="shared" si="24"/>
        <v>0</v>
      </c>
      <c r="S104" s="316">
        <f t="shared" si="15"/>
        <v>0</v>
      </c>
    </row>
    <row r="105" spans="1:19">
      <c r="A105" s="150"/>
      <c r="B105" s="54"/>
      <c r="C105" s="21">
        <f t="shared" si="16"/>
        <v>1</v>
      </c>
      <c r="D105" s="666"/>
      <c r="E105" s="21">
        <f t="shared" si="17"/>
        <v>0.03</v>
      </c>
      <c r="F105" s="666"/>
      <c r="G105" s="21">
        <f t="shared" si="18"/>
        <v>0.05</v>
      </c>
      <c r="H105" s="666"/>
      <c r="I105" s="21">
        <f t="shared" si="19"/>
        <v>0.01</v>
      </c>
      <c r="J105" s="666"/>
      <c r="K105" s="21">
        <f t="shared" si="20"/>
        <v>0</v>
      </c>
      <c r="L105" s="666"/>
      <c r="M105" s="21">
        <f t="shared" si="21"/>
        <v>1</v>
      </c>
      <c r="N105" s="666"/>
      <c r="O105" s="21">
        <f t="shared" si="22"/>
        <v>1</v>
      </c>
      <c r="P105" s="666"/>
      <c r="Q105" s="21">
        <f t="shared" si="23"/>
        <v>0</v>
      </c>
      <c r="R105" s="662">
        <f t="shared" si="24"/>
        <v>0</v>
      </c>
      <c r="S105" s="316">
        <f t="shared" si="15"/>
        <v>0</v>
      </c>
    </row>
    <row r="106" spans="1:19">
      <c r="A106" s="150"/>
      <c r="B106" s="54"/>
      <c r="C106" s="21">
        <f t="shared" si="16"/>
        <v>1</v>
      </c>
      <c r="D106" s="666"/>
      <c r="E106" s="21">
        <f t="shared" si="17"/>
        <v>0.03</v>
      </c>
      <c r="F106" s="666"/>
      <c r="G106" s="21">
        <f t="shared" si="18"/>
        <v>0.05</v>
      </c>
      <c r="H106" s="666"/>
      <c r="I106" s="21">
        <f t="shared" si="19"/>
        <v>0.01</v>
      </c>
      <c r="J106" s="666"/>
      <c r="K106" s="21">
        <f t="shared" si="20"/>
        <v>0</v>
      </c>
      <c r="L106" s="666"/>
      <c r="M106" s="21">
        <f t="shared" si="21"/>
        <v>1</v>
      </c>
      <c r="N106" s="666"/>
      <c r="O106" s="21">
        <f t="shared" si="22"/>
        <v>1</v>
      </c>
      <c r="P106" s="666"/>
      <c r="Q106" s="21">
        <f t="shared" si="23"/>
        <v>0</v>
      </c>
      <c r="R106" s="662">
        <f t="shared" si="24"/>
        <v>0</v>
      </c>
      <c r="S106" s="316">
        <f t="shared" si="15"/>
        <v>0</v>
      </c>
    </row>
    <row r="107" spans="1:19">
      <c r="A107" s="150"/>
      <c r="B107" s="54"/>
      <c r="C107" s="21">
        <f t="shared" si="16"/>
        <v>1</v>
      </c>
      <c r="D107" s="666"/>
      <c r="E107" s="21">
        <f t="shared" si="17"/>
        <v>0.03</v>
      </c>
      <c r="F107" s="666"/>
      <c r="G107" s="21">
        <f t="shared" si="18"/>
        <v>0.05</v>
      </c>
      <c r="H107" s="666"/>
      <c r="I107" s="21">
        <f t="shared" si="19"/>
        <v>0.01</v>
      </c>
      <c r="J107" s="666"/>
      <c r="K107" s="21">
        <f t="shared" si="20"/>
        <v>0</v>
      </c>
      <c r="L107" s="666"/>
      <c r="M107" s="21">
        <f t="shared" si="21"/>
        <v>1</v>
      </c>
      <c r="N107" s="666"/>
      <c r="O107" s="21">
        <f t="shared" si="22"/>
        <v>1</v>
      </c>
      <c r="P107" s="666"/>
      <c r="Q107" s="21">
        <f t="shared" si="23"/>
        <v>0</v>
      </c>
      <c r="R107" s="662">
        <f t="shared" si="24"/>
        <v>0</v>
      </c>
      <c r="S107" s="316">
        <f t="shared" si="15"/>
        <v>0</v>
      </c>
    </row>
    <row r="108" spans="1:19">
      <c r="A108" s="150"/>
      <c r="B108" s="54"/>
      <c r="C108" s="21">
        <f t="shared" si="16"/>
        <v>1</v>
      </c>
      <c r="D108" s="666"/>
      <c r="E108" s="21">
        <f t="shared" si="17"/>
        <v>0.03</v>
      </c>
      <c r="F108" s="666"/>
      <c r="G108" s="21">
        <f t="shared" si="18"/>
        <v>0.05</v>
      </c>
      <c r="H108" s="666"/>
      <c r="I108" s="21">
        <f t="shared" si="19"/>
        <v>0.01</v>
      </c>
      <c r="J108" s="666"/>
      <c r="K108" s="21">
        <f t="shared" si="20"/>
        <v>0</v>
      </c>
      <c r="L108" s="666"/>
      <c r="M108" s="21">
        <f t="shared" si="21"/>
        <v>1</v>
      </c>
      <c r="N108" s="666"/>
      <c r="O108" s="21">
        <f t="shared" si="22"/>
        <v>1</v>
      </c>
      <c r="P108" s="666"/>
      <c r="Q108" s="21">
        <f t="shared" si="23"/>
        <v>0</v>
      </c>
      <c r="R108" s="662">
        <f t="shared" si="24"/>
        <v>0</v>
      </c>
      <c r="S108" s="316">
        <f t="shared" si="15"/>
        <v>0</v>
      </c>
    </row>
    <row r="109" spans="1:19">
      <c r="A109" s="150"/>
      <c r="B109" s="54"/>
      <c r="C109" s="21">
        <f t="shared" si="16"/>
        <v>1</v>
      </c>
      <c r="D109" s="666"/>
      <c r="E109" s="21">
        <f t="shared" si="17"/>
        <v>0.03</v>
      </c>
      <c r="F109" s="666"/>
      <c r="G109" s="21">
        <f t="shared" si="18"/>
        <v>0.05</v>
      </c>
      <c r="H109" s="666"/>
      <c r="I109" s="21">
        <f t="shared" si="19"/>
        <v>0.01</v>
      </c>
      <c r="J109" s="666"/>
      <c r="K109" s="21">
        <f t="shared" si="20"/>
        <v>0</v>
      </c>
      <c r="L109" s="666"/>
      <c r="M109" s="21">
        <f t="shared" si="21"/>
        <v>1</v>
      </c>
      <c r="N109" s="666"/>
      <c r="O109" s="21">
        <f t="shared" si="22"/>
        <v>1</v>
      </c>
      <c r="P109" s="666"/>
      <c r="Q109" s="21">
        <f t="shared" si="23"/>
        <v>0</v>
      </c>
      <c r="R109" s="662">
        <f t="shared" si="24"/>
        <v>0</v>
      </c>
      <c r="S109" s="316">
        <f t="shared" si="15"/>
        <v>0</v>
      </c>
    </row>
    <row r="110" spans="1:19">
      <c r="A110" s="150"/>
      <c r="B110" s="54"/>
      <c r="C110" s="21">
        <f t="shared" si="16"/>
        <v>1</v>
      </c>
      <c r="D110" s="666"/>
      <c r="E110" s="21">
        <f t="shared" si="17"/>
        <v>0.03</v>
      </c>
      <c r="F110" s="666"/>
      <c r="G110" s="21">
        <f t="shared" si="18"/>
        <v>0.05</v>
      </c>
      <c r="H110" s="666"/>
      <c r="I110" s="21">
        <f t="shared" si="19"/>
        <v>0.01</v>
      </c>
      <c r="J110" s="666"/>
      <c r="K110" s="21">
        <f t="shared" si="20"/>
        <v>0</v>
      </c>
      <c r="L110" s="666"/>
      <c r="M110" s="21">
        <f t="shared" si="21"/>
        <v>1</v>
      </c>
      <c r="N110" s="666"/>
      <c r="O110" s="21">
        <f t="shared" si="22"/>
        <v>1</v>
      </c>
      <c r="P110" s="666"/>
      <c r="Q110" s="21">
        <f t="shared" si="23"/>
        <v>0</v>
      </c>
      <c r="R110" s="662">
        <f t="shared" si="24"/>
        <v>0</v>
      </c>
      <c r="S110" s="316">
        <f t="shared" si="15"/>
        <v>0</v>
      </c>
    </row>
    <row r="111" spans="1:19">
      <c r="A111" s="150"/>
      <c r="B111" s="54"/>
      <c r="C111" s="21">
        <f t="shared" si="16"/>
        <v>1</v>
      </c>
      <c r="D111" s="666"/>
      <c r="E111" s="21">
        <f t="shared" si="17"/>
        <v>0.03</v>
      </c>
      <c r="F111" s="666"/>
      <c r="G111" s="21">
        <f t="shared" si="18"/>
        <v>0.05</v>
      </c>
      <c r="H111" s="666"/>
      <c r="I111" s="21">
        <f t="shared" si="19"/>
        <v>0.01</v>
      </c>
      <c r="J111" s="666"/>
      <c r="K111" s="21">
        <f t="shared" si="20"/>
        <v>0</v>
      </c>
      <c r="L111" s="666"/>
      <c r="M111" s="21">
        <f t="shared" si="21"/>
        <v>1</v>
      </c>
      <c r="N111" s="666"/>
      <c r="O111" s="21">
        <f t="shared" si="22"/>
        <v>1</v>
      </c>
      <c r="P111" s="666"/>
      <c r="Q111" s="21">
        <f t="shared" si="23"/>
        <v>0</v>
      </c>
      <c r="R111" s="662">
        <f t="shared" si="24"/>
        <v>0</v>
      </c>
      <c r="S111" s="316">
        <f t="shared" si="15"/>
        <v>0</v>
      </c>
    </row>
    <row r="112" spans="1:19">
      <c r="A112" s="150"/>
      <c r="B112" s="54"/>
      <c r="C112" s="21">
        <f t="shared" si="16"/>
        <v>1</v>
      </c>
      <c r="D112" s="666"/>
      <c r="E112" s="21">
        <f t="shared" si="17"/>
        <v>0.03</v>
      </c>
      <c r="F112" s="666"/>
      <c r="G112" s="21">
        <f t="shared" si="18"/>
        <v>0.05</v>
      </c>
      <c r="H112" s="666"/>
      <c r="I112" s="21">
        <f t="shared" si="19"/>
        <v>0.01</v>
      </c>
      <c r="J112" s="666"/>
      <c r="K112" s="21">
        <f t="shared" si="20"/>
        <v>0</v>
      </c>
      <c r="L112" s="666"/>
      <c r="M112" s="21">
        <f t="shared" si="21"/>
        <v>1</v>
      </c>
      <c r="N112" s="666"/>
      <c r="O112" s="21">
        <f t="shared" si="22"/>
        <v>1</v>
      </c>
      <c r="P112" s="666"/>
      <c r="Q112" s="21">
        <f t="shared" si="23"/>
        <v>0</v>
      </c>
      <c r="R112" s="662">
        <f t="shared" si="24"/>
        <v>0</v>
      </c>
      <c r="S112" s="316">
        <f t="shared" si="15"/>
        <v>0</v>
      </c>
    </row>
    <row r="113" spans="1:19">
      <c r="A113" s="150"/>
      <c r="B113" s="54"/>
      <c r="C113" s="21">
        <f t="shared" si="16"/>
        <v>1</v>
      </c>
      <c r="D113" s="666"/>
      <c r="E113" s="21">
        <f t="shared" si="17"/>
        <v>0.03</v>
      </c>
      <c r="F113" s="666"/>
      <c r="G113" s="21">
        <f t="shared" si="18"/>
        <v>0.05</v>
      </c>
      <c r="H113" s="666"/>
      <c r="I113" s="21">
        <f t="shared" si="19"/>
        <v>0.01</v>
      </c>
      <c r="J113" s="666"/>
      <c r="K113" s="21">
        <f t="shared" si="20"/>
        <v>0</v>
      </c>
      <c r="L113" s="666"/>
      <c r="M113" s="21">
        <f t="shared" si="21"/>
        <v>1</v>
      </c>
      <c r="N113" s="666"/>
      <c r="O113" s="21">
        <f t="shared" si="22"/>
        <v>1</v>
      </c>
      <c r="P113" s="666"/>
      <c r="Q113" s="21">
        <f t="shared" si="23"/>
        <v>0</v>
      </c>
      <c r="R113" s="662">
        <f t="shared" si="24"/>
        <v>0</v>
      </c>
      <c r="S113" s="316">
        <f t="shared" si="15"/>
        <v>0</v>
      </c>
    </row>
    <row r="114" spans="1:19">
      <c r="A114" s="150"/>
      <c r="B114" s="54"/>
      <c r="C114" s="21">
        <f t="shared" si="16"/>
        <v>1</v>
      </c>
      <c r="D114" s="666"/>
      <c r="E114" s="21">
        <f t="shared" si="17"/>
        <v>0.03</v>
      </c>
      <c r="F114" s="666"/>
      <c r="G114" s="21">
        <f t="shared" si="18"/>
        <v>0.05</v>
      </c>
      <c r="H114" s="666"/>
      <c r="I114" s="21">
        <f t="shared" si="19"/>
        <v>0.01</v>
      </c>
      <c r="J114" s="666"/>
      <c r="K114" s="21">
        <f t="shared" si="20"/>
        <v>0</v>
      </c>
      <c r="L114" s="666"/>
      <c r="M114" s="21">
        <f t="shared" si="21"/>
        <v>1</v>
      </c>
      <c r="N114" s="666"/>
      <c r="O114" s="21">
        <f t="shared" si="22"/>
        <v>1</v>
      </c>
      <c r="P114" s="666"/>
      <c r="Q114" s="21">
        <f t="shared" si="23"/>
        <v>0</v>
      </c>
      <c r="R114" s="662">
        <f t="shared" si="24"/>
        <v>0</v>
      </c>
      <c r="S114" s="316">
        <f t="shared" si="15"/>
        <v>0</v>
      </c>
    </row>
    <row r="115" spans="1:19">
      <c r="A115" s="150"/>
      <c r="B115" s="54"/>
      <c r="C115" s="21">
        <f t="shared" si="16"/>
        <v>1</v>
      </c>
      <c r="D115" s="666"/>
      <c r="E115" s="21">
        <f t="shared" si="17"/>
        <v>0.03</v>
      </c>
      <c r="F115" s="666"/>
      <c r="G115" s="21">
        <f t="shared" si="18"/>
        <v>0.05</v>
      </c>
      <c r="H115" s="666"/>
      <c r="I115" s="21">
        <f t="shared" si="19"/>
        <v>0.01</v>
      </c>
      <c r="J115" s="666"/>
      <c r="K115" s="21">
        <f t="shared" si="20"/>
        <v>0</v>
      </c>
      <c r="L115" s="666"/>
      <c r="M115" s="21">
        <f t="shared" si="21"/>
        <v>1</v>
      </c>
      <c r="N115" s="666"/>
      <c r="O115" s="21">
        <f t="shared" si="22"/>
        <v>1</v>
      </c>
      <c r="P115" s="666"/>
      <c r="Q115" s="21">
        <f t="shared" si="23"/>
        <v>0</v>
      </c>
      <c r="R115" s="662">
        <f t="shared" si="24"/>
        <v>0</v>
      </c>
      <c r="S115" s="316">
        <f t="shared" si="15"/>
        <v>0</v>
      </c>
    </row>
    <row r="116" spans="1:19">
      <c r="A116" s="150"/>
      <c r="B116" s="54"/>
      <c r="C116" s="21">
        <f t="shared" si="16"/>
        <v>1</v>
      </c>
      <c r="D116" s="666"/>
      <c r="E116" s="21">
        <f t="shared" si="17"/>
        <v>0.03</v>
      </c>
      <c r="F116" s="666"/>
      <c r="G116" s="21">
        <f t="shared" si="18"/>
        <v>0.05</v>
      </c>
      <c r="H116" s="666"/>
      <c r="I116" s="21">
        <f t="shared" si="19"/>
        <v>0.01</v>
      </c>
      <c r="J116" s="666"/>
      <c r="K116" s="21">
        <f t="shared" si="20"/>
        <v>0</v>
      </c>
      <c r="L116" s="666"/>
      <c r="M116" s="21">
        <f t="shared" si="21"/>
        <v>1</v>
      </c>
      <c r="N116" s="666"/>
      <c r="O116" s="21">
        <f t="shared" si="22"/>
        <v>1</v>
      </c>
      <c r="P116" s="666"/>
      <c r="Q116" s="21">
        <f t="shared" si="23"/>
        <v>0</v>
      </c>
      <c r="R116" s="662">
        <f t="shared" si="24"/>
        <v>0</v>
      </c>
      <c r="S116" s="316">
        <f t="shared" si="15"/>
        <v>0</v>
      </c>
    </row>
    <row r="117" spans="1:19">
      <c r="A117" s="150"/>
      <c r="B117" s="54"/>
      <c r="C117" s="21">
        <f t="shared" si="16"/>
        <v>1</v>
      </c>
      <c r="D117" s="666"/>
      <c r="E117" s="21">
        <f t="shared" si="17"/>
        <v>0.03</v>
      </c>
      <c r="F117" s="666"/>
      <c r="G117" s="21">
        <f t="shared" si="18"/>
        <v>0.05</v>
      </c>
      <c r="H117" s="666"/>
      <c r="I117" s="21">
        <f t="shared" si="19"/>
        <v>0.01</v>
      </c>
      <c r="J117" s="666"/>
      <c r="K117" s="21">
        <f t="shared" si="20"/>
        <v>0</v>
      </c>
      <c r="L117" s="666"/>
      <c r="M117" s="21">
        <f t="shared" si="21"/>
        <v>1</v>
      </c>
      <c r="N117" s="666"/>
      <c r="O117" s="21">
        <f t="shared" si="22"/>
        <v>1</v>
      </c>
      <c r="P117" s="666"/>
      <c r="Q117" s="21">
        <f t="shared" si="23"/>
        <v>0</v>
      </c>
      <c r="R117" s="662">
        <f t="shared" si="24"/>
        <v>0</v>
      </c>
      <c r="S117" s="316">
        <f t="shared" si="15"/>
        <v>0</v>
      </c>
    </row>
    <row r="118" spans="1:19">
      <c r="A118" s="150"/>
      <c r="B118" s="54"/>
      <c r="C118" s="21">
        <f t="shared" si="16"/>
        <v>1</v>
      </c>
      <c r="D118" s="666"/>
      <c r="E118" s="21">
        <f t="shared" si="17"/>
        <v>0.03</v>
      </c>
      <c r="F118" s="666"/>
      <c r="G118" s="21">
        <f t="shared" si="18"/>
        <v>0.05</v>
      </c>
      <c r="H118" s="666"/>
      <c r="I118" s="21">
        <f t="shared" si="19"/>
        <v>0.01</v>
      </c>
      <c r="J118" s="666"/>
      <c r="K118" s="21">
        <f t="shared" si="20"/>
        <v>0</v>
      </c>
      <c r="L118" s="666"/>
      <c r="M118" s="21">
        <f t="shared" si="21"/>
        <v>1</v>
      </c>
      <c r="N118" s="666"/>
      <c r="O118" s="21">
        <f t="shared" si="22"/>
        <v>1</v>
      </c>
      <c r="P118" s="666"/>
      <c r="Q118" s="21">
        <f t="shared" si="23"/>
        <v>0</v>
      </c>
      <c r="R118" s="662">
        <f t="shared" si="24"/>
        <v>0</v>
      </c>
      <c r="S118" s="316">
        <f t="shared" si="15"/>
        <v>0</v>
      </c>
    </row>
    <row r="119" spans="1:19">
      <c r="A119" s="150"/>
      <c r="B119" s="54"/>
      <c r="C119" s="21">
        <f t="shared" si="16"/>
        <v>1</v>
      </c>
      <c r="D119" s="666"/>
      <c r="E119" s="21">
        <f t="shared" si="17"/>
        <v>0.03</v>
      </c>
      <c r="F119" s="666"/>
      <c r="G119" s="21">
        <f t="shared" si="18"/>
        <v>0.05</v>
      </c>
      <c r="H119" s="666"/>
      <c r="I119" s="21">
        <f t="shared" si="19"/>
        <v>0.01</v>
      </c>
      <c r="J119" s="666"/>
      <c r="K119" s="21">
        <f t="shared" si="20"/>
        <v>0</v>
      </c>
      <c r="L119" s="666"/>
      <c r="M119" s="21">
        <f t="shared" si="21"/>
        <v>1</v>
      </c>
      <c r="N119" s="666"/>
      <c r="O119" s="21">
        <f t="shared" si="22"/>
        <v>1</v>
      </c>
      <c r="P119" s="666"/>
      <c r="Q119" s="21">
        <f t="shared" si="23"/>
        <v>0</v>
      </c>
      <c r="R119" s="662">
        <f t="shared" si="24"/>
        <v>0</v>
      </c>
      <c r="S119" s="316">
        <f t="shared" si="15"/>
        <v>0</v>
      </c>
    </row>
    <row r="120" spans="1:19">
      <c r="A120" s="150"/>
      <c r="B120" s="54"/>
      <c r="C120" s="21">
        <f t="shared" si="16"/>
        <v>1</v>
      </c>
      <c r="D120" s="666"/>
      <c r="E120" s="21">
        <f t="shared" si="17"/>
        <v>0.03</v>
      </c>
      <c r="F120" s="666"/>
      <c r="G120" s="21">
        <f t="shared" si="18"/>
        <v>0.05</v>
      </c>
      <c r="H120" s="666"/>
      <c r="I120" s="21">
        <f t="shared" si="19"/>
        <v>0.01</v>
      </c>
      <c r="J120" s="666"/>
      <c r="K120" s="21">
        <f t="shared" si="20"/>
        <v>0</v>
      </c>
      <c r="L120" s="666"/>
      <c r="M120" s="21">
        <f t="shared" si="21"/>
        <v>1</v>
      </c>
      <c r="N120" s="666"/>
      <c r="O120" s="21">
        <f t="shared" si="22"/>
        <v>1</v>
      </c>
      <c r="P120" s="666"/>
      <c r="Q120" s="21">
        <f t="shared" si="23"/>
        <v>0</v>
      </c>
      <c r="R120" s="662">
        <f t="shared" si="24"/>
        <v>0</v>
      </c>
      <c r="S120" s="316">
        <f t="shared" si="15"/>
        <v>0</v>
      </c>
    </row>
    <row r="121" spans="1:19">
      <c r="A121" s="150"/>
      <c r="B121" s="54"/>
      <c r="C121" s="21">
        <f t="shared" si="16"/>
        <v>1</v>
      </c>
      <c r="D121" s="666"/>
      <c r="E121" s="21">
        <f t="shared" si="17"/>
        <v>0.03</v>
      </c>
      <c r="F121" s="666"/>
      <c r="G121" s="21">
        <f t="shared" si="18"/>
        <v>0.05</v>
      </c>
      <c r="H121" s="666"/>
      <c r="I121" s="21">
        <f t="shared" si="19"/>
        <v>0.01</v>
      </c>
      <c r="J121" s="666"/>
      <c r="K121" s="21">
        <f t="shared" si="20"/>
        <v>0</v>
      </c>
      <c r="L121" s="666"/>
      <c r="M121" s="21">
        <f t="shared" si="21"/>
        <v>1</v>
      </c>
      <c r="N121" s="666"/>
      <c r="O121" s="21">
        <f t="shared" si="22"/>
        <v>1</v>
      </c>
      <c r="P121" s="666"/>
      <c r="Q121" s="21">
        <f t="shared" si="23"/>
        <v>0</v>
      </c>
      <c r="R121" s="662">
        <f t="shared" si="24"/>
        <v>0</v>
      </c>
      <c r="S121" s="316">
        <f t="shared" si="15"/>
        <v>0</v>
      </c>
    </row>
    <row r="122" spans="1:19">
      <c r="A122" s="150"/>
      <c r="B122" s="54"/>
      <c r="C122" s="21">
        <f t="shared" si="16"/>
        <v>1</v>
      </c>
      <c r="D122" s="666"/>
      <c r="E122" s="21">
        <f t="shared" si="17"/>
        <v>0.03</v>
      </c>
      <c r="F122" s="666"/>
      <c r="G122" s="21">
        <f t="shared" si="18"/>
        <v>0.05</v>
      </c>
      <c r="H122" s="666"/>
      <c r="I122" s="21">
        <f t="shared" si="19"/>
        <v>0.01</v>
      </c>
      <c r="J122" s="666"/>
      <c r="K122" s="21">
        <f t="shared" si="20"/>
        <v>0</v>
      </c>
      <c r="L122" s="666"/>
      <c r="M122" s="21">
        <f t="shared" si="21"/>
        <v>1</v>
      </c>
      <c r="N122" s="666"/>
      <c r="O122" s="21">
        <f t="shared" si="22"/>
        <v>1</v>
      </c>
      <c r="P122" s="666"/>
      <c r="Q122" s="21">
        <f t="shared" si="23"/>
        <v>0</v>
      </c>
      <c r="R122" s="662">
        <f t="shared" si="24"/>
        <v>0</v>
      </c>
      <c r="S122" s="316">
        <f t="shared" si="15"/>
        <v>0</v>
      </c>
    </row>
    <row r="123" spans="1:19">
      <c r="A123" s="150"/>
      <c r="B123" s="54"/>
      <c r="C123" s="21">
        <f t="shared" si="16"/>
        <v>1</v>
      </c>
      <c r="D123" s="666"/>
      <c r="E123" s="21">
        <f t="shared" si="17"/>
        <v>0.03</v>
      </c>
      <c r="F123" s="666"/>
      <c r="G123" s="21">
        <f t="shared" si="18"/>
        <v>0.05</v>
      </c>
      <c r="H123" s="666"/>
      <c r="I123" s="21">
        <f t="shared" si="19"/>
        <v>0.01</v>
      </c>
      <c r="J123" s="666"/>
      <c r="K123" s="21">
        <f t="shared" si="20"/>
        <v>0</v>
      </c>
      <c r="L123" s="666"/>
      <c r="M123" s="21">
        <f t="shared" si="21"/>
        <v>1</v>
      </c>
      <c r="N123" s="666"/>
      <c r="O123" s="21">
        <f t="shared" si="22"/>
        <v>1</v>
      </c>
      <c r="P123" s="666"/>
      <c r="Q123" s="21">
        <f t="shared" si="23"/>
        <v>0</v>
      </c>
      <c r="R123" s="662">
        <f t="shared" si="24"/>
        <v>0</v>
      </c>
      <c r="S123" s="316">
        <f t="shared" si="15"/>
        <v>0</v>
      </c>
    </row>
    <row r="124" spans="1:19">
      <c r="A124" s="150"/>
      <c r="B124" s="54"/>
      <c r="C124" s="21">
        <f t="shared" si="16"/>
        <v>1</v>
      </c>
      <c r="D124" s="666"/>
      <c r="E124" s="21">
        <f t="shared" si="17"/>
        <v>0.03</v>
      </c>
      <c r="F124" s="666"/>
      <c r="G124" s="21">
        <f t="shared" si="18"/>
        <v>0.05</v>
      </c>
      <c r="H124" s="666"/>
      <c r="I124" s="21">
        <f t="shared" si="19"/>
        <v>0.01</v>
      </c>
      <c r="J124" s="666"/>
      <c r="K124" s="21">
        <f t="shared" si="20"/>
        <v>0</v>
      </c>
      <c r="L124" s="666"/>
      <c r="M124" s="21">
        <f t="shared" si="21"/>
        <v>1</v>
      </c>
      <c r="N124" s="666"/>
      <c r="O124" s="21">
        <f t="shared" si="22"/>
        <v>1</v>
      </c>
      <c r="P124" s="666"/>
      <c r="Q124" s="21">
        <f t="shared" si="23"/>
        <v>0</v>
      </c>
      <c r="R124" s="662">
        <f t="shared" si="24"/>
        <v>0</v>
      </c>
      <c r="S124" s="316">
        <f t="shared" si="15"/>
        <v>0</v>
      </c>
    </row>
    <row r="125" spans="1:19">
      <c r="A125" s="150"/>
      <c r="B125" s="54"/>
      <c r="C125" s="21">
        <f t="shared" si="16"/>
        <v>1</v>
      </c>
      <c r="D125" s="666"/>
      <c r="E125" s="21">
        <f t="shared" si="17"/>
        <v>0.03</v>
      </c>
      <c r="F125" s="666"/>
      <c r="G125" s="21">
        <f t="shared" si="18"/>
        <v>0.05</v>
      </c>
      <c r="H125" s="666"/>
      <c r="I125" s="21">
        <f t="shared" si="19"/>
        <v>0.01</v>
      </c>
      <c r="J125" s="666"/>
      <c r="K125" s="21">
        <f t="shared" si="20"/>
        <v>0</v>
      </c>
      <c r="L125" s="666"/>
      <c r="M125" s="21">
        <f t="shared" si="21"/>
        <v>1</v>
      </c>
      <c r="N125" s="666"/>
      <c r="O125" s="21">
        <f t="shared" si="22"/>
        <v>1</v>
      </c>
      <c r="P125" s="666"/>
      <c r="Q125" s="21">
        <f t="shared" si="23"/>
        <v>0</v>
      </c>
      <c r="R125" s="662">
        <f t="shared" si="24"/>
        <v>0</v>
      </c>
      <c r="S125" s="316">
        <f t="shared" si="15"/>
        <v>0</v>
      </c>
    </row>
    <row r="126" spans="1:19">
      <c r="A126" s="150"/>
      <c r="B126" s="54"/>
      <c r="C126" s="21">
        <f t="shared" si="16"/>
        <v>1</v>
      </c>
      <c r="D126" s="666"/>
      <c r="E126" s="21">
        <f t="shared" si="17"/>
        <v>0.03</v>
      </c>
      <c r="F126" s="666"/>
      <c r="G126" s="21">
        <f t="shared" si="18"/>
        <v>0.05</v>
      </c>
      <c r="H126" s="666"/>
      <c r="I126" s="21">
        <f t="shared" si="19"/>
        <v>0.01</v>
      </c>
      <c r="J126" s="666"/>
      <c r="K126" s="21">
        <f t="shared" si="20"/>
        <v>0</v>
      </c>
      <c r="L126" s="666"/>
      <c r="M126" s="21">
        <f t="shared" si="21"/>
        <v>1</v>
      </c>
      <c r="N126" s="666"/>
      <c r="O126" s="21">
        <f t="shared" si="22"/>
        <v>1</v>
      </c>
      <c r="P126" s="666"/>
      <c r="Q126" s="21">
        <f t="shared" si="23"/>
        <v>0</v>
      </c>
      <c r="R126" s="662">
        <f t="shared" si="24"/>
        <v>0</v>
      </c>
      <c r="S126" s="316">
        <f t="shared" si="15"/>
        <v>0</v>
      </c>
    </row>
    <row r="127" spans="1:19">
      <c r="A127" s="150"/>
      <c r="B127" s="54"/>
      <c r="C127" s="21">
        <f t="shared" si="16"/>
        <v>1</v>
      </c>
      <c r="D127" s="666"/>
      <c r="E127" s="21">
        <f t="shared" si="17"/>
        <v>0.03</v>
      </c>
      <c r="F127" s="666"/>
      <c r="G127" s="21">
        <f t="shared" si="18"/>
        <v>0.05</v>
      </c>
      <c r="H127" s="666"/>
      <c r="I127" s="21">
        <f t="shared" si="19"/>
        <v>0.01</v>
      </c>
      <c r="J127" s="666"/>
      <c r="K127" s="21">
        <f t="shared" si="20"/>
        <v>0</v>
      </c>
      <c r="L127" s="666"/>
      <c r="M127" s="21">
        <f t="shared" si="21"/>
        <v>1</v>
      </c>
      <c r="N127" s="666"/>
      <c r="O127" s="21">
        <f t="shared" si="22"/>
        <v>1</v>
      </c>
      <c r="P127" s="666"/>
      <c r="Q127" s="21">
        <f t="shared" si="23"/>
        <v>0</v>
      </c>
      <c r="R127" s="662">
        <f t="shared" si="24"/>
        <v>0</v>
      </c>
      <c r="S127" s="316">
        <f t="shared" si="15"/>
        <v>0</v>
      </c>
    </row>
    <row r="128" spans="1:19">
      <c r="A128" s="150"/>
      <c r="B128" s="54"/>
      <c r="C128" s="21">
        <f t="shared" si="16"/>
        <v>1</v>
      </c>
      <c r="D128" s="666"/>
      <c r="E128" s="21">
        <f t="shared" si="17"/>
        <v>0.03</v>
      </c>
      <c r="F128" s="666"/>
      <c r="G128" s="21">
        <f t="shared" si="18"/>
        <v>0.05</v>
      </c>
      <c r="H128" s="666"/>
      <c r="I128" s="21">
        <f t="shared" si="19"/>
        <v>0.01</v>
      </c>
      <c r="J128" s="666"/>
      <c r="K128" s="21">
        <f t="shared" si="20"/>
        <v>0</v>
      </c>
      <c r="L128" s="666"/>
      <c r="M128" s="21">
        <f t="shared" si="21"/>
        <v>1</v>
      </c>
      <c r="N128" s="666"/>
      <c r="O128" s="21">
        <f t="shared" si="22"/>
        <v>1</v>
      </c>
      <c r="P128" s="666"/>
      <c r="Q128" s="21">
        <f t="shared" si="23"/>
        <v>0</v>
      </c>
      <c r="R128" s="662">
        <f t="shared" si="24"/>
        <v>0</v>
      </c>
      <c r="S128" s="316">
        <f t="shared" si="15"/>
        <v>0</v>
      </c>
    </row>
    <row r="129" spans="1:19">
      <c r="A129" s="150"/>
      <c r="B129" s="54"/>
      <c r="C129" s="21">
        <f t="shared" si="16"/>
        <v>1</v>
      </c>
      <c r="D129" s="666"/>
      <c r="E129" s="21">
        <f t="shared" si="17"/>
        <v>0.03</v>
      </c>
      <c r="F129" s="666"/>
      <c r="G129" s="21">
        <f t="shared" si="18"/>
        <v>0.05</v>
      </c>
      <c r="H129" s="666"/>
      <c r="I129" s="21">
        <f t="shared" si="19"/>
        <v>0.01</v>
      </c>
      <c r="J129" s="666"/>
      <c r="K129" s="21">
        <f t="shared" si="20"/>
        <v>0</v>
      </c>
      <c r="L129" s="666"/>
      <c r="M129" s="21">
        <f t="shared" si="21"/>
        <v>1</v>
      </c>
      <c r="N129" s="666"/>
      <c r="O129" s="21">
        <f t="shared" si="22"/>
        <v>1</v>
      </c>
      <c r="P129" s="666"/>
      <c r="Q129" s="21">
        <f t="shared" si="23"/>
        <v>0</v>
      </c>
      <c r="R129" s="662">
        <f t="shared" si="24"/>
        <v>0</v>
      </c>
      <c r="S129" s="316">
        <f t="shared" si="15"/>
        <v>0</v>
      </c>
    </row>
    <row r="130" spans="1:19">
      <c r="A130" s="150"/>
      <c r="B130" s="54"/>
      <c r="C130" s="21">
        <f t="shared" si="16"/>
        <v>1</v>
      </c>
      <c r="D130" s="666"/>
      <c r="E130" s="21">
        <f t="shared" si="17"/>
        <v>0.03</v>
      </c>
      <c r="F130" s="666"/>
      <c r="G130" s="21">
        <f t="shared" si="18"/>
        <v>0.05</v>
      </c>
      <c r="H130" s="666"/>
      <c r="I130" s="21">
        <f t="shared" si="19"/>
        <v>0.01</v>
      </c>
      <c r="J130" s="666"/>
      <c r="K130" s="21">
        <f t="shared" si="20"/>
        <v>0</v>
      </c>
      <c r="L130" s="666"/>
      <c r="M130" s="21">
        <f t="shared" si="21"/>
        <v>1</v>
      </c>
      <c r="N130" s="666"/>
      <c r="O130" s="21">
        <f t="shared" si="22"/>
        <v>1</v>
      </c>
      <c r="P130" s="666"/>
      <c r="Q130" s="21">
        <f t="shared" si="23"/>
        <v>0</v>
      </c>
      <c r="R130" s="662">
        <f t="shared" si="24"/>
        <v>0</v>
      </c>
      <c r="S130" s="316">
        <f t="shared" si="15"/>
        <v>0</v>
      </c>
    </row>
    <row r="131" spans="1:19">
      <c r="A131" s="150"/>
      <c r="B131" s="54"/>
      <c r="C131" s="21">
        <f t="shared" si="16"/>
        <v>1</v>
      </c>
      <c r="D131" s="666"/>
      <c r="E131" s="21">
        <f t="shared" si="17"/>
        <v>0.03</v>
      </c>
      <c r="F131" s="666"/>
      <c r="G131" s="21">
        <f t="shared" si="18"/>
        <v>0.05</v>
      </c>
      <c r="H131" s="666"/>
      <c r="I131" s="21">
        <f t="shared" si="19"/>
        <v>0.01</v>
      </c>
      <c r="J131" s="666"/>
      <c r="K131" s="21">
        <f t="shared" si="20"/>
        <v>0</v>
      </c>
      <c r="L131" s="666"/>
      <c r="M131" s="21">
        <f t="shared" si="21"/>
        <v>1</v>
      </c>
      <c r="N131" s="666"/>
      <c r="O131" s="21">
        <f t="shared" si="22"/>
        <v>1</v>
      </c>
      <c r="P131" s="666"/>
      <c r="Q131" s="21">
        <f t="shared" si="23"/>
        <v>0</v>
      </c>
      <c r="R131" s="662">
        <f t="shared" si="24"/>
        <v>0</v>
      </c>
      <c r="S131" s="316">
        <f t="shared" si="15"/>
        <v>0</v>
      </c>
    </row>
    <row r="132" spans="1:19">
      <c r="A132" s="150"/>
      <c r="B132" s="54"/>
      <c r="C132" s="21">
        <f t="shared" si="16"/>
        <v>1</v>
      </c>
      <c r="D132" s="666"/>
      <c r="E132" s="21">
        <f t="shared" si="17"/>
        <v>0.03</v>
      </c>
      <c r="F132" s="666"/>
      <c r="G132" s="21">
        <f t="shared" si="18"/>
        <v>0.05</v>
      </c>
      <c r="H132" s="666"/>
      <c r="I132" s="21">
        <f t="shared" si="19"/>
        <v>0.01</v>
      </c>
      <c r="J132" s="666"/>
      <c r="K132" s="21">
        <f t="shared" si="20"/>
        <v>0</v>
      </c>
      <c r="L132" s="666"/>
      <c r="M132" s="21">
        <f t="shared" si="21"/>
        <v>1</v>
      </c>
      <c r="N132" s="666"/>
      <c r="O132" s="21">
        <f t="shared" si="22"/>
        <v>1</v>
      </c>
      <c r="P132" s="666"/>
      <c r="Q132" s="21">
        <f t="shared" si="23"/>
        <v>0</v>
      </c>
      <c r="R132" s="662">
        <f t="shared" si="24"/>
        <v>0</v>
      </c>
      <c r="S132" s="316">
        <f t="shared" si="15"/>
        <v>0</v>
      </c>
    </row>
    <row r="133" spans="1:19">
      <c r="A133" s="150"/>
      <c r="B133" s="54"/>
      <c r="C133" s="21">
        <f t="shared" si="16"/>
        <v>1</v>
      </c>
      <c r="D133" s="666"/>
      <c r="E133" s="21">
        <f t="shared" si="17"/>
        <v>0.03</v>
      </c>
      <c r="F133" s="666"/>
      <c r="G133" s="21">
        <f t="shared" si="18"/>
        <v>0.05</v>
      </c>
      <c r="H133" s="666"/>
      <c r="I133" s="21">
        <f t="shared" si="19"/>
        <v>0.01</v>
      </c>
      <c r="J133" s="666"/>
      <c r="K133" s="21">
        <f t="shared" si="20"/>
        <v>0</v>
      </c>
      <c r="L133" s="666"/>
      <c r="M133" s="21">
        <f t="shared" si="21"/>
        <v>1</v>
      </c>
      <c r="N133" s="666"/>
      <c r="O133" s="21">
        <f t="shared" si="22"/>
        <v>1</v>
      </c>
      <c r="P133" s="666"/>
      <c r="Q133" s="21">
        <f t="shared" si="23"/>
        <v>0</v>
      </c>
      <c r="R133" s="662">
        <f t="shared" si="24"/>
        <v>0</v>
      </c>
      <c r="S133" s="316">
        <f t="shared" si="15"/>
        <v>0</v>
      </c>
    </row>
    <row r="134" spans="1:19">
      <c r="A134" s="150"/>
      <c r="B134" s="54"/>
      <c r="C134" s="21">
        <f t="shared" si="16"/>
        <v>1</v>
      </c>
      <c r="D134" s="666"/>
      <c r="E134" s="21">
        <f t="shared" si="17"/>
        <v>0.03</v>
      </c>
      <c r="F134" s="666"/>
      <c r="G134" s="21">
        <f t="shared" si="18"/>
        <v>0.05</v>
      </c>
      <c r="H134" s="666"/>
      <c r="I134" s="21">
        <f t="shared" si="19"/>
        <v>0.01</v>
      </c>
      <c r="J134" s="666"/>
      <c r="K134" s="21">
        <f t="shared" si="20"/>
        <v>0</v>
      </c>
      <c r="L134" s="666"/>
      <c r="M134" s="21">
        <f t="shared" si="21"/>
        <v>1</v>
      </c>
      <c r="N134" s="666"/>
      <c r="O134" s="21">
        <f t="shared" si="22"/>
        <v>1</v>
      </c>
      <c r="P134" s="666"/>
      <c r="Q134" s="21">
        <f t="shared" si="23"/>
        <v>0</v>
      </c>
      <c r="R134" s="662">
        <f t="shared" si="24"/>
        <v>0</v>
      </c>
      <c r="S134" s="316">
        <f t="shared" si="15"/>
        <v>0</v>
      </c>
    </row>
    <row r="135" spans="1:19">
      <c r="A135" s="150"/>
      <c r="B135" s="54"/>
      <c r="C135" s="21">
        <f t="shared" si="16"/>
        <v>1</v>
      </c>
      <c r="D135" s="666"/>
      <c r="E135" s="21">
        <f t="shared" si="17"/>
        <v>0.03</v>
      </c>
      <c r="F135" s="666"/>
      <c r="G135" s="21">
        <f t="shared" si="18"/>
        <v>0.05</v>
      </c>
      <c r="H135" s="666"/>
      <c r="I135" s="21">
        <f t="shared" si="19"/>
        <v>0.01</v>
      </c>
      <c r="J135" s="666"/>
      <c r="K135" s="21">
        <f t="shared" si="20"/>
        <v>0</v>
      </c>
      <c r="L135" s="666"/>
      <c r="M135" s="21">
        <f t="shared" si="21"/>
        <v>1</v>
      </c>
      <c r="N135" s="666"/>
      <c r="O135" s="21">
        <f t="shared" si="22"/>
        <v>1</v>
      </c>
      <c r="P135" s="666"/>
      <c r="Q135" s="21">
        <f t="shared" si="23"/>
        <v>0</v>
      </c>
      <c r="R135" s="662">
        <f t="shared" si="24"/>
        <v>0</v>
      </c>
      <c r="S135" s="316">
        <f t="shared" si="15"/>
        <v>0</v>
      </c>
    </row>
    <row r="136" spans="1:19">
      <c r="A136" s="150"/>
      <c r="B136" s="54"/>
      <c r="C136" s="21">
        <f t="shared" si="16"/>
        <v>1</v>
      </c>
      <c r="D136" s="666"/>
      <c r="E136" s="21">
        <f t="shared" si="17"/>
        <v>0.03</v>
      </c>
      <c r="F136" s="666"/>
      <c r="G136" s="21">
        <f t="shared" si="18"/>
        <v>0.05</v>
      </c>
      <c r="H136" s="666"/>
      <c r="I136" s="21">
        <f t="shared" si="19"/>
        <v>0.01</v>
      </c>
      <c r="J136" s="666"/>
      <c r="K136" s="21">
        <f t="shared" si="20"/>
        <v>0</v>
      </c>
      <c r="L136" s="666"/>
      <c r="M136" s="21">
        <f t="shared" si="21"/>
        <v>1</v>
      </c>
      <c r="N136" s="666"/>
      <c r="O136" s="21">
        <f t="shared" si="22"/>
        <v>1</v>
      </c>
      <c r="P136" s="666"/>
      <c r="Q136" s="21">
        <f t="shared" si="23"/>
        <v>0</v>
      </c>
      <c r="R136" s="662">
        <f t="shared" si="24"/>
        <v>0</v>
      </c>
      <c r="S136" s="316">
        <f t="shared" si="15"/>
        <v>0</v>
      </c>
    </row>
    <row r="137" spans="1:19">
      <c r="A137" s="150"/>
      <c r="B137" s="54"/>
      <c r="C137" s="21">
        <f t="shared" si="16"/>
        <v>1</v>
      </c>
      <c r="D137" s="666"/>
      <c r="E137" s="21">
        <f t="shared" si="17"/>
        <v>0.03</v>
      </c>
      <c r="F137" s="666"/>
      <c r="G137" s="21">
        <f t="shared" si="18"/>
        <v>0.05</v>
      </c>
      <c r="H137" s="666"/>
      <c r="I137" s="21">
        <f t="shared" si="19"/>
        <v>0.01</v>
      </c>
      <c r="J137" s="666"/>
      <c r="K137" s="21">
        <f t="shared" si="20"/>
        <v>0</v>
      </c>
      <c r="L137" s="666"/>
      <c r="M137" s="21">
        <f t="shared" si="21"/>
        <v>1</v>
      </c>
      <c r="N137" s="666"/>
      <c r="O137" s="21">
        <f t="shared" si="22"/>
        <v>1</v>
      </c>
      <c r="P137" s="666"/>
      <c r="Q137" s="21">
        <f t="shared" si="23"/>
        <v>0</v>
      </c>
      <c r="R137" s="662">
        <f t="shared" si="24"/>
        <v>0</v>
      </c>
      <c r="S137" s="316">
        <f t="shared" si="15"/>
        <v>0</v>
      </c>
    </row>
    <row r="138" spans="1:19">
      <c r="A138" s="150"/>
      <c r="B138" s="54"/>
      <c r="C138" s="21">
        <f t="shared" si="16"/>
        <v>1</v>
      </c>
      <c r="D138" s="666"/>
      <c r="E138" s="21">
        <f t="shared" si="17"/>
        <v>0.03</v>
      </c>
      <c r="F138" s="666"/>
      <c r="G138" s="21">
        <f t="shared" si="18"/>
        <v>0.05</v>
      </c>
      <c r="H138" s="666"/>
      <c r="I138" s="21">
        <f t="shared" si="19"/>
        <v>0.01</v>
      </c>
      <c r="J138" s="666"/>
      <c r="K138" s="21">
        <f t="shared" si="20"/>
        <v>0</v>
      </c>
      <c r="L138" s="666"/>
      <c r="M138" s="21">
        <f t="shared" si="21"/>
        <v>1</v>
      </c>
      <c r="N138" s="666"/>
      <c r="O138" s="21">
        <f t="shared" si="22"/>
        <v>1</v>
      </c>
      <c r="P138" s="666"/>
      <c r="Q138" s="21">
        <f t="shared" si="23"/>
        <v>0</v>
      </c>
      <c r="R138" s="662">
        <f t="shared" si="24"/>
        <v>0</v>
      </c>
      <c r="S138" s="316">
        <f t="shared" si="15"/>
        <v>0</v>
      </c>
    </row>
    <row r="139" spans="1:19">
      <c r="A139" s="150"/>
      <c r="B139" s="54"/>
      <c r="C139" s="21">
        <f t="shared" si="16"/>
        <v>1</v>
      </c>
      <c r="D139" s="666"/>
      <c r="E139" s="21">
        <f t="shared" si="17"/>
        <v>0.03</v>
      </c>
      <c r="F139" s="666"/>
      <c r="G139" s="21">
        <f t="shared" si="18"/>
        <v>0.05</v>
      </c>
      <c r="H139" s="666"/>
      <c r="I139" s="21">
        <f t="shared" si="19"/>
        <v>0.01</v>
      </c>
      <c r="J139" s="666"/>
      <c r="K139" s="21">
        <f t="shared" si="20"/>
        <v>0</v>
      </c>
      <c r="L139" s="666"/>
      <c r="M139" s="21">
        <f t="shared" si="21"/>
        <v>1</v>
      </c>
      <c r="N139" s="666"/>
      <c r="O139" s="21">
        <f t="shared" si="22"/>
        <v>1</v>
      </c>
      <c r="P139" s="666"/>
      <c r="Q139" s="21">
        <f t="shared" si="23"/>
        <v>0</v>
      </c>
      <c r="R139" s="662">
        <f t="shared" si="24"/>
        <v>0</v>
      </c>
      <c r="S139" s="316">
        <f t="shared" si="15"/>
        <v>0</v>
      </c>
    </row>
    <row r="140" spans="1:19">
      <c r="A140" s="150"/>
      <c r="B140" s="54"/>
      <c r="C140" s="21">
        <f t="shared" si="16"/>
        <v>1</v>
      </c>
      <c r="D140" s="666"/>
      <c r="E140" s="21">
        <f t="shared" si="17"/>
        <v>0.03</v>
      </c>
      <c r="F140" s="666"/>
      <c r="G140" s="21">
        <f t="shared" si="18"/>
        <v>0.05</v>
      </c>
      <c r="H140" s="666"/>
      <c r="I140" s="21">
        <f t="shared" si="19"/>
        <v>0.01</v>
      </c>
      <c r="J140" s="666"/>
      <c r="K140" s="21">
        <f t="shared" si="20"/>
        <v>0</v>
      </c>
      <c r="L140" s="666"/>
      <c r="M140" s="21">
        <f t="shared" si="21"/>
        <v>1</v>
      </c>
      <c r="N140" s="666"/>
      <c r="O140" s="21">
        <f t="shared" si="22"/>
        <v>1</v>
      </c>
      <c r="P140" s="666"/>
      <c r="Q140" s="21">
        <f t="shared" si="23"/>
        <v>0</v>
      </c>
      <c r="R140" s="662">
        <f t="shared" si="24"/>
        <v>0</v>
      </c>
      <c r="S140" s="316">
        <f t="shared" si="15"/>
        <v>0</v>
      </c>
    </row>
    <row r="141" spans="1:19">
      <c r="A141" s="150"/>
      <c r="B141" s="54"/>
      <c r="C141" s="21">
        <f t="shared" si="16"/>
        <v>1</v>
      </c>
      <c r="D141" s="666"/>
      <c r="E141" s="21">
        <f t="shared" si="17"/>
        <v>0.03</v>
      </c>
      <c r="F141" s="666"/>
      <c r="G141" s="21">
        <f t="shared" si="18"/>
        <v>0.05</v>
      </c>
      <c r="H141" s="666"/>
      <c r="I141" s="21">
        <f t="shared" si="19"/>
        <v>0.01</v>
      </c>
      <c r="J141" s="666"/>
      <c r="K141" s="21">
        <f t="shared" si="20"/>
        <v>0</v>
      </c>
      <c r="L141" s="666"/>
      <c r="M141" s="21">
        <f t="shared" si="21"/>
        <v>1</v>
      </c>
      <c r="N141" s="666"/>
      <c r="O141" s="21">
        <f t="shared" si="22"/>
        <v>1</v>
      </c>
      <c r="P141" s="666"/>
      <c r="Q141" s="21">
        <f t="shared" si="23"/>
        <v>0</v>
      </c>
      <c r="R141" s="662">
        <f t="shared" si="24"/>
        <v>0</v>
      </c>
      <c r="S141" s="316">
        <f t="shared" si="15"/>
        <v>0</v>
      </c>
    </row>
    <row r="142" spans="1:19">
      <c r="A142" s="150"/>
      <c r="B142" s="54"/>
      <c r="C142" s="21">
        <f t="shared" si="16"/>
        <v>1</v>
      </c>
      <c r="D142" s="666"/>
      <c r="E142" s="21">
        <f t="shared" si="17"/>
        <v>0.03</v>
      </c>
      <c r="F142" s="666"/>
      <c r="G142" s="21">
        <f t="shared" si="18"/>
        <v>0.05</v>
      </c>
      <c r="H142" s="666"/>
      <c r="I142" s="21">
        <f t="shared" si="19"/>
        <v>0.01</v>
      </c>
      <c r="J142" s="666"/>
      <c r="K142" s="21">
        <f t="shared" si="20"/>
        <v>0</v>
      </c>
      <c r="L142" s="666"/>
      <c r="M142" s="21">
        <f t="shared" si="21"/>
        <v>1</v>
      </c>
      <c r="N142" s="666"/>
      <c r="O142" s="21">
        <f t="shared" si="22"/>
        <v>1</v>
      </c>
      <c r="P142" s="666"/>
      <c r="Q142" s="21">
        <f t="shared" si="23"/>
        <v>0</v>
      </c>
      <c r="R142" s="662">
        <f t="shared" si="24"/>
        <v>0</v>
      </c>
      <c r="S142" s="316">
        <f t="shared" si="15"/>
        <v>0</v>
      </c>
    </row>
    <row r="143" spans="1:19">
      <c r="A143" s="150"/>
      <c r="B143" s="54"/>
      <c r="C143" s="21">
        <f t="shared" si="16"/>
        <v>1</v>
      </c>
      <c r="D143" s="666"/>
      <c r="E143" s="21">
        <f t="shared" si="17"/>
        <v>0.03</v>
      </c>
      <c r="F143" s="666"/>
      <c r="G143" s="21">
        <f t="shared" si="18"/>
        <v>0.05</v>
      </c>
      <c r="H143" s="666"/>
      <c r="I143" s="21">
        <f t="shared" si="19"/>
        <v>0.01</v>
      </c>
      <c r="J143" s="666"/>
      <c r="K143" s="21">
        <f t="shared" si="20"/>
        <v>0</v>
      </c>
      <c r="L143" s="666"/>
      <c r="M143" s="21">
        <f t="shared" si="21"/>
        <v>1</v>
      </c>
      <c r="N143" s="666"/>
      <c r="O143" s="21">
        <f t="shared" si="22"/>
        <v>1</v>
      </c>
      <c r="P143" s="666"/>
      <c r="Q143" s="21">
        <f t="shared" si="23"/>
        <v>0</v>
      </c>
      <c r="R143" s="662">
        <f t="shared" si="24"/>
        <v>0</v>
      </c>
      <c r="S143" s="316">
        <f t="shared" si="15"/>
        <v>0</v>
      </c>
    </row>
    <row r="144" spans="1:19">
      <c r="A144" s="150"/>
      <c r="B144" s="54"/>
      <c r="C144" s="21">
        <f t="shared" si="16"/>
        <v>1</v>
      </c>
      <c r="D144" s="666"/>
      <c r="E144" s="21">
        <f t="shared" si="17"/>
        <v>0.03</v>
      </c>
      <c r="F144" s="666"/>
      <c r="G144" s="21">
        <f t="shared" si="18"/>
        <v>0.05</v>
      </c>
      <c r="H144" s="666"/>
      <c r="I144" s="21">
        <f t="shared" si="19"/>
        <v>0.01</v>
      </c>
      <c r="J144" s="666"/>
      <c r="K144" s="21">
        <f t="shared" si="20"/>
        <v>0</v>
      </c>
      <c r="L144" s="666"/>
      <c r="M144" s="21">
        <f t="shared" si="21"/>
        <v>1</v>
      </c>
      <c r="N144" s="666"/>
      <c r="O144" s="21">
        <f t="shared" si="22"/>
        <v>1</v>
      </c>
      <c r="P144" s="666"/>
      <c r="Q144" s="21">
        <f t="shared" si="23"/>
        <v>0</v>
      </c>
      <c r="R144" s="662">
        <f t="shared" si="24"/>
        <v>0</v>
      </c>
      <c r="S144" s="316">
        <f t="shared" si="15"/>
        <v>0</v>
      </c>
    </row>
    <row r="145" spans="1:19">
      <c r="A145" s="150"/>
      <c r="B145" s="54"/>
      <c r="C145" s="21">
        <f t="shared" si="16"/>
        <v>1</v>
      </c>
      <c r="D145" s="666"/>
      <c r="E145" s="21">
        <f t="shared" si="17"/>
        <v>0.03</v>
      </c>
      <c r="F145" s="666"/>
      <c r="G145" s="21">
        <f t="shared" si="18"/>
        <v>0.05</v>
      </c>
      <c r="H145" s="666"/>
      <c r="I145" s="21">
        <f t="shared" si="19"/>
        <v>0.01</v>
      </c>
      <c r="J145" s="666"/>
      <c r="K145" s="21">
        <f t="shared" si="20"/>
        <v>0</v>
      </c>
      <c r="L145" s="666"/>
      <c r="M145" s="21">
        <f t="shared" si="21"/>
        <v>1</v>
      </c>
      <c r="N145" s="666"/>
      <c r="O145" s="21">
        <f t="shared" si="22"/>
        <v>1</v>
      </c>
      <c r="P145" s="666"/>
      <c r="Q145" s="21">
        <f t="shared" si="23"/>
        <v>0</v>
      </c>
      <c r="R145" s="662">
        <f t="shared" si="24"/>
        <v>0</v>
      </c>
      <c r="S145" s="316">
        <f t="shared" si="15"/>
        <v>0</v>
      </c>
    </row>
    <row r="146" spans="1:19">
      <c r="A146" s="150"/>
      <c r="B146" s="54"/>
      <c r="C146" s="21">
        <f t="shared" si="16"/>
        <v>1</v>
      </c>
      <c r="D146" s="666"/>
      <c r="E146" s="21">
        <f t="shared" si="17"/>
        <v>0.03</v>
      </c>
      <c r="F146" s="666"/>
      <c r="G146" s="21">
        <f t="shared" si="18"/>
        <v>0.05</v>
      </c>
      <c r="H146" s="666"/>
      <c r="I146" s="21">
        <f t="shared" si="19"/>
        <v>0.01</v>
      </c>
      <c r="J146" s="666"/>
      <c r="K146" s="21">
        <f t="shared" si="20"/>
        <v>0</v>
      </c>
      <c r="L146" s="666"/>
      <c r="M146" s="21">
        <f t="shared" si="21"/>
        <v>1</v>
      </c>
      <c r="N146" s="666"/>
      <c r="O146" s="21">
        <f t="shared" si="22"/>
        <v>1</v>
      </c>
      <c r="P146" s="666"/>
      <c r="Q146" s="21">
        <f t="shared" si="23"/>
        <v>0</v>
      </c>
      <c r="R146" s="662">
        <f t="shared" si="24"/>
        <v>0</v>
      </c>
      <c r="S146" s="316">
        <f t="shared" si="15"/>
        <v>0</v>
      </c>
    </row>
    <row r="147" spans="1:19">
      <c r="A147" s="150"/>
      <c r="B147" s="54"/>
      <c r="C147" s="21">
        <f t="shared" si="16"/>
        <v>1</v>
      </c>
      <c r="D147" s="666"/>
      <c r="E147" s="21">
        <f t="shared" si="17"/>
        <v>0.03</v>
      </c>
      <c r="F147" s="666"/>
      <c r="G147" s="21">
        <f t="shared" si="18"/>
        <v>0.05</v>
      </c>
      <c r="H147" s="666"/>
      <c r="I147" s="21">
        <f t="shared" si="19"/>
        <v>0.01</v>
      </c>
      <c r="J147" s="666"/>
      <c r="K147" s="21">
        <f t="shared" si="20"/>
        <v>0</v>
      </c>
      <c r="L147" s="666"/>
      <c r="M147" s="21">
        <f t="shared" si="21"/>
        <v>1</v>
      </c>
      <c r="N147" s="666"/>
      <c r="O147" s="21">
        <f t="shared" si="22"/>
        <v>1</v>
      </c>
      <c r="P147" s="666"/>
      <c r="Q147" s="21">
        <f t="shared" si="23"/>
        <v>0</v>
      </c>
      <c r="R147" s="662">
        <f t="shared" si="24"/>
        <v>0</v>
      </c>
      <c r="S147" s="316">
        <f t="shared" si="15"/>
        <v>0</v>
      </c>
    </row>
    <row r="148" spans="1:19">
      <c r="A148" s="150"/>
      <c r="B148" s="54"/>
      <c r="C148" s="21">
        <f t="shared" si="16"/>
        <v>1</v>
      </c>
      <c r="D148" s="666"/>
      <c r="E148" s="21">
        <f t="shared" si="17"/>
        <v>0.03</v>
      </c>
      <c r="F148" s="666"/>
      <c r="G148" s="21">
        <f t="shared" si="18"/>
        <v>0.05</v>
      </c>
      <c r="H148" s="666"/>
      <c r="I148" s="21">
        <f t="shared" si="19"/>
        <v>0.01</v>
      </c>
      <c r="J148" s="666"/>
      <c r="K148" s="21">
        <f t="shared" si="20"/>
        <v>0</v>
      </c>
      <c r="L148" s="666"/>
      <c r="M148" s="21">
        <f t="shared" si="21"/>
        <v>1</v>
      </c>
      <c r="N148" s="666"/>
      <c r="O148" s="21">
        <f t="shared" si="22"/>
        <v>1</v>
      </c>
      <c r="P148" s="666"/>
      <c r="Q148" s="21">
        <f t="shared" si="23"/>
        <v>0</v>
      </c>
      <c r="R148" s="662">
        <f t="shared" si="24"/>
        <v>0</v>
      </c>
      <c r="S148" s="316">
        <f t="shared" si="15"/>
        <v>0</v>
      </c>
    </row>
    <row r="149" spans="1:19">
      <c r="A149" s="150"/>
      <c r="B149" s="54"/>
      <c r="C149" s="21">
        <f t="shared" si="16"/>
        <v>1</v>
      </c>
      <c r="D149" s="666"/>
      <c r="E149" s="21">
        <f t="shared" si="17"/>
        <v>0.03</v>
      </c>
      <c r="F149" s="666"/>
      <c r="G149" s="21">
        <f t="shared" si="18"/>
        <v>0.05</v>
      </c>
      <c r="H149" s="666"/>
      <c r="I149" s="21">
        <f t="shared" si="19"/>
        <v>0.01</v>
      </c>
      <c r="J149" s="666"/>
      <c r="K149" s="21">
        <f t="shared" si="20"/>
        <v>0</v>
      </c>
      <c r="L149" s="666"/>
      <c r="M149" s="21">
        <f t="shared" si="21"/>
        <v>1</v>
      </c>
      <c r="N149" s="666"/>
      <c r="O149" s="21">
        <f t="shared" si="22"/>
        <v>1</v>
      </c>
      <c r="P149" s="666"/>
      <c r="Q149" s="21">
        <f t="shared" si="23"/>
        <v>0</v>
      </c>
      <c r="R149" s="662">
        <f t="shared" si="24"/>
        <v>0</v>
      </c>
      <c r="S149" s="316">
        <f t="shared" si="15"/>
        <v>0</v>
      </c>
    </row>
    <row r="150" spans="1:19">
      <c r="A150" s="150"/>
      <c r="B150" s="54"/>
      <c r="C150" s="21">
        <f t="shared" si="16"/>
        <v>1</v>
      </c>
      <c r="D150" s="666"/>
      <c r="E150" s="21">
        <f t="shared" si="17"/>
        <v>0.03</v>
      </c>
      <c r="F150" s="666"/>
      <c r="G150" s="21">
        <f t="shared" si="18"/>
        <v>0.05</v>
      </c>
      <c r="H150" s="666"/>
      <c r="I150" s="21">
        <f t="shared" si="19"/>
        <v>0.01</v>
      </c>
      <c r="J150" s="666"/>
      <c r="K150" s="21">
        <f t="shared" si="20"/>
        <v>0</v>
      </c>
      <c r="L150" s="666"/>
      <c r="M150" s="21">
        <f t="shared" si="21"/>
        <v>1</v>
      </c>
      <c r="N150" s="666"/>
      <c r="O150" s="21">
        <f t="shared" si="22"/>
        <v>1</v>
      </c>
      <c r="P150" s="666"/>
      <c r="Q150" s="21">
        <f t="shared" si="23"/>
        <v>0</v>
      </c>
      <c r="R150" s="662">
        <f t="shared" si="24"/>
        <v>0</v>
      </c>
      <c r="S150" s="316">
        <f t="shared" si="15"/>
        <v>0</v>
      </c>
    </row>
    <row r="151" spans="1:19">
      <c r="A151" s="150"/>
      <c r="B151" s="54"/>
      <c r="C151" s="21">
        <f t="shared" si="16"/>
        <v>1</v>
      </c>
      <c r="D151" s="666"/>
      <c r="E151" s="21">
        <f t="shared" si="17"/>
        <v>0.03</v>
      </c>
      <c r="F151" s="666"/>
      <c r="G151" s="21">
        <f t="shared" si="18"/>
        <v>0.05</v>
      </c>
      <c r="H151" s="666"/>
      <c r="I151" s="21">
        <f t="shared" si="19"/>
        <v>0.01</v>
      </c>
      <c r="J151" s="666"/>
      <c r="K151" s="21">
        <f t="shared" si="20"/>
        <v>0</v>
      </c>
      <c r="L151" s="666"/>
      <c r="M151" s="21">
        <f t="shared" si="21"/>
        <v>1</v>
      </c>
      <c r="N151" s="666"/>
      <c r="O151" s="21">
        <f t="shared" si="22"/>
        <v>1</v>
      </c>
      <c r="P151" s="666"/>
      <c r="Q151" s="21">
        <f t="shared" si="23"/>
        <v>0</v>
      </c>
      <c r="R151" s="662">
        <f t="shared" si="24"/>
        <v>0</v>
      </c>
      <c r="S151" s="316">
        <f t="shared" si="15"/>
        <v>0</v>
      </c>
    </row>
    <row r="152" spans="1:19">
      <c r="A152" s="150"/>
      <c r="B152" s="54"/>
      <c r="C152" s="21">
        <f t="shared" si="16"/>
        <v>1</v>
      </c>
      <c r="D152" s="666"/>
      <c r="E152" s="21">
        <f t="shared" si="17"/>
        <v>0.03</v>
      </c>
      <c r="F152" s="666"/>
      <c r="G152" s="21">
        <f t="shared" si="18"/>
        <v>0.05</v>
      </c>
      <c r="H152" s="666"/>
      <c r="I152" s="21">
        <f t="shared" si="19"/>
        <v>0.01</v>
      </c>
      <c r="J152" s="666"/>
      <c r="K152" s="21">
        <f t="shared" si="20"/>
        <v>0</v>
      </c>
      <c r="L152" s="666"/>
      <c r="M152" s="21">
        <f t="shared" si="21"/>
        <v>1</v>
      </c>
      <c r="N152" s="666"/>
      <c r="O152" s="21">
        <f t="shared" si="22"/>
        <v>1</v>
      </c>
      <c r="P152" s="666"/>
      <c r="Q152" s="21">
        <f t="shared" si="23"/>
        <v>0</v>
      </c>
      <c r="R152" s="662">
        <f t="shared" si="24"/>
        <v>0</v>
      </c>
      <c r="S152" s="316">
        <f t="shared" ref="S152:S215" si="25">ROUND(R152*B152/10000,0)</f>
        <v>0</v>
      </c>
    </row>
    <row r="153" spans="1:19">
      <c r="A153" s="150"/>
      <c r="B153" s="54"/>
      <c r="C153" s="21">
        <f t="shared" si="16"/>
        <v>1</v>
      </c>
      <c r="D153" s="666"/>
      <c r="E153" s="21">
        <f t="shared" si="17"/>
        <v>0.03</v>
      </c>
      <c r="F153" s="666"/>
      <c r="G153" s="21">
        <f t="shared" si="18"/>
        <v>0.05</v>
      </c>
      <c r="H153" s="666"/>
      <c r="I153" s="21">
        <f t="shared" si="19"/>
        <v>0.01</v>
      </c>
      <c r="J153" s="666"/>
      <c r="K153" s="21">
        <f t="shared" si="20"/>
        <v>0</v>
      </c>
      <c r="L153" s="666"/>
      <c r="M153" s="21">
        <f t="shared" si="21"/>
        <v>1</v>
      </c>
      <c r="N153" s="666"/>
      <c r="O153" s="21">
        <f t="shared" si="22"/>
        <v>1</v>
      </c>
      <c r="P153" s="666"/>
      <c r="Q153" s="21">
        <f t="shared" si="23"/>
        <v>0</v>
      </c>
      <c r="R153" s="662">
        <f t="shared" si="24"/>
        <v>0</v>
      </c>
      <c r="S153" s="316">
        <f t="shared" si="25"/>
        <v>0</v>
      </c>
    </row>
    <row r="154" spans="1:19">
      <c r="A154" s="150"/>
      <c r="B154" s="54"/>
      <c r="C154" s="21">
        <f t="shared" ref="C154:C217" si="26">IF(B154="",1,(LOOKUP(B154,$3:$3,$4:$4)-LOOKUP($B$24,$3:$3,$4:$4)+100)/100)</f>
        <v>1</v>
      </c>
      <c r="D154" s="666"/>
      <c r="E154" s="21">
        <f t="shared" ref="E154:E217" si="27">(SUMIF($5:$5,D154,$6:$6)-SUMIF($5:$5,$D$24,$6:$6)+100)/100</f>
        <v>0.03</v>
      </c>
      <c r="F154" s="666"/>
      <c r="G154" s="21">
        <f t="shared" ref="G154:G217" si="28">(SUMIF($7:$7,F154,$8:$8)-SUMIF($7:$7,$F$24,$8:$8)+100)/100</f>
        <v>0.05</v>
      </c>
      <c r="H154" s="666"/>
      <c r="I154" s="21">
        <f t="shared" ref="I154:I217" si="29">(SUMIF($9:$9,H154,$10:$10)-SUMIF($9:$9,$H$24,$10:$10)+100)/100</f>
        <v>0.01</v>
      </c>
      <c r="J154" s="666"/>
      <c r="K154" s="21">
        <f t="shared" ref="K154:K217" si="30">(SUMIF($11:$11,J154,$12:$12)-SUMIF($11:$11,$J$24,$12:$12)+100)/100</f>
        <v>0</v>
      </c>
      <c r="L154" s="666"/>
      <c r="M154" s="21">
        <f t="shared" ref="M154:M217" si="31">(SUMIF($13:$13,L154,$14:$14)-SUMIF($13:$13,$L$24,$14:$14)+100)/100</f>
        <v>1</v>
      </c>
      <c r="N154" s="666"/>
      <c r="O154" s="21">
        <f t="shared" ref="O154:O217" si="32">(SUMIF($15:$15,N154,$16:$16)-SUMIF($15:$15,$N$24,$16:$16)+100)/100</f>
        <v>1</v>
      </c>
      <c r="P154" s="666"/>
      <c r="Q154" s="21">
        <f t="shared" ref="Q154:Q217" si="33">(SUMIF($17:$17,P154,$18:$18)-SUMIF($17:$17,$P$24,$18:$18)+100)/100</f>
        <v>0</v>
      </c>
      <c r="R154" s="662">
        <f t="shared" ref="R154:R217" si="34">IF(B154="",0,ROUND($R$24*C154*E154*G154*I154*K154*M154*O154*Q154,0))</f>
        <v>0</v>
      </c>
      <c r="S154" s="316">
        <f t="shared" si="25"/>
        <v>0</v>
      </c>
    </row>
    <row r="155" spans="1:19">
      <c r="A155" s="150"/>
      <c r="B155" s="54"/>
      <c r="C155" s="21">
        <f t="shared" si="26"/>
        <v>1</v>
      </c>
      <c r="D155" s="666"/>
      <c r="E155" s="21">
        <f t="shared" si="27"/>
        <v>0.03</v>
      </c>
      <c r="F155" s="666"/>
      <c r="G155" s="21">
        <f t="shared" si="28"/>
        <v>0.05</v>
      </c>
      <c r="H155" s="666"/>
      <c r="I155" s="21">
        <f t="shared" si="29"/>
        <v>0.01</v>
      </c>
      <c r="J155" s="666"/>
      <c r="K155" s="21">
        <f t="shared" si="30"/>
        <v>0</v>
      </c>
      <c r="L155" s="666"/>
      <c r="M155" s="21">
        <f t="shared" si="31"/>
        <v>1</v>
      </c>
      <c r="N155" s="666"/>
      <c r="O155" s="21">
        <f t="shared" si="32"/>
        <v>1</v>
      </c>
      <c r="P155" s="666"/>
      <c r="Q155" s="21">
        <f t="shared" si="33"/>
        <v>0</v>
      </c>
      <c r="R155" s="662">
        <f t="shared" si="34"/>
        <v>0</v>
      </c>
      <c r="S155" s="316">
        <f t="shared" si="25"/>
        <v>0</v>
      </c>
    </row>
    <row r="156" spans="1:19">
      <c r="A156" s="150"/>
      <c r="B156" s="54"/>
      <c r="C156" s="21">
        <f t="shared" si="26"/>
        <v>1</v>
      </c>
      <c r="D156" s="666"/>
      <c r="E156" s="21">
        <f t="shared" si="27"/>
        <v>0.03</v>
      </c>
      <c r="F156" s="666"/>
      <c r="G156" s="21">
        <f t="shared" si="28"/>
        <v>0.05</v>
      </c>
      <c r="H156" s="666"/>
      <c r="I156" s="21">
        <f t="shared" si="29"/>
        <v>0.01</v>
      </c>
      <c r="J156" s="666"/>
      <c r="K156" s="21">
        <f t="shared" si="30"/>
        <v>0</v>
      </c>
      <c r="L156" s="666"/>
      <c r="M156" s="21">
        <f t="shared" si="31"/>
        <v>1</v>
      </c>
      <c r="N156" s="666"/>
      <c r="O156" s="21">
        <f t="shared" si="32"/>
        <v>1</v>
      </c>
      <c r="P156" s="666"/>
      <c r="Q156" s="21">
        <f t="shared" si="33"/>
        <v>0</v>
      </c>
      <c r="R156" s="662">
        <f t="shared" si="34"/>
        <v>0</v>
      </c>
      <c r="S156" s="316">
        <f t="shared" si="25"/>
        <v>0</v>
      </c>
    </row>
    <row r="157" spans="1:19">
      <c r="A157" s="150"/>
      <c r="B157" s="54"/>
      <c r="C157" s="21">
        <f t="shared" si="26"/>
        <v>1</v>
      </c>
      <c r="D157" s="666"/>
      <c r="E157" s="21">
        <f t="shared" si="27"/>
        <v>0.03</v>
      </c>
      <c r="F157" s="666"/>
      <c r="G157" s="21">
        <f t="shared" si="28"/>
        <v>0.05</v>
      </c>
      <c r="H157" s="666"/>
      <c r="I157" s="21">
        <f t="shared" si="29"/>
        <v>0.01</v>
      </c>
      <c r="J157" s="666"/>
      <c r="K157" s="21">
        <f t="shared" si="30"/>
        <v>0</v>
      </c>
      <c r="L157" s="666"/>
      <c r="M157" s="21">
        <f t="shared" si="31"/>
        <v>1</v>
      </c>
      <c r="N157" s="666"/>
      <c r="O157" s="21">
        <f t="shared" si="32"/>
        <v>1</v>
      </c>
      <c r="P157" s="666"/>
      <c r="Q157" s="21">
        <f t="shared" si="33"/>
        <v>0</v>
      </c>
      <c r="R157" s="662">
        <f t="shared" si="34"/>
        <v>0</v>
      </c>
      <c r="S157" s="316">
        <f t="shared" si="25"/>
        <v>0</v>
      </c>
    </row>
    <row r="158" spans="1:19">
      <c r="A158" s="150"/>
      <c r="B158" s="54"/>
      <c r="C158" s="21">
        <f t="shared" si="26"/>
        <v>1</v>
      </c>
      <c r="D158" s="666"/>
      <c r="E158" s="21">
        <f t="shared" si="27"/>
        <v>0.03</v>
      </c>
      <c r="F158" s="666"/>
      <c r="G158" s="21">
        <f t="shared" si="28"/>
        <v>0.05</v>
      </c>
      <c r="H158" s="666"/>
      <c r="I158" s="21">
        <f t="shared" si="29"/>
        <v>0.01</v>
      </c>
      <c r="J158" s="666"/>
      <c r="K158" s="21">
        <f t="shared" si="30"/>
        <v>0</v>
      </c>
      <c r="L158" s="666"/>
      <c r="M158" s="21">
        <f t="shared" si="31"/>
        <v>1</v>
      </c>
      <c r="N158" s="666"/>
      <c r="O158" s="21">
        <f t="shared" si="32"/>
        <v>1</v>
      </c>
      <c r="P158" s="666"/>
      <c r="Q158" s="21">
        <f t="shared" si="33"/>
        <v>0</v>
      </c>
      <c r="R158" s="662">
        <f t="shared" si="34"/>
        <v>0</v>
      </c>
      <c r="S158" s="316">
        <f t="shared" si="25"/>
        <v>0</v>
      </c>
    </row>
    <row r="159" spans="1:19">
      <c r="A159" s="150"/>
      <c r="B159" s="54"/>
      <c r="C159" s="21">
        <f t="shared" si="26"/>
        <v>1</v>
      </c>
      <c r="D159" s="666"/>
      <c r="E159" s="21">
        <f t="shared" si="27"/>
        <v>0.03</v>
      </c>
      <c r="F159" s="666"/>
      <c r="G159" s="21">
        <f t="shared" si="28"/>
        <v>0.05</v>
      </c>
      <c r="H159" s="666"/>
      <c r="I159" s="21">
        <f t="shared" si="29"/>
        <v>0.01</v>
      </c>
      <c r="J159" s="666"/>
      <c r="K159" s="21">
        <f t="shared" si="30"/>
        <v>0</v>
      </c>
      <c r="L159" s="666"/>
      <c r="M159" s="21">
        <f t="shared" si="31"/>
        <v>1</v>
      </c>
      <c r="N159" s="666"/>
      <c r="O159" s="21">
        <f t="shared" si="32"/>
        <v>1</v>
      </c>
      <c r="P159" s="666"/>
      <c r="Q159" s="21">
        <f t="shared" si="33"/>
        <v>0</v>
      </c>
      <c r="R159" s="662">
        <f t="shared" si="34"/>
        <v>0</v>
      </c>
      <c r="S159" s="316">
        <f t="shared" si="25"/>
        <v>0</v>
      </c>
    </row>
    <row r="160" spans="1:19">
      <c r="A160" s="150"/>
      <c r="B160" s="54"/>
      <c r="C160" s="21">
        <f t="shared" si="26"/>
        <v>1</v>
      </c>
      <c r="D160" s="666"/>
      <c r="E160" s="21">
        <f t="shared" si="27"/>
        <v>0.03</v>
      </c>
      <c r="F160" s="666"/>
      <c r="G160" s="21">
        <f t="shared" si="28"/>
        <v>0.05</v>
      </c>
      <c r="H160" s="666"/>
      <c r="I160" s="21">
        <f t="shared" si="29"/>
        <v>0.01</v>
      </c>
      <c r="J160" s="666"/>
      <c r="K160" s="21">
        <f t="shared" si="30"/>
        <v>0</v>
      </c>
      <c r="L160" s="666"/>
      <c r="M160" s="21">
        <f t="shared" si="31"/>
        <v>1</v>
      </c>
      <c r="N160" s="666"/>
      <c r="O160" s="21">
        <f t="shared" si="32"/>
        <v>1</v>
      </c>
      <c r="P160" s="666"/>
      <c r="Q160" s="21">
        <f t="shared" si="33"/>
        <v>0</v>
      </c>
      <c r="R160" s="662">
        <f t="shared" si="34"/>
        <v>0</v>
      </c>
      <c r="S160" s="316">
        <f t="shared" si="25"/>
        <v>0</v>
      </c>
    </row>
    <row r="161" spans="1:19">
      <c r="A161" s="150"/>
      <c r="B161" s="54"/>
      <c r="C161" s="21">
        <f t="shared" si="26"/>
        <v>1</v>
      </c>
      <c r="D161" s="666"/>
      <c r="E161" s="21">
        <f t="shared" si="27"/>
        <v>0.03</v>
      </c>
      <c r="F161" s="666"/>
      <c r="G161" s="21">
        <f t="shared" si="28"/>
        <v>0.05</v>
      </c>
      <c r="H161" s="666"/>
      <c r="I161" s="21">
        <f t="shared" si="29"/>
        <v>0.01</v>
      </c>
      <c r="J161" s="666"/>
      <c r="K161" s="21">
        <f t="shared" si="30"/>
        <v>0</v>
      </c>
      <c r="L161" s="666"/>
      <c r="M161" s="21">
        <f t="shared" si="31"/>
        <v>1</v>
      </c>
      <c r="N161" s="666"/>
      <c r="O161" s="21">
        <f t="shared" si="32"/>
        <v>1</v>
      </c>
      <c r="P161" s="666"/>
      <c r="Q161" s="21">
        <f t="shared" si="33"/>
        <v>0</v>
      </c>
      <c r="R161" s="662">
        <f t="shared" si="34"/>
        <v>0</v>
      </c>
      <c r="S161" s="316">
        <f t="shared" si="25"/>
        <v>0</v>
      </c>
    </row>
    <row r="162" spans="1:19">
      <c r="A162" s="150"/>
      <c r="B162" s="54"/>
      <c r="C162" s="21">
        <f t="shared" si="26"/>
        <v>1</v>
      </c>
      <c r="D162" s="666"/>
      <c r="E162" s="21">
        <f t="shared" si="27"/>
        <v>0.03</v>
      </c>
      <c r="F162" s="666"/>
      <c r="G162" s="21">
        <f t="shared" si="28"/>
        <v>0.05</v>
      </c>
      <c r="H162" s="666"/>
      <c r="I162" s="21">
        <f t="shared" si="29"/>
        <v>0.01</v>
      </c>
      <c r="J162" s="666"/>
      <c r="K162" s="21">
        <f t="shared" si="30"/>
        <v>0</v>
      </c>
      <c r="L162" s="666"/>
      <c r="M162" s="21">
        <f t="shared" si="31"/>
        <v>1</v>
      </c>
      <c r="N162" s="666"/>
      <c r="O162" s="21">
        <f t="shared" si="32"/>
        <v>1</v>
      </c>
      <c r="P162" s="666"/>
      <c r="Q162" s="21">
        <f t="shared" si="33"/>
        <v>0</v>
      </c>
      <c r="R162" s="662">
        <f t="shared" si="34"/>
        <v>0</v>
      </c>
      <c r="S162" s="316">
        <f t="shared" si="25"/>
        <v>0</v>
      </c>
    </row>
    <row r="163" spans="1:19">
      <c r="A163" s="150"/>
      <c r="B163" s="54"/>
      <c r="C163" s="21">
        <f t="shared" si="26"/>
        <v>1</v>
      </c>
      <c r="D163" s="666"/>
      <c r="E163" s="21">
        <f t="shared" si="27"/>
        <v>0.03</v>
      </c>
      <c r="F163" s="666"/>
      <c r="G163" s="21">
        <f t="shared" si="28"/>
        <v>0.05</v>
      </c>
      <c r="H163" s="666"/>
      <c r="I163" s="21">
        <f t="shared" si="29"/>
        <v>0.01</v>
      </c>
      <c r="J163" s="666"/>
      <c r="K163" s="21">
        <f t="shared" si="30"/>
        <v>0</v>
      </c>
      <c r="L163" s="666"/>
      <c r="M163" s="21">
        <f t="shared" si="31"/>
        <v>1</v>
      </c>
      <c r="N163" s="666"/>
      <c r="O163" s="21">
        <f t="shared" si="32"/>
        <v>1</v>
      </c>
      <c r="P163" s="666"/>
      <c r="Q163" s="21">
        <f t="shared" si="33"/>
        <v>0</v>
      </c>
      <c r="R163" s="662">
        <f t="shared" si="34"/>
        <v>0</v>
      </c>
      <c r="S163" s="316">
        <f t="shared" si="25"/>
        <v>0</v>
      </c>
    </row>
    <row r="164" spans="1:19">
      <c r="A164" s="150"/>
      <c r="B164" s="54"/>
      <c r="C164" s="21">
        <f t="shared" si="26"/>
        <v>1</v>
      </c>
      <c r="D164" s="666"/>
      <c r="E164" s="21">
        <f t="shared" si="27"/>
        <v>0.03</v>
      </c>
      <c r="F164" s="666"/>
      <c r="G164" s="21">
        <f t="shared" si="28"/>
        <v>0.05</v>
      </c>
      <c r="H164" s="666"/>
      <c r="I164" s="21">
        <f t="shared" si="29"/>
        <v>0.01</v>
      </c>
      <c r="J164" s="666"/>
      <c r="K164" s="21">
        <f t="shared" si="30"/>
        <v>0</v>
      </c>
      <c r="L164" s="666"/>
      <c r="M164" s="21">
        <f t="shared" si="31"/>
        <v>1</v>
      </c>
      <c r="N164" s="666"/>
      <c r="O164" s="21">
        <f t="shared" si="32"/>
        <v>1</v>
      </c>
      <c r="P164" s="666"/>
      <c r="Q164" s="21">
        <f t="shared" si="33"/>
        <v>0</v>
      </c>
      <c r="R164" s="662">
        <f t="shared" si="34"/>
        <v>0</v>
      </c>
      <c r="S164" s="316">
        <f t="shared" si="25"/>
        <v>0</v>
      </c>
    </row>
    <row r="165" spans="1:19">
      <c r="A165" s="150"/>
      <c r="B165" s="54"/>
      <c r="C165" s="21">
        <f t="shared" si="26"/>
        <v>1</v>
      </c>
      <c r="D165" s="666"/>
      <c r="E165" s="21">
        <f t="shared" si="27"/>
        <v>0.03</v>
      </c>
      <c r="F165" s="666"/>
      <c r="G165" s="21">
        <f t="shared" si="28"/>
        <v>0.05</v>
      </c>
      <c r="H165" s="666"/>
      <c r="I165" s="21">
        <f t="shared" si="29"/>
        <v>0.01</v>
      </c>
      <c r="J165" s="666"/>
      <c r="K165" s="21">
        <f t="shared" si="30"/>
        <v>0</v>
      </c>
      <c r="L165" s="666"/>
      <c r="M165" s="21">
        <f t="shared" si="31"/>
        <v>1</v>
      </c>
      <c r="N165" s="666"/>
      <c r="O165" s="21">
        <f t="shared" si="32"/>
        <v>1</v>
      </c>
      <c r="P165" s="666"/>
      <c r="Q165" s="21">
        <f t="shared" si="33"/>
        <v>0</v>
      </c>
      <c r="R165" s="662">
        <f t="shared" si="34"/>
        <v>0</v>
      </c>
      <c r="S165" s="316">
        <f t="shared" si="25"/>
        <v>0</v>
      </c>
    </row>
    <row r="166" spans="1:19">
      <c r="A166" s="150"/>
      <c r="B166" s="54"/>
      <c r="C166" s="21">
        <f t="shared" si="26"/>
        <v>1</v>
      </c>
      <c r="D166" s="666"/>
      <c r="E166" s="21">
        <f t="shared" si="27"/>
        <v>0.03</v>
      </c>
      <c r="F166" s="666"/>
      <c r="G166" s="21">
        <f t="shared" si="28"/>
        <v>0.05</v>
      </c>
      <c r="H166" s="666"/>
      <c r="I166" s="21">
        <f t="shared" si="29"/>
        <v>0.01</v>
      </c>
      <c r="J166" s="666"/>
      <c r="K166" s="21">
        <f t="shared" si="30"/>
        <v>0</v>
      </c>
      <c r="L166" s="666"/>
      <c r="M166" s="21">
        <f t="shared" si="31"/>
        <v>1</v>
      </c>
      <c r="N166" s="666"/>
      <c r="O166" s="21">
        <f t="shared" si="32"/>
        <v>1</v>
      </c>
      <c r="P166" s="666"/>
      <c r="Q166" s="21">
        <f t="shared" si="33"/>
        <v>0</v>
      </c>
      <c r="R166" s="662">
        <f t="shared" si="34"/>
        <v>0</v>
      </c>
      <c r="S166" s="316">
        <f t="shared" si="25"/>
        <v>0</v>
      </c>
    </row>
    <row r="167" spans="1:19">
      <c r="A167" s="150"/>
      <c r="B167" s="54"/>
      <c r="C167" s="21">
        <f t="shared" si="26"/>
        <v>1</v>
      </c>
      <c r="D167" s="666"/>
      <c r="E167" s="21">
        <f t="shared" si="27"/>
        <v>0.03</v>
      </c>
      <c r="F167" s="666"/>
      <c r="G167" s="21">
        <f t="shared" si="28"/>
        <v>0.05</v>
      </c>
      <c r="H167" s="666"/>
      <c r="I167" s="21">
        <f t="shared" si="29"/>
        <v>0.01</v>
      </c>
      <c r="J167" s="666"/>
      <c r="K167" s="21">
        <f t="shared" si="30"/>
        <v>0</v>
      </c>
      <c r="L167" s="666"/>
      <c r="M167" s="21">
        <f t="shared" si="31"/>
        <v>1</v>
      </c>
      <c r="N167" s="666"/>
      <c r="O167" s="21">
        <f t="shared" si="32"/>
        <v>1</v>
      </c>
      <c r="P167" s="666"/>
      <c r="Q167" s="21">
        <f t="shared" si="33"/>
        <v>0</v>
      </c>
      <c r="R167" s="662">
        <f t="shared" si="34"/>
        <v>0</v>
      </c>
      <c r="S167" s="316">
        <f t="shared" si="25"/>
        <v>0</v>
      </c>
    </row>
    <row r="168" spans="1:19">
      <c r="A168" s="150"/>
      <c r="B168" s="54"/>
      <c r="C168" s="21">
        <f t="shared" si="26"/>
        <v>1</v>
      </c>
      <c r="D168" s="666"/>
      <c r="E168" s="21">
        <f t="shared" si="27"/>
        <v>0.03</v>
      </c>
      <c r="F168" s="666"/>
      <c r="G168" s="21">
        <f t="shared" si="28"/>
        <v>0.05</v>
      </c>
      <c r="H168" s="666"/>
      <c r="I168" s="21">
        <f t="shared" si="29"/>
        <v>0.01</v>
      </c>
      <c r="J168" s="666"/>
      <c r="K168" s="21">
        <f t="shared" si="30"/>
        <v>0</v>
      </c>
      <c r="L168" s="666"/>
      <c r="M168" s="21">
        <f t="shared" si="31"/>
        <v>1</v>
      </c>
      <c r="N168" s="666"/>
      <c r="O168" s="21">
        <f t="shared" si="32"/>
        <v>1</v>
      </c>
      <c r="P168" s="666"/>
      <c r="Q168" s="21">
        <f t="shared" si="33"/>
        <v>0</v>
      </c>
      <c r="R168" s="662">
        <f t="shared" si="34"/>
        <v>0</v>
      </c>
      <c r="S168" s="316">
        <f t="shared" si="25"/>
        <v>0</v>
      </c>
    </row>
    <row r="169" spans="1:19">
      <c r="A169" s="150"/>
      <c r="B169" s="54"/>
      <c r="C169" s="21">
        <f t="shared" si="26"/>
        <v>1</v>
      </c>
      <c r="D169" s="666"/>
      <c r="E169" s="21">
        <f t="shared" si="27"/>
        <v>0.03</v>
      </c>
      <c r="F169" s="666"/>
      <c r="G169" s="21">
        <f t="shared" si="28"/>
        <v>0.05</v>
      </c>
      <c r="H169" s="666"/>
      <c r="I169" s="21">
        <f t="shared" si="29"/>
        <v>0.01</v>
      </c>
      <c r="J169" s="666"/>
      <c r="K169" s="21">
        <f t="shared" si="30"/>
        <v>0</v>
      </c>
      <c r="L169" s="666"/>
      <c r="M169" s="21">
        <f t="shared" si="31"/>
        <v>1</v>
      </c>
      <c r="N169" s="666"/>
      <c r="O169" s="21">
        <f t="shared" si="32"/>
        <v>1</v>
      </c>
      <c r="P169" s="666"/>
      <c r="Q169" s="21">
        <f t="shared" si="33"/>
        <v>0</v>
      </c>
      <c r="R169" s="662">
        <f t="shared" si="34"/>
        <v>0</v>
      </c>
      <c r="S169" s="316">
        <f t="shared" si="25"/>
        <v>0</v>
      </c>
    </row>
    <row r="170" spans="1:19">
      <c r="A170" s="150"/>
      <c r="B170" s="54"/>
      <c r="C170" s="21">
        <f t="shared" si="26"/>
        <v>1</v>
      </c>
      <c r="D170" s="666"/>
      <c r="E170" s="21">
        <f t="shared" si="27"/>
        <v>0.03</v>
      </c>
      <c r="F170" s="666"/>
      <c r="G170" s="21">
        <f t="shared" si="28"/>
        <v>0.05</v>
      </c>
      <c r="H170" s="666"/>
      <c r="I170" s="21">
        <f t="shared" si="29"/>
        <v>0.01</v>
      </c>
      <c r="J170" s="666"/>
      <c r="K170" s="21">
        <f t="shared" si="30"/>
        <v>0</v>
      </c>
      <c r="L170" s="666"/>
      <c r="M170" s="21">
        <f t="shared" si="31"/>
        <v>1</v>
      </c>
      <c r="N170" s="666"/>
      <c r="O170" s="21">
        <f t="shared" si="32"/>
        <v>1</v>
      </c>
      <c r="P170" s="666"/>
      <c r="Q170" s="21">
        <f t="shared" si="33"/>
        <v>0</v>
      </c>
      <c r="R170" s="662">
        <f t="shared" si="34"/>
        <v>0</v>
      </c>
      <c r="S170" s="316">
        <f t="shared" si="25"/>
        <v>0</v>
      </c>
    </row>
    <row r="171" spans="1:19">
      <c r="A171" s="150"/>
      <c r="B171" s="54"/>
      <c r="C171" s="21">
        <f t="shared" si="26"/>
        <v>1</v>
      </c>
      <c r="D171" s="666"/>
      <c r="E171" s="21">
        <f t="shared" si="27"/>
        <v>0.03</v>
      </c>
      <c r="F171" s="666"/>
      <c r="G171" s="21">
        <f t="shared" si="28"/>
        <v>0.05</v>
      </c>
      <c r="H171" s="666"/>
      <c r="I171" s="21">
        <f t="shared" si="29"/>
        <v>0.01</v>
      </c>
      <c r="J171" s="666"/>
      <c r="K171" s="21">
        <f t="shared" si="30"/>
        <v>0</v>
      </c>
      <c r="L171" s="666"/>
      <c r="M171" s="21">
        <f t="shared" si="31"/>
        <v>1</v>
      </c>
      <c r="N171" s="666"/>
      <c r="O171" s="21">
        <f t="shared" si="32"/>
        <v>1</v>
      </c>
      <c r="P171" s="666"/>
      <c r="Q171" s="21">
        <f t="shared" si="33"/>
        <v>0</v>
      </c>
      <c r="R171" s="662">
        <f t="shared" si="34"/>
        <v>0</v>
      </c>
      <c r="S171" s="316">
        <f t="shared" si="25"/>
        <v>0</v>
      </c>
    </row>
    <row r="172" spans="1:19">
      <c r="A172" s="150"/>
      <c r="B172" s="54"/>
      <c r="C172" s="21">
        <f t="shared" si="26"/>
        <v>1</v>
      </c>
      <c r="D172" s="666"/>
      <c r="E172" s="21">
        <f t="shared" si="27"/>
        <v>0.03</v>
      </c>
      <c r="F172" s="666"/>
      <c r="G172" s="21">
        <f t="shared" si="28"/>
        <v>0.05</v>
      </c>
      <c r="H172" s="666"/>
      <c r="I172" s="21">
        <f t="shared" si="29"/>
        <v>0.01</v>
      </c>
      <c r="J172" s="666"/>
      <c r="K172" s="21">
        <f t="shared" si="30"/>
        <v>0</v>
      </c>
      <c r="L172" s="666"/>
      <c r="M172" s="21">
        <f t="shared" si="31"/>
        <v>1</v>
      </c>
      <c r="N172" s="666"/>
      <c r="O172" s="21">
        <f t="shared" si="32"/>
        <v>1</v>
      </c>
      <c r="P172" s="666"/>
      <c r="Q172" s="21">
        <f t="shared" si="33"/>
        <v>0</v>
      </c>
      <c r="R172" s="662">
        <f t="shared" si="34"/>
        <v>0</v>
      </c>
      <c r="S172" s="316">
        <f t="shared" si="25"/>
        <v>0</v>
      </c>
    </row>
    <row r="173" spans="1:19">
      <c r="A173" s="150"/>
      <c r="B173" s="54"/>
      <c r="C173" s="21">
        <f t="shared" si="26"/>
        <v>1</v>
      </c>
      <c r="D173" s="666"/>
      <c r="E173" s="21">
        <f t="shared" si="27"/>
        <v>0.03</v>
      </c>
      <c r="F173" s="666"/>
      <c r="G173" s="21">
        <f t="shared" si="28"/>
        <v>0.05</v>
      </c>
      <c r="H173" s="666"/>
      <c r="I173" s="21">
        <f t="shared" si="29"/>
        <v>0.01</v>
      </c>
      <c r="J173" s="666"/>
      <c r="K173" s="21">
        <f t="shared" si="30"/>
        <v>0</v>
      </c>
      <c r="L173" s="666"/>
      <c r="M173" s="21">
        <f t="shared" si="31"/>
        <v>1</v>
      </c>
      <c r="N173" s="666"/>
      <c r="O173" s="21">
        <f t="shared" si="32"/>
        <v>1</v>
      </c>
      <c r="P173" s="666"/>
      <c r="Q173" s="21">
        <f t="shared" si="33"/>
        <v>0</v>
      </c>
      <c r="R173" s="662">
        <f t="shared" si="34"/>
        <v>0</v>
      </c>
      <c r="S173" s="316">
        <f t="shared" si="25"/>
        <v>0</v>
      </c>
    </row>
    <row r="174" spans="1:19">
      <c r="A174" s="150"/>
      <c r="B174" s="54"/>
      <c r="C174" s="21">
        <f t="shared" si="26"/>
        <v>1</v>
      </c>
      <c r="D174" s="666"/>
      <c r="E174" s="21">
        <f t="shared" si="27"/>
        <v>0.03</v>
      </c>
      <c r="F174" s="666"/>
      <c r="G174" s="21">
        <f t="shared" si="28"/>
        <v>0.05</v>
      </c>
      <c r="H174" s="666"/>
      <c r="I174" s="21">
        <f t="shared" si="29"/>
        <v>0.01</v>
      </c>
      <c r="J174" s="666"/>
      <c r="K174" s="21">
        <f t="shared" si="30"/>
        <v>0</v>
      </c>
      <c r="L174" s="666"/>
      <c r="M174" s="21">
        <f t="shared" si="31"/>
        <v>1</v>
      </c>
      <c r="N174" s="666"/>
      <c r="O174" s="21">
        <f t="shared" si="32"/>
        <v>1</v>
      </c>
      <c r="P174" s="666"/>
      <c r="Q174" s="21">
        <f t="shared" si="33"/>
        <v>0</v>
      </c>
      <c r="R174" s="662">
        <f t="shared" si="34"/>
        <v>0</v>
      </c>
      <c r="S174" s="316">
        <f t="shared" si="25"/>
        <v>0</v>
      </c>
    </row>
    <row r="175" spans="1:19">
      <c r="A175" s="150"/>
      <c r="B175" s="54"/>
      <c r="C175" s="21">
        <f t="shared" si="26"/>
        <v>1</v>
      </c>
      <c r="D175" s="666"/>
      <c r="E175" s="21">
        <f t="shared" si="27"/>
        <v>0.03</v>
      </c>
      <c r="F175" s="666"/>
      <c r="G175" s="21">
        <f t="shared" si="28"/>
        <v>0.05</v>
      </c>
      <c r="H175" s="666"/>
      <c r="I175" s="21">
        <f t="shared" si="29"/>
        <v>0.01</v>
      </c>
      <c r="J175" s="666"/>
      <c r="K175" s="21">
        <f t="shared" si="30"/>
        <v>0</v>
      </c>
      <c r="L175" s="666"/>
      <c r="M175" s="21">
        <f t="shared" si="31"/>
        <v>1</v>
      </c>
      <c r="N175" s="666"/>
      <c r="O175" s="21">
        <f t="shared" si="32"/>
        <v>1</v>
      </c>
      <c r="P175" s="666"/>
      <c r="Q175" s="21">
        <f t="shared" si="33"/>
        <v>0</v>
      </c>
      <c r="R175" s="662">
        <f t="shared" si="34"/>
        <v>0</v>
      </c>
      <c r="S175" s="316">
        <f t="shared" si="25"/>
        <v>0</v>
      </c>
    </row>
    <row r="176" spans="1:19">
      <c r="A176" s="150"/>
      <c r="B176" s="54"/>
      <c r="C176" s="21">
        <f t="shared" si="26"/>
        <v>1</v>
      </c>
      <c r="D176" s="666"/>
      <c r="E176" s="21">
        <f t="shared" si="27"/>
        <v>0.03</v>
      </c>
      <c r="F176" s="666"/>
      <c r="G176" s="21">
        <f t="shared" si="28"/>
        <v>0.05</v>
      </c>
      <c r="H176" s="666"/>
      <c r="I176" s="21">
        <f t="shared" si="29"/>
        <v>0.01</v>
      </c>
      <c r="J176" s="666"/>
      <c r="K176" s="21">
        <f t="shared" si="30"/>
        <v>0</v>
      </c>
      <c r="L176" s="666"/>
      <c r="M176" s="21">
        <f t="shared" si="31"/>
        <v>1</v>
      </c>
      <c r="N176" s="666"/>
      <c r="O176" s="21">
        <f t="shared" si="32"/>
        <v>1</v>
      </c>
      <c r="P176" s="666"/>
      <c r="Q176" s="21">
        <f t="shared" si="33"/>
        <v>0</v>
      </c>
      <c r="R176" s="662">
        <f t="shared" si="34"/>
        <v>0</v>
      </c>
      <c r="S176" s="316">
        <f t="shared" si="25"/>
        <v>0</v>
      </c>
    </row>
    <row r="177" spans="1:19">
      <c r="A177" s="150"/>
      <c r="B177" s="54"/>
      <c r="C177" s="21">
        <f t="shared" si="26"/>
        <v>1</v>
      </c>
      <c r="D177" s="666"/>
      <c r="E177" s="21">
        <f t="shared" si="27"/>
        <v>0.03</v>
      </c>
      <c r="F177" s="666"/>
      <c r="G177" s="21">
        <f t="shared" si="28"/>
        <v>0.05</v>
      </c>
      <c r="H177" s="666"/>
      <c r="I177" s="21">
        <f t="shared" si="29"/>
        <v>0.01</v>
      </c>
      <c r="J177" s="666"/>
      <c r="K177" s="21">
        <f t="shared" si="30"/>
        <v>0</v>
      </c>
      <c r="L177" s="666"/>
      <c r="M177" s="21">
        <f t="shared" si="31"/>
        <v>1</v>
      </c>
      <c r="N177" s="666"/>
      <c r="O177" s="21">
        <f t="shared" si="32"/>
        <v>1</v>
      </c>
      <c r="P177" s="666"/>
      <c r="Q177" s="21">
        <f t="shared" si="33"/>
        <v>0</v>
      </c>
      <c r="R177" s="662">
        <f t="shared" si="34"/>
        <v>0</v>
      </c>
      <c r="S177" s="316">
        <f t="shared" si="25"/>
        <v>0</v>
      </c>
    </row>
    <row r="178" spans="1:19">
      <c r="A178" s="150"/>
      <c r="B178" s="54"/>
      <c r="C178" s="21">
        <f t="shared" si="26"/>
        <v>1</v>
      </c>
      <c r="D178" s="666"/>
      <c r="E178" s="21">
        <f t="shared" si="27"/>
        <v>0.03</v>
      </c>
      <c r="F178" s="666"/>
      <c r="G178" s="21">
        <f t="shared" si="28"/>
        <v>0.05</v>
      </c>
      <c r="H178" s="666"/>
      <c r="I178" s="21">
        <f t="shared" si="29"/>
        <v>0.01</v>
      </c>
      <c r="J178" s="666"/>
      <c r="K178" s="21">
        <f t="shared" si="30"/>
        <v>0</v>
      </c>
      <c r="L178" s="666"/>
      <c r="M178" s="21">
        <f t="shared" si="31"/>
        <v>1</v>
      </c>
      <c r="N178" s="666"/>
      <c r="O178" s="21">
        <f t="shared" si="32"/>
        <v>1</v>
      </c>
      <c r="P178" s="666"/>
      <c r="Q178" s="21">
        <f t="shared" si="33"/>
        <v>0</v>
      </c>
      <c r="R178" s="662">
        <f t="shared" si="34"/>
        <v>0</v>
      </c>
      <c r="S178" s="316">
        <f t="shared" si="25"/>
        <v>0</v>
      </c>
    </row>
    <row r="179" spans="1:19">
      <c r="A179" s="150"/>
      <c r="B179" s="54"/>
      <c r="C179" s="21">
        <f t="shared" si="26"/>
        <v>1</v>
      </c>
      <c r="D179" s="666"/>
      <c r="E179" s="21">
        <f t="shared" si="27"/>
        <v>0.03</v>
      </c>
      <c r="F179" s="666"/>
      <c r="G179" s="21">
        <f t="shared" si="28"/>
        <v>0.05</v>
      </c>
      <c r="H179" s="666"/>
      <c r="I179" s="21">
        <f t="shared" si="29"/>
        <v>0.01</v>
      </c>
      <c r="J179" s="666"/>
      <c r="K179" s="21">
        <f t="shared" si="30"/>
        <v>0</v>
      </c>
      <c r="L179" s="666"/>
      <c r="M179" s="21">
        <f t="shared" si="31"/>
        <v>1</v>
      </c>
      <c r="N179" s="666"/>
      <c r="O179" s="21">
        <f t="shared" si="32"/>
        <v>1</v>
      </c>
      <c r="P179" s="666"/>
      <c r="Q179" s="21">
        <f t="shared" si="33"/>
        <v>0</v>
      </c>
      <c r="R179" s="662">
        <f t="shared" si="34"/>
        <v>0</v>
      </c>
      <c r="S179" s="316">
        <f t="shared" si="25"/>
        <v>0</v>
      </c>
    </row>
    <row r="180" spans="1:19">
      <c r="A180" s="150"/>
      <c r="B180" s="54"/>
      <c r="C180" s="21">
        <f t="shared" si="26"/>
        <v>1</v>
      </c>
      <c r="D180" s="666"/>
      <c r="E180" s="21">
        <f t="shared" si="27"/>
        <v>0.03</v>
      </c>
      <c r="F180" s="666"/>
      <c r="G180" s="21">
        <f t="shared" si="28"/>
        <v>0.05</v>
      </c>
      <c r="H180" s="666"/>
      <c r="I180" s="21">
        <f t="shared" si="29"/>
        <v>0.01</v>
      </c>
      <c r="J180" s="666"/>
      <c r="K180" s="21">
        <f t="shared" si="30"/>
        <v>0</v>
      </c>
      <c r="L180" s="666"/>
      <c r="M180" s="21">
        <f t="shared" si="31"/>
        <v>1</v>
      </c>
      <c r="N180" s="666"/>
      <c r="O180" s="21">
        <f t="shared" si="32"/>
        <v>1</v>
      </c>
      <c r="P180" s="666"/>
      <c r="Q180" s="21">
        <f t="shared" si="33"/>
        <v>0</v>
      </c>
      <c r="R180" s="662">
        <f t="shared" si="34"/>
        <v>0</v>
      </c>
      <c r="S180" s="316">
        <f t="shared" si="25"/>
        <v>0</v>
      </c>
    </row>
    <row r="181" spans="1:19">
      <c r="A181" s="150"/>
      <c r="B181" s="54"/>
      <c r="C181" s="21">
        <f t="shared" si="26"/>
        <v>1</v>
      </c>
      <c r="D181" s="666"/>
      <c r="E181" s="21">
        <f t="shared" si="27"/>
        <v>0.03</v>
      </c>
      <c r="F181" s="666"/>
      <c r="G181" s="21">
        <f t="shared" si="28"/>
        <v>0.05</v>
      </c>
      <c r="H181" s="666"/>
      <c r="I181" s="21">
        <f t="shared" si="29"/>
        <v>0.01</v>
      </c>
      <c r="J181" s="666"/>
      <c r="K181" s="21">
        <f t="shared" si="30"/>
        <v>0</v>
      </c>
      <c r="L181" s="666"/>
      <c r="M181" s="21">
        <f t="shared" si="31"/>
        <v>1</v>
      </c>
      <c r="N181" s="666"/>
      <c r="O181" s="21">
        <f t="shared" si="32"/>
        <v>1</v>
      </c>
      <c r="P181" s="666"/>
      <c r="Q181" s="21">
        <f t="shared" si="33"/>
        <v>0</v>
      </c>
      <c r="R181" s="662">
        <f t="shared" si="34"/>
        <v>0</v>
      </c>
      <c r="S181" s="316">
        <f t="shared" si="25"/>
        <v>0</v>
      </c>
    </row>
    <row r="182" spans="1:19">
      <c r="A182" s="150"/>
      <c r="B182" s="54"/>
      <c r="C182" s="21">
        <f t="shared" si="26"/>
        <v>1</v>
      </c>
      <c r="D182" s="666"/>
      <c r="E182" s="21">
        <f t="shared" si="27"/>
        <v>0.03</v>
      </c>
      <c r="F182" s="666"/>
      <c r="G182" s="21">
        <f t="shared" si="28"/>
        <v>0.05</v>
      </c>
      <c r="H182" s="666"/>
      <c r="I182" s="21">
        <f t="shared" si="29"/>
        <v>0.01</v>
      </c>
      <c r="J182" s="666"/>
      <c r="K182" s="21">
        <f t="shared" si="30"/>
        <v>0</v>
      </c>
      <c r="L182" s="666"/>
      <c r="M182" s="21">
        <f t="shared" si="31"/>
        <v>1</v>
      </c>
      <c r="N182" s="666"/>
      <c r="O182" s="21">
        <f t="shared" si="32"/>
        <v>1</v>
      </c>
      <c r="P182" s="666"/>
      <c r="Q182" s="21">
        <f t="shared" si="33"/>
        <v>0</v>
      </c>
      <c r="R182" s="662">
        <f t="shared" si="34"/>
        <v>0</v>
      </c>
      <c r="S182" s="316">
        <f t="shared" si="25"/>
        <v>0</v>
      </c>
    </row>
    <row r="183" spans="1:19">
      <c r="A183" s="150"/>
      <c r="B183" s="54"/>
      <c r="C183" s="21">
        <f t="shared" si="26"/>
        <v>1</v>
      </c>
      <c r="D183" s="666"/>
      <c r="E183" s="21">
        <f t="shared" si="27"/>
        <v>0.03</v>
      </c>
      <c r="F183" s="666"/>
      <c r="G183" s="21">
        <f t="shared" si="28"/>
        <v>0.05</v>
      </c>
      <c r="H183" s="666"/>
      <c r="I183" s="21">
        <f t="shared" si="29"/>
        <v>0.01</v>
      </c>
      <c r="J183" s="666"/>
      <c r="K183" s="21">
        <f t="shared" si="30"/>
        <v>0</v>
      </c>
      <c r="L183" s="666"/>
      <c r="M183" s="21">
        <f t="shared" si="31"/>
        <v>1</v>
      </c>
      <c r="N183" s="666"/>
      <c r="O183" s="21">
        <f t="shared" si="32"/>
        <v>1</v>
      </c>
      <c r="P183" s="666"/>
      <c r="Q183" s="21">
        <f t="shared" si="33"/>
        <v>0</v>
      </c>
      <c r="R183" s="662">
        <f t="shared" si="34"/>
        <v>0</v>
      </c>
      <c r="S183" s="316">
        <f t="shared" si="25"/>
        <v>0</v>
      </c>
    </row>
    <row r="184" spans="1:19">
      <c r="A184" s="150"/>
      <c r="B184" s="54"/>
      <c r="C184" s="21">
        <f t="shared" si="26"/>
        <v>1</v>
      </c>
      <c r="D184" s="666"/>
      <c r="E184" s="21">
        <f t="shared" si="27"/>
        <v>0.03</v>
      </c>
      <c r="F184" s="666"/>
      <c r="G184" s="21">
        <f t="shared" si="28"/>
        <v>0.05</v>
      </c>
      <c r="H184" s="666"/>
      <c r="I184" s="21">
        <f t="shared" si="29"/>
        <v>0.01</v>
      </c>
      <c r="J184" s="666"/>
      <c r="K184" s="21">
        <f t="shared" si="30"/>
        <v>0</v>
      </c>
      <c r="L184" s="666"/>
      <c r="M184" s="21">
        <f t="shared" si="31"/>
        <v>1</v>
      </c>
      <c r="N184" s="666"/>
      <c r="O184" s="21">
        <f t="shared" si="32"/>
        <v>1</v>
      </c>
      <c r="P184" s="666"/>
      <c r="Q184" s="21">
        <f t="shared" si="33"/>
        <v>0</v>
      </c>
      <c r="R184" s="662">
        <f t="shared" si="34"/>
        <v>0</v>
      </c>
      <c r="S184" s="316">
        <f t="shared" si="25"/>
        <v>0</v>
      </c>
    </row>
    <row r="185" spans="1:19">
      <c r="A185" s="150"/>
      <c r="B185" s="54"/>
      <c r="C185" s="21">
        <f t="shared" si="26"/>
        <v>1</v>
      </c>
      <c r="D185" s="666"/>
      <c r="E185" s="21">
        <f t="shared" si="27"/>
        <v>0.03</v>
      </c>
      <c r="F185" s="666"/>
      <c r="G185" s="21">
        <f t="shared" si="28"/>
        <v>0.05</v>
      </c>
      <c r="H185" s="666"/>
      <c r="I185" s="21">
        <f t="shared" si="29"/>
        <v>0.01</v>
      </c>
      <c r="J185" s="666"/>
      <c r="K185" s="21">
        <f t="shared" si="30"/>
        <v>0</v>
      </c>
      <c r="L185" s="666"/>
      <c r="M185" s="21">
        <f t="shared" si="31"/>
        <v>1</v>
      </c>
      <c r="N185" s="666"/>
      <c r="O185" s="21">
        <f t="shared" si="32"/>
        <v>1</v>
      </c>
      <c r="P185" s="666"/>
      <c r="Q185" s="21">
        <f t="shared" si="33"/>
        <v>0</v>
      </c>
      <c r="R185" s="662">
        <f t="shared" si="34"/>
        <v>0</v>
      </c>
      <c r="S185" s="316">
        <f t="shared" si="25"/>
        <v>0</v>
      </c>
    </row>
    <row r="186" spans="1:19">
      <c r="A186" s="150"/>
      <c r="B186" s="54"/>
      <c r="C186" s="21">
        <f t="shared" si="26"/>
        <v>1</v>
      </c>
      <c r="D186" s="666"/>
      <c r="E186" s="21">
        <f t="shared" si="27"/>
        <v>0.03</v>
      </c>
      <c r="F186" s="666"/>
      <c r="G186" s="21">
        <f t="shared" si="28"/>
        <v>0.05</v>
      </c>
      <c r="H186" s="666"/>
      <c r="I186" s="21">
        <f t="shared" si="29"/>
        <v>0.01</v>
      </c>
      <c r="J186" s="666"/>
      <c r="K186" s="21">
        <f t="shared" si="30"/>
        <v>0</v>
      </c>
      <c r="L186" s="666"/>
      <c r="M186" s="21">
        <f t="shared" si="31"/>
        <v>1</v>
      </c>
      <c r="N186" s="666"/>
      <c r="O186" s="21">
        <f t="shared" si="32"/>
        <v>1</v>
      </c>
      <c r="P186" s="666"/>
      <c r="Q186" s="21">
        <f t="shared" si="33"/>
        <v>0</v>
      </c>
      <c r="R186" s="662">
        <f t="shared" si="34"/>
        <v>0</v>
      </c>
      <c r="S186" s="316">
        <f t="shared" si="25"/>
        <v>0</v>
      </c>
    </row>
    <row r="187" spans="1:19">
      <c r="A187" s="150"/>
      <c r="B187" s="54"/>
      <c r="C187" s="21">
        <f t="shared" si="26"/>
        <v>1</v>
      </c>
      <c r="D187" s="666"/>
      <c r="E187" s="21">
        <f t="shared" si="27"/>
        <v>0.03</v>
      </c>
      <c r="F187" s="666"/>
      <c r="G187" s="21">
        <f t="shared" si="28"/>
        <v>0.05</v>
      </c>
      <c r="H187" s="666"/>
      <c r="I187" s="21">
        <f t="shared" si="29"/>
        <v>0.01</v>
      </c>
      <c r="J187" s="666"/>
      <c r="K187" s="21">
        <f t="shared" si="30"/>
        <v>0</v>
      </c>
      <c r="L187" s="666"/>
      <c r="M187" s="21">
        <f t="shared" si="31"/>
        <v>1</v>
      </c>
      <c r="N187" s="666"/>
      <c r="O187" s="21">
        <f t="shared" si="32"/>
        <v>1</v>
      </c>
      <c r="P187" s="666"/>
      <c r="Q187" s="21">
        <f t="shared" si="33"/>
        <v>0</v>
      </c>
      <c r="R187" s="662">
        <f t="shared" si="34"/>
        <v>0</v>
      </c>
      <c r="S187" s="316">
        <f t="shared" si="25"/>
        <v>0</v>
      </c>
    </row>
    <row r="188" spans="1:19">
      <c r="A188" s="150"/>
      <c r="B188" s="54"/>
      <c r="C188" s="21">
        <f t="shared" si="26"/>
        <v>1</v>
      </c>
      <c r="D188" s="666"/>
      <c r="E188" s="21">
        <f t="shared" si="27"/>
        <v>0.03</v>
      </c>
      <c r="F188" s="666"/>
      <c r="G188" s="21">
        <f t="shared" si="28"/>
        <v>0.05</v>
      </c>
      <c r="H188" s="666"/>
      <c r="I188" s="21">
        <f t="shared" si="29"/>
        <v>0.01</v>
      </c>
      <c r="J188" s="666"/>
      <c r="K188" s="21">
        <f t="shared" si="30"/>
        <v>0</v>
      </c>
      <c r="L188" s="666"/>
      <c r="M188" s="21">
        <f t="shared" si="31"/>
        <v>1</v>
      </c>
      <c r="N188" s="666"/>
      <c r="O188" s="21">
        <f t="shared" si="32"/>
        <v>1</v>
      </c>
      <c r="P188" s="666"/>
      <c r="Q188" s="21">
        <f t="shared" si="33"/>
        <v>0</v>
      </c>
      <c r="R188" s="662">
        <f t="shared" si="34"/>
        <v>0</v>
      </c>
      <c r="S188" s="316">
        <f t="shared" si="25"/>
        <v>0</v>
      </c>
    </row>
    <row r="189" spans="1:19">
      <c r="A189" s="150"/>
      <c r="B189" s="54"/>
      <c r="C189" s="21">
        <f t="shared" si="26"/>
        <v>1</v>
      </c>
      <c r="D189" s="666"/>
      <c r="E189" s="21">
        <f t="shared" si="27"/>
        <v>0.03</v>
      </c>
      <c r="F189" s="666"/>
      <c r="G189" s="21">
        <f t="shared" si="28"/>
        <v>0.05</v>
      </c>
      <c r="H189" s="666"/>
      <c r="I189" s="21">
        <f t="shared" si="29"/>
        <v>0.01</v>
      </c>
      <c r="J189" s="666"/>
      <c r="K189" s="21">
        <f t="shared" si="30"/>
        <v>0</v>
      </c>
      <c r="L189" s="666"/>
      <c r="M189" s="21">
        <f t="shared" si="31"/>
        <v>1</v>
      </c>
      <c r="N189" s="666"/>
      <c r="O189" s="21">
        <f t="shared" si="32"/>
        <v>1</v>
      </c>
      <c r="P189" s="666"/>
      <c r="Q189" s="21">
        <f t="shared" si="33"/>
        <v>0</v>
      </c>
      <c r="R189" s="662">
        <f t="shared" si="34"/>
        <v>0</v>
      </c>
      <c r="S189" s="316">
        <f t="shared" si="25"/>
        <v>0</v>
      </c>
    </row>
    <row r="190" spans="1:19">
      <c r="A190" s="150"/>
      <c r="B190" s="54"/>
      <c r="C190" s="21">
        <f t="shared" si="26"/>
        <v>1</v>
      </c>
      <c r="D190" s="666"/>
      <c r="E190" s="21">
        <f t="shared" si="27"/>
        <v>0.03</v>
      </c>
      <c r="F190" s="666"/>
      <c r="G190" s="21">
        <f t="shared" si="28"/>
        <v>0.05</v>
      </c>
      <c r="H190" s="666"/>
      <c r="I190" s="21">
        <f t="shared" si="29"/>
        <v>0.01</v>
      </c>
      <c r="J190" s="666"/>
      <c r="K190" s="21">
        <f t="shared" si="30"/>
        <v>0</v>
      </c>
      <c r="L190" s="666"/>
      <c r="M190" s="21">
        <f t="shared" si="31"/>
        <v>1</v>
      </c>
      <c r="N190" s="666"/>
      <c r="O190" s="21">
        <f t="shared" si="32"/>
        <v>1</v>
      </c>
      <c r="P190" s="666"/>
      <c r="Q190" s="21">
        <f t="shared" si="33"/>
        <v>0</v>
      </c>
      <c r="R190" s="662">
        <f t="shared" si="34"/>
        <v>0</v>
      </c>
      <c r="S190" s="316">
        <f t="shared" si="25"/>
        <v>0</v>
      </c>
    </row>
    <row r="191" spans="1:19">
      <c r="A191" s="150"/>
      <c r="B191" s="54"/>
      <c r="C191" s="21">
        <f t="shared" si="26"/>
        <v>1</v>
      </c>
      <c r="D191" s="666"/>
      <c r="E191" s="21">
        <f t="shared" si="27"/>
        <v>0.03</v>
      </c>
      <c r="F191" s="666"/>
      <c r="G191" s="21">
        <f t="shared" si="28"/>
        <v>0.05</v>
      </c>
      <c r="H191" s="666"/>
      <c r="I191" s="21">
        <f t="shared" si="29"/>
        <v>0.01</v>
      </c>
      <c r="J191" s="666"/>
      <c r="K191" s="21">
        <f t="shared" si="30"/>
        <v>0</v>
      </c>
      <c r="L191" s="666"/>
      <c r="M191" s="21">
        <f t="shared" si="31"/>
        <v>1</v>
      </c>
      <c r="N191" s="666"/>
      <c r="O191" s="21">
        <f t="shared" si="32"/>
        <v>1</v>
      </c>
      <c r="P191" s="666"/>
      <c r="Q191" s="21">
        <f t="shared" si="33"/>
        <v>0</v>
      </c>
      <c r="R191" s="662">
        <f t="shared" si="34"/>
        <v>0</v>
      </c>
      <c r="S191" s="316">
        <f t="shared" si="25"/>
        <v>0</v>
      </c>
    </row>
    <row r="192" spans="1:19">
      <c r="A192" s="150"/>
      <c r="B192" s="54"/>
      <c r="C192" s="21">
        <f t="shared" si="26"/>
        <v>1</v>
      </c>
      <c r="D192" s="666"/>
      <c r="E192" s="21">
        <f t="shared" si="27"/>
        <v>0.03</v>
      </c>
      <c r="F192" s="666"/>
      <c r="G192" s="21">
        <f t="shared" si="28"/>
        <v>0.05</v>
      </c>
      <c r="H192" s="666"/>
      <c r="I192" s="21">
        <f t="shared" si="29"/>
        <v>0.01</v>
      </c>
      <c r="J192" s="666"/>
      <c r="K192" s="21">
        <f t="shared" si="30"/>
        <v>0</v>
      </c>
      <c r="L192" s="666"/>
      <c r="M192" s="21">
        <f t="shared" si="31"/>
        <v>1</v>
      </c>
      <c r="N192" s="666"/>
      <c r="O192" s="21">
        <f t="shared" si="32"/>
        <v>1</v>
      </c>
      <c r="P192" s="666"/>
      <c r="Q192" s="21">
        <f t="shared" si="33"/>
        <v>0</v>
      </c>
      <c r="R192" s="662">
        <f t="shared" si="34"/>
        <v>0</v>
      </c>
      <c r="S192" s="316">
        <f t="shared" si="25"/>
        <v>0</v>
      </c>
    </row>
    <row r="193" spans="1:19">
      <c r="A193" s="150"/>
      <c r="B193" s="54"/>
      <c r="C193" s="21">
        <f t="shared" si="26"/>
        <v>1</v>
      </c>
      <c r="D193" s="666"/>
      <c r="E193" s="21">
        <f t="shared" si="27"/>
        <v>0.03</v>
      </c>
      <c r="F193" s="666"/>
      <c r="G193" s="21">
        <f t="shared" si="28"/>
        <v>0.05</v>
      </c>
      <c r="H193" s="666"/>
      <c r="I193" s="21">
        <f t="shared" si="29"/>
        <v>0.01</v>
      </c>
      <c r="J193" s="666"/>
      <c r="K193" s="21">
        <f t="shared" si="30"/>
        <v>0</v>
      </c>
      <c r="L193" s="666"/>
      <c r="M193" s="21">
        <f t="shared" si="31"/>
        <v>1</v>
      </c>
      <c r="N193" s="666"/>
      <c r="O193" s="21">
        <f t="shared" si="32"/>
        <v>1</v>
      </c>
      <c r="P193" s="666"/>
      <c r="Q193" s="21">
        <f t="shared" si="33"/>
        <v>0</v>
      </c>
      <c r="R193" s="662">
        <f t="shared" si="34"/>
        <v>0</v>
      </c>
      <c r="S193" s="316">
        <f t="shared" si="25"/>
        <v>0</v>
      </c>
    </row>
    <row r="194" spans="1:19">
      <c r="A194" s="150"/>
      <c r="B194" s="54"/>
      <c r="C194" s="21">
        <f t="shared" si="26"/>
        <v>1</v>
      </c>
      <c r="D194" s="666"/>
      <c r="E194" s="21">
        <f t="shared" si="27"/>
        <v>0.03</v>
      </c>
      <c r="F194" s="666"/>
      <c r="G194" s="21">
        <f t="shared" si="28"/>
        <v>0.05</v>
      </c>
      <c r="H194" s="666"/>
      <c r="I194" s="21">
        <f t="shared" si="29"/>
        <v>0.01</v>
      </c>
      <c r="J194" s="666"/>
      <c r="K194" s="21">
        <f t="shared" si="30"/>
        <v>0</v>
      </c>
      <c r="L194" s="666"/>
      <c r="M194" s="21">
        <f t="shared" si="31"/>
        <v>1</v>
      </c>
      <c r="N194" s="666"/>
      <c r="O194" s="21">
        <f t="shared" si="32"/>
        <v>1</v>
      </c>
      <c r="P194" s="666"/>
      <c r="Q194" s="21">
        <f t="shared" si="33"/>
        <v>0</v>
      </c>
      <c r="R194" s="662">
        <f t="shared" si="34"/>
        <v>0</v>
      </c>
      <c r="S194" s="316">
        <f t="shared" si="25"/>
        <v>0</v>
      </c>
    </row>
    <row r="195" spans="1:19">
      <c r="A195" s="150"/>
      <c r="B195" s="54"/>
      <c r="C195" s="21">
        <f t="shared" si="26"/>
        <v>1</v>
      </c>
      <c r="D195" s="666"/>
      <c r="E195" s="21">
        <f t="shared" si="27"/>
        <v>0.03</v>
      </c>
      <c r="F195" s="666"/>
      <c r="G195" s="21">
        <f t="shared" si="28"/>
        <v>0.05</v>
      </c>
      <c r="H195" s="666"/>
      <c r="I195" s="21">
        <f t="shared" si="29"/>
        <v>0.01</v>
      </c>
      <c r="J195" s="666"/>
      <c r="K195" s="21">
        <f t="shared" si="30"/>
        <v>0</v>
      </c>
      <c r="L195" s="666"/>
      <c r="M195" s="21">
        <f t="shared" si="31"/>
        <v>1</v>
      </c>
      <c r="N195" s="666"/>
      <c r="O195" s="21">
        <f t="shared" si="32"/>
        <v>1</v>
      </c>
      <c r="P195" s="666"/>
      <c r="Q195" s="21">
        <f t="shared" si="33"/>
        <v>0</v>
      </c>
      <c r="R195" s="662">
        <f t="shared" si="34"/>
        <v>0</v>
      </c>
      <c r="S195" s="316">
        <f t="shared" si="25"/>
        <v>0</v>
      </c>
    </row>
    <row r="196" spans="1:19">
      <c r="A196" s="150"/>
      <c r="B196" s="54"/>
      <c r="C196" s="21">
        <f t="shared" si="26"/>
        <v>1</v>
      </c>
      <c r="D196" s="666"/>
      <c r="E196" s="21">
        <f t="shared" si="27"/>
        <v>0.03</v>
      </c>
      <c r="F196" s="666"/>
      <c r="G196" s="21">
        <f t="shared" si="28"/>
        <v>0.05</v>
      </c>
      <c r="H196" s="666"/>
      <c r="I196" s="21">
        <f t="shared" si="29"/>
        <v>0.01</v>
      </c>
      <c r="J196" s="666"/>
      <c r="K196" s="21">
        <f t="shared" si="30"/>
        <v>0</v>
      </c>
      <c r="L196" s="666"/>
      <c r="M196" s="21">
        <f t="shared" si="31"/>
        <v>1</v>
      </c>
      <c r="N196" s="666"/>
      <c r="O196" s="21">
        <f t="shared" si="32"/>
        <v>1</v>
      </c>
      <c r="P196" s="666"/>
      <c r="Q196" s="21">
        <f t="shared" si="33"/>
        <v>0</v>
      </c>
      <c r="R196" s="662">
        <f t="shared" si="34"/>
        <v>0</v>
      </c>
      <c r="S196" s="316">
        <f t="shared" si="25"/>
        <v>0</v>
      </c>
    </row>
    <row r="197" spans="1:19">
      <c r="A197" s="150"/>
      <c r="B197" s="54"/>
      <c r="C197" s="21">
        <f t="shared" si="26"/>
        <v>1</v>
      </c>
      <c r="D197" s="666"/>
      <c r="E197" s="21">
        <f t="shared" si="27"/>
        <v>0.03</v>
      </c>
      <c r="F197" s="666"/>
      <c r="G197" s="21">
        <f t="shared" si="28"/>
        <v>0.05</v>
      </c>
      <c r="H197" s="666"/>
      <c r="I197" s="21">
        <f t="shared" si="29"/>
        <v>0.01</v>
      </c>
      <c r="J197" s="666"/>
      <c r="K197" s="21">
        <f t="shared" si="30"/>
        <v>0</v>
      </c>
      <c r="L197" s="666"/>
      <c r="M197" s="21">
        <f t="shared" si="31"/>
        <v>1</v>
      </c>
      <c r="N197" s="666"/>
      <c r="O197" s="21">
        <f t="shared" si="32"/>
        <v>1</v>
      </c>
      <c r="P197" s="666"/>
      <c r="Q197" s="21">
        <f t="shared" si="33"/>
        <v>0</v>
      </c>
      <c r="R197" s="662">
        <f t="shared" si="34"/>
        <v>0</v>
      </c>
      <c r="S197" s="316">
        <f t="shared" si="25"/>
        <v>0</v>
      </c>
    </row>
    <row r="198" spans="1:19">
      <c r="A198" s="150"/>
      <c r="B198" s="54"/>
      <c r="C198" s="21">
        <f t="shared" si="26"/>
        <v>1</v>
      </c>
      <c r="D198" s="666"/>
      <c r="E198" s="21">
        <f t="shared" si="27"/>
        <v>0.03</v>
      </c>
      <c r="F198" s="666"/>
      <c r="G198" s="21">
        <f t="shared" si="28"/>
        <v>0.05</v>
      </c>
      <c r="H198" s="666"/>
      <c r="I198" s="21">
        <f t="shared" si="29"/>
        <v>0.01</v>
      </c>
      <c r="J198" s="666"/>
      <c r="K198" s="21">
        <f t="shared" si="30"/>
        <v>0</v>
      </c>
      <c r="L198" s="666"/>
      <c r="M198" s="21">
        <f t="shared" si="31"/>
        <v>1</v>
      </c>
      <c r="N198" s="666"/>
      <c r="O198" s="21">
        <f t="shared" si="32"/>
        <v>1</v>
      </c>
      <c r="P198" s="666"/>
      <c r="Q198" s="21">
        <f t="shared" si="33"/>
        <v>0</v>
      </c>
      <c r="R198" s="662">
        <f t="shared" si="34"/>
        <v>0</v>
      </c>
      <c r="S198" s="316">
        <f t="shared" si="25"/>
        <v>0</v>
      </c>
    </row>
    <row r="199" spans="1:19">
      <c r="A199" s="150"/>
      <c r="B199" s="54"/>
      <c r="C199" s="21">
        <f t="shared" si="26"/>
        <v>1</v>
      </c>
      <c r="D199" s="666"/>
      <c r="E199" s="21">
        <f t="shared" si="27"/>
        <v>0.03</v>
      </c>
      <c r="F199" s="666"/>
      <c r="G199" s="21">
        <f t="shared" si="28"/>
        <v>0.05</v>
      </c>
      <c r="H199" s="666"/>
      <c r="I199" s="21">
        <f t="shared" si="29"/>
        <v>0.01</v>
      </c>
      <c r="J199" s="666"/>
      <c r="K199" s="21">
        <f t="shared" si="30"/>
        <v>0</v>
      </c>
      <c r="L199" s="666"/>
      <c r="M199" s="21">
        <f t="shared" si="31"/>
        <v>1</v>
      </c>
      <c r="N199" s="666"/>
      <c r="O199" s="21">
        <f t="shared" si="32"/>
        <v>1</v>
      </c>
      <c r="P199" s="666"/>
      <c r="Q199" s="21">
        <f t="shared" si="33"/>
        <v>0</v>
      </c>
      <c r="R199" s="662">
        <f t="shared" si="34"/>
        <v>0</v>
      </c>
      <c r="S199" s="316">
        <f t="shared" si="25"/>
        <v>0</v>
      </c>
    </row>
    <row r="200" spans="1:19">
      <c r="A200" s="150"/>
      <c r="B200" s="54"/>
      <c r="C200" s="21">
        <f t="shared" si="26"/>
        <v>1</v>
      </c>
      <c r="D200" s="666"/>
      <c r="E200" s="21">
        <f t="shared" si="27"/>
        <v>0.03</v>
      </c>
      <c r="F200" s="666"/>
      <c r="G200" s="21">
        <f t="shared" si="28"/>
        <v>0.05</v>
      </c>
      <c r="H200" s="666"/>
      <c r="I200" s="21">
        <f t="shared" si="29"/>
        <v>0.01</v>
      </c>
      <c r="J200" s="666"/>
      <c r="K200" s="21">
        <f t="shared" si="30"/>
        <v>0</v>
      </c>
      <c r="L200" s="666"/>
      <c r="M200" s="21">
        <f t="shared" si="31"/>
        <v>1</v>
      </c>
      <c r="N200" s="666"/>
      <c r="O200" s="21">
        <f t="shared" si="32"/>
        <v>1</v>
      </c>
      <c r="P200" s="666"/>
      <c r="Q200" s="21">
        <f t="shared" si="33"/>
        <v>0</v>
      </c>
      <c r="R200" s="662">
        <f t="shared" si="34"/>
        <v>0</v>
      </c>
      <c r="S200" s="316">
        <f t="shared" si="25"/>
        <v>0</v>
      </c>
    </row>
    <row r="201" spans="1:19">
      <c r="A201" s="150"/>
      <c r="B201" s="54"/>
      <c r="C201" s="21">
        <f t="shared" si="26"/>
        <v>1</v>
      </c>
      <c r="D201" s="666"/>
      <c r="E201" s="21">
        <f t="shared" si="27"/>
        <v>0.03</v>
      </c>
      <c r="F201" s="666"/>
      <c r="G201" s="21">
        <f t="shared" si="28"/>
        <v>0.05</v>
      </c>
      <c r="H201" s="666"/>
      <c r="I201" s="21">
        <f t="shared" si="29"/>
        <v>0.01</v>
      </c>
      <c r="J201" s="666"/>
      <c r="K201" s="21">
        <f t="shared" si="30"/>
        <v>0</v>
      </c>
      <c r="L201" s="666"/>
      <c r="M201" s="21">
        <f t="shared" si="31"/>
        <v>1</v>
      </c>
      <c r="N201" s="666"/>
      <c r="O201" s="21">
        <f t="shared" si="32"/>
        <v>1</v>
      </c>
      <c r="P201" s="666"/>
      <c r="Q201" s="21">
        <f t="shared" si="33"/>
        <v>0</v>
      </c>
      <c r="R201" s="662">
        <f t="shared" si="34"/>
        <v>0</v>
      </c>
      <c r="S201" s="316">
        <f t="shared" si="25"/>
        <v>0</v>
      </c>
    </row>
    <row r="202" spans="1:19">
      <c r="A202" s="150"/>
      <c r="B202" s="54"/>
      <c r="C202" s="21">
        <f t="shared" si="26"/>
        <v>1</v>
      </c>
      <c r="D202" s="666"/>
      <c r="E202" s="21">
        <f t="shared" si="27"/>
        <v>0.03</v>
      </c>
      <c r="F202" s="666"/>
      <c r="G202" s="21">
        <f t="shared" si="28"/>
        <v>0.05</v>
      </c>
      <c r="H202" s="666"/>
      <c r="I202" s="21">
        <f t="shared" si="29"/>
        <v>0.01</v>
      </c>
      <c r="J202" s="666"/>
      <c r="K202" s="21">
        <f t="shared" si="30"/>
        <v>0</v>
      </c>
      <c r="L202" s="666"/>
      <c r="M202" s="21">
        <f t="shared" si="31"/>
        <v>1</v>
      </c>
      <c r="N202" s="666"/>
      <c r="O202" s="21">
        <f t="shared" si="32"/>
        <v>1</v>
      </c>
      <c r="P202" s="666"/>
      <c r="Q202" s="21">
        <f t="shared" si="33"/>
        <v>0</v>
      </c>
      <c r="R202" s="662">
        <f t="shared" si="34"/>
        <v>0</v>
      </c>
      <c r="S202" s="316">
        <f t="shared" si="25"/>
        <v>0</v>
      </c>
    </row>
    <row r="203" spans="1:19">
      <c r="A203" s="150"/>
      <c r="B203" s="54"/>
      <c r="C203" s="21">
        <f t="shared" si="26"/>
        <v>1</v>
      </c>
      <c r="D203" s="666"/>
      <c r="E203" s="21">
        <f t="shared" si="27"/>
        <v>0.03</v>
      </c>
      <c r="F203" s="666"/>
      <c r="G203" s="21">
        <f t="shared" si="28"/>
        <v>0.05</v>
      </c>
      <c r="H203" s="666"/>
      <c r="I203" s="21">
        <f t="shared" si="29"/>
        <v>0.01</v>
      </c>
      <c r="J203" s="666"/>
      <c r="K203" s="21">
        <f t="shared" si="30"/>
        <v>0</v>
      </c>
      <c r="L203" s="666"/>
      <c r="M203" s="21">
        <f t="shared" si="31"/>
        <v>1</v>
      </c>
      <c r="N203" s="666"/>
      <c r="O203" s="21">
        <f t="shared" si="32"/>
        <v>1</v>
      </c>
      <c r="P203" s="666"/>
      <c r="Q203" s="21">
        <f t="shared" si="33"/>
        <v>0</v>
      </c>
      <c r="R203" s="662">
        <f t="shared" si="34"/>
        <v>0</v>
      </c>
      <c r="S203" s="316">
        <f t="shared" si="25"/>
        <v>0</v>
      </c>
    </row>
    <row r="204" spans="1:19">
      <c r="A204" s="150"/>
      <c r="B204" s="54"/>
      <c r="C204" s="21">
        <f t="shared" si="26"/>
        <v>1</v>
      </c>
      <c r="D204" s="666"/>
      <c r="E204" s="21">
        <f t="shared" si="27"/>
        <v>0.03</v>
      </c>
      <c r="F204" s="666"/>
      <c r="G204" s="21">
        <f t="shared" si="28"/>
        <v>0.05</v>
      </c>
      <c r="H204" s="666"/>
      <c r="I204" s="21">
        <f t="shared" si="29"/>
        <v>0.01</v>
      </c>
      <c r="J204" s="666"/>
      <c r="K204" s="21">
        <f t="shared" si="30"/>
        <v>0</v>
      </c>
      <c r="L204" s="666"/>
      <c r="M204" s="21">
        <f t="shared" si="31"/>
        <v>1</v>
      </c>
      <c r="N204" s="666"/>
      <c r="O204" s="21">
        <f t="shared" si="32"/>
        <v>1</v>
      </c>
      <c r="P204" s="666"/>
      <c r="Q204" s="21">
        <f t="shared" si="33"/>
        <v>0</v>
      </c>
      <c r="R204" s="662">
        <f t="shared" si="34"/>
        <v>0</v>
      </c>
      <c r="S204" s="316">
        <f t="shared" si="25"/>
        <v>0</v>
      </c>
    </row>
    <row r="205" spans="1:19">
      <c r="A205" s="150"/>
      <c r="B205" s="54"/>
      <c r="C205" s="21">
        <f t="shared" si="26"/>
        <v>1</v>
      </c>
      <c r="D205" s="666"/>
      <c r="E205" s="21">
        <f t="shared" si="27"/>
        <v>0.03</v>
      </c>
      <c r="F205" s="666"/>
      <c r="G205" s="21">
        <f t="shared" si="28"/>
        <v>0.05</v>
      </c>
      <c r="H205" s="666"/>
      <c r="I205" s="21">
        <f t="shared" si="29"/>
        <v>0.01</v>
      </c>
      <c r="J205" s="666"/>
      <c r="K205" s="21">
        <f t="shared" si="30"/>
        <v>0</v>
      </c>
      <c r="L205" s="666"/>
      <c r="M205" s="21">
        <f t="shared" si="31"/>
        <v>1</v>
      </c>
      <c r="N205" s="666"/>
      <c r="O205" s="21">
        <f t="shared" si="32"/>
        <v>1</v>
      </c>
      <c r="P205" s="666"/>
      <c r="Q205" s="21">
        <f t="shared" si="33"/>
        <v>0</v>
      </c>
      <c r="R205" s="662">
        <f t="shared" si="34"/>
        <v>0</v>
      </c>
      <c r="S205" s="316">
        <f t="shared" si="25"/>
        <v>0</v>
      </c>
    </row>
    <row r="206" spans="1:19">
      <c r="A206" s="150"/>
      <c r="B206" s="54"/>
      <c r="C206" s="21">
        <f t="shared" si="26"/>
        <v>1</v>
      </c>
      <c r="D206" s="666"/>
      <c r="E206" s="21">
        <f t="shared" si="27"/>
        <v>0.03</v>
      </c>
      <c r="F206" s="666"/>
      <c r="G206" s="21">
        <f t="shared" si="28"/>
        <v>0.05</v>
      </c>
      <c r="H206" s="666"/>
      <c r="I206" s="21">
        <f t="shared" si="29"/>
        <v>0.01</v>
      </c>
      <c r="J206" s="666"/>
      <c r="K206" s="21">
        <f t="shared" si="30"/>
        <v>0</v>
      </c>
      <c r="L206" s="666"/>
      <c r="M206" s="21">
        <f t="shared" si="31"/>
        <v>1</v>
      </c>
      <c r="N206" s="666"/>
      <c r="O206" s="21">
        <f t="shared" si="32"/>
        <v>1</v>
      </c>
      <c r="P206" s="666"/>
      <c r="Q206" s="21">
        <f t="shared" si="33"/>
        <v>0</v>
      </c>
      <c r="R206" s="662">
        <f t="shared" si="34"/>
        <v>0</v>
      </c>
      <c r="S206" s="316">
        <f t="shared" si="25"/>
        <v>0</v>
      </c>
    </row>
    <row r="207" spans="1:19">
      <c r="A207" s="150"/>
      <c r="B207" s="54"/>
      <c r="C207" s="21">
        <f t="shared" si="26"/>
        <v>1</v>
      </c>
      <c r="D207" s="666"/>
      <c r="E207" s="21">
        <f t="shared" si="27"/>
        <v>0.03</v>
      </c>
      <c r="F207" s="666"/>
      <c r="G207" s="21">
        <f t="shared" si="28"/>
        <v>0.05</v>
      </c>
      <c r="H207" s="666"/>
      <c r="I207" s="21">
        <f t="shared" si="29"/>
        <v>0.01</v>
      </c>
      <c r="J207" s="666"/>
      <c r="K207" s="21">
        <f t="shared" si="30"/>
        <v>0</v>
      </c>
      <c r="L207" s="666"/>
      <c r="M207" s="21">
        <f t="shared" si="31"/>
        <v>1</v>
      </c>
      <c r="N207" s="666"/>
      <c r="O207" s="21">
        <f t="shared" si="32"/>
        <v>1</v>
      </c>
      <c r="P207" s="666"/>
      <c r="Q207" s="21">
        <f t="shared" si="33"/>
        <v>0</v>
      </c>
      <c r="R207" s="662">
        <f t="shared" si="34"/>
        <v>0</v>
      </c>
      <c r="S207" s="316">
        <f t="shared" si="25"/>
        <v>0</v>
      </c>
    </row>
    <row r="208" spans="1:19">
      <c r="A208" s="150"/>
      <c r="B208" s="54"/>
      <c r="C208" s="21">
        <f t="shared" si="26"/>
        <v>1</v>
      </c>
      <c r="D208" s="666"/>
      <c r="E208" s="21">
        <f t="shared" si="27"/>
        <v>0.03</v>
      </c>
      <c r="F208" s="666"/>
      <c r="G208" s="21">
        <f t="shared" si="28"/>
        <v>0.05</v>
      </c>
      <c r="H208" s="666"/>
      <c r="I208" s="21">
        <f t="shared" si="29"/>
        <v>0.01</v>
      </c>
      <c r="J208" s="666"/>
      <c r="K208" s="21">
        <f t="shared" si="30"/>
        <v>0</v>
      </c>
      <c r="L208" s="666"/>
      <c r="M208" s="21">
        <f t="shared" si="31"/>
        <v>1</v>
      </c>
      <c r="N208" s="666"/>
      <c r="O208" s="21">
        <f t="shared" si="32"/>
        <v>1</v>
      </c>
      <c r="P208" s="666"/>
      <c r="Q208" s="21">
        <f t="shared" si="33"/>
        <v>0</v>
      </c>
      <c r="R208" s="662">
        <f t="shared" si="34"/>
        <v>0</v>
      </c>
      <c r="S208" s="316">
        <f t="shared" si="25"/>
        <v>0</v>
      </c>
    </row>
    <row r="209" spans="1:19">
      <c r="A209" s="150"/>
      <c r="B209" s="54"/>
      <c r="C209" s="21">
        <f t="shared" si="26"/>
        <v>1</v>
      </c>
      <c r="D209" s="666"/>
      <c r="E209" s="21">
        <f t="shared" si="27"/>
        <v>0.03</v>
      </c>
      <c r="F209" s="666"/>
      <c r="G209" s="21">
        <f t="shared" si="28"/>
        <v>0.05</v>
      </c>
      <c r="H209" s="666"/>
      <c r="I209" s="21">
        <f t="shared" si="29"/>
        <v>0.01</v>
      </c>
      <c r="J209" s="666"/>
      <c r="K209" s="21">
        <f t="shared" si="30"/>
        <v>0</v>
      </c>
      <c r="L209" s="666"/>
      <c r="M209" s="21">
        <f t="shared" si="31"/>
        <v>1</v>
      </c>
      <c r="N209" s="666"/>
      <c r="O209" s="21">
        <f t="shared" si="32"/>
        <v>1</v>
      </c>
      <c r="P209" s="666"/>
      <c r="Q209" s="21">
        <f t="shared" si="33"/>
        <v>0</v>
      </c>
      <c r="R209" s="662">
        <f t="shared" si="34"/>
        <v>0</v>
      </c>
      <c r="S209" s="316">
        <f t="shared" si="25"/>
        <v>0</v>
      </c>
    </row>
    <row r="210" spans="1:19">
      <c r="A210" s="150"/>
      <c r="B210" s="54"/>
      <c r="C210" s="21">
        <f t="shared" si="26"/>
        <v>1</v>
      </c>
      <c r="D210" s="666"/>
      <c r="E210" s="21">
        <f t="shared" si="27"/>
        <v>0.03</v>
      </c>
      <c r="F210" s="666"/>
      <c r="G210" s="21">
        <f t="shared" si="28"/>
        <v>0.05</v>
      </c>
      <c r="H210" s="666"/>
      <c r="I210" s="21">
        <f t="shared" si="29"/>
        <v>0.01</v>
      </c>
      <c r="J210" s="666"/>
      <c r="K210" s="21">
        <f t="shared" si="30"/>
        <v>0</v>
      </c>
      <c r="L210" s="666"/>
      <c r="M210" s="21">
        <f t="shared" si="31"/>
        <v>1</v>
      </c>
      <c r="N210" s="666"/>
      <c r="O210" s="21">
        <f t="shared" si="32"/>
        <v>1</v>
      </c>
      <c r="P210" s="666"/>
      <c r="Q210" s="21">
        <f t="shared" si="33"/>
        <v>0</v>
      </c>
      <c r="R210" s="662">
        <f t="shared" si="34"/>
        <v>0</v>
      </c>
      <c r="S210" s="316">
        <f t="shared" si="25"/>
        <v>0</v>
      </c>
    </row>
    <row r="211" spans="1:19">
      <c r="A211" s="150"/>
      <c r="B211" s="54"/>
      <c r="C211" s="21">
        <f t="shared" si="26"/>
        <v>1</v>
      </c>
      <c r="D211" s="666"/>
      <c r="E211" s="21">
        <f t="shared" si="27"/>
        <v>0.03</v>
      </c>
      <c r="F211" s="666"/>
      <c r="G211" s="21">
        <f t="shared" si="28"/>
        <v>0.05</v>
      </c>
      <c r="H211" s="666"/>
      <c r="I211" s="21">
        <f t="shared" si="29"/>
        <v>0.01</v>
      </c>
      <c r="J211" s="666"/>
      <c r="K211" s="21">
        <f t="shared" si="30"/>
        <v>0</v>
      </c>
      <c r="L211" s="666"/>
      <c r="M211" s="21">
        <f t="shared" si="31"/>
        <v>1</v>
      </c>
      <c r="N211" s="666"/>
      <c r="O211" s="21">
        <f t="shared" si="32"/>
        <v>1</v>
      </c>
      <c r="P211" s="666"/>
      <c r="Q211" s="21">
        <f t="shared" si="33"/>
        <v>0</v>
      </c>
      <c r="R211" s="662">
        <f t="shared" si="34"/>
        <v>0</v>
      </c>
      <c r="S211" s="316">
        <f t="shared" si="25"/>
        <v>0</v>
      </c>
    </row>
    <row r="212" spans="1:19">
      <c r="A212" s="150"/>
      <c r="B212" s="54"/>
      <c r="C212" s="21">
        <f t="shared" si="26"/>
        <v>1</v>
      </c>
      <c r="D212" s="666"/>
      <c r="E212" s="21">
        <f t="shared" si="27"/>
        <v>0.03</v>
      </c>
      <c r="F212" s="666"/>
      <c r="G212" s="21">
        <f t="shared" si="28"/>
        <v>0.05</v>
      </c>
      <c r="H212" s="666"/>
      <c r="I212" s="21">
        <f t="shared" si="29"/>
        <v>0.01</v>
      </c>
      <c r="J212" s="666"/>
      <c r="K212" s="21">
        <f t="shared" si="30"/>
        <v>0</v>
      </c>
      <c r="L212" s="666"/>
      <c r="M212" s="21">
        <f t="shared" si="31"/>
        <v>1</v>
      </c>
      <c r="N212" s="666"/>
      <c r="O212" s="21">
        <f t="shared" si="32"/>
        <v>1</v>
      </c>
      <c r="P212" s="666"/>
      <c r="Q212" s="21">
        <f t="shared" si="33"/>
        <v>0</v>
      </c>
      <c r="R212" s="662">
        <f t="shared" si="34"/>
        <v>0</v>
      </c>
      <c r="S212" s="316">
        <f t="shared" si="25"/>
        <v>0</v>
      </c>
    </row>
    <row r="213" spans="1:19">
      <c r="A213" s="150"/>
      <c r="B213" s="54"/>
      <c r="C213" s="21">
        <f t="shared" si="26"/>
        <v>1</v>
      </c>
      <c r="D213" s="666"/>
      <c r="E213" s="21">
        <f t="shared" si="27"/>
        <v>0.03</v>
      </c>
      <c r="F213" s="666"/>
      <c r="G213" s="21">
        <f t="shared" si="28"/>
        <v>0.05</v>
      </c>
      <c r="H213" s="666"/>
      <c r="I213" s="21">
        <f t="shared" si="29"/>
        <v>0.01</v>
      </c>
      <c r="J213" s="666"/>
      <c r="K213" s="21">
        <f t="shared" si="30"/>
        <v>0</v>
      </c>
      <c r="L213" s="666"/>
      <c r="M213" s="21">
        <f t="shared" si="31"/>
        <v>1</v>
      </c>
      <c r="N213" s="666"/>
      <c r="O213" s="21">
        <f t="shared" si="32"/>
        <v>1</v>
      </c>
      <c r="P213" s="666"/>
      <c r="Q213" s="21">
        <f t="shared" si="33"/>
        <v>0</v>
      </c>
      <c r="R213" s="662">
        <f t="shared" si="34"/>
        <v>0</v>
      </c>
      <c r="S213" s="316">
        <f t="shared" si="25"/>
        <v>0</v>
      </c>
    </row>
    <row r="214" spans="1:19">
      <c r="A214" s="150"/>
      <c r="B214" s="54"/>
      <c r="C214" s="21">
        <f t="shared" si="26"/>
        <v>1</v>
      </c>
      <c r="D214" s="666"/>
      <c r="E214" s="21">
        <f t="shared" si="27"/>
        <v>0.03</v>
      </c>
      <c r="F214" s="666"/>
      <c r="G214" s="21">
        <f t="shared" si="28"/>
        <v>0.05</v>
      </c>
      <c r="H214" s="666"/>
      <c r="I214" s="21">
        <f t="shared" si="29"/>
        <v>0.01</v>
      </c>
      <c r="J214" s="666"/>
      <c r="K214" s="21">
        <f t="shared" si="30"/>
        <v>0</v>
      </c>
      <c r="L214" s="666"/>
      <c r="M214" s="21">
        <f t="shared" si="31"/>
        <v>1</v>
      </c>
      <c r="N214" s="666"/>
      <c r="O214" s="21">
        <f t="shared" si="32"/>
        <v>1</v>
      </c>
      <c r="P214" s="666"/>
      <c r="Q214" s="21">
        <f t="shared" si="33"/>
        <v>0</v>
      </c>
      <c r="R214" s="662">
        <f t="shared" si="34"/>
        <v>0</v>
      </c>
      <c r="S214" s="316">
        <f t="shared" si="25"/>
        <v>0</v>
      </c>
    </row>
    <row r="215" spans="1:19">
      <c r="A215" s="150"/>
      <c r="B215" s="54"/>
      <c r="C215" s="21">
        <f t="shared" si="26"/>
        <v>1</v>
      </c>
      <c r="D215" s="666"/>
      <c r="E215" s="21">
        <f t="shared" si="27"/>
        <v>0.03</v>
      </c>
      <c r="F215" s="666"/>
      <c r="G215" s="21">
        <f t="shared" si="28"/>
        <v>0.05</v>
      </c>
      <c r="H215" s="666"/>
      <c r="I215" s="21">
        <f t="shared" si="29"/>
        <v>0.01</v>
      </c>
      <c r="J215" s="666"/>
      <c r="K215" s="21">
        <f t="shared" si="30"/>
        <v>0</v>
      </c>
      <c r="L215" s="666"/>
      <c r="M215" s="21">
        <f t="shared" si="31"/>
        <v>1</v>
      </c>
      <c r="N215" s="666"/>
      <c r="O215" s="21">
        <f t="shared" si="32"/>
        <v>1</v>
      </c>
      <c r="P215" s="666"/>
      <c r="Q215" s="21">
        <f t="shared" si="33"/>
        <v>0</v>
      </c>
      <c r="R215" s="662">
        <f t="shared" si="34"/>
        <v>0</v>
      </c>
      <c r="S215" s="316">
        <f t="shared" si="25"/>
        <v>0</v>
      </c>
    </row>
    <row r="216" spans="1:19">
      <c r="A216" s="150"/>
      <c r="B216" s="54"/>
      <c r="C216" s="21">
        <f t="shared" si="26"/>
        <v>1</v>
      </c>
      <c r="D216" s="666"/>
      <c r="E216" s="21">
        <f t="shared" si="27"/>
        <v>0.03</v>
      </c>
      <c r="F216" s="666"/>
      <c r="G216" s="21">
        <f t="shared" si="28"/>
        <v>0.05</v>
      </c>
      <c r="H216" s="666"/>
      <c r="I216" s="21">
        <f t="shared" si="29"/>
        <v>0.01</v>
      </c>
      <c r="J216" s="666"/>
      <c r="K216" s="21">
        <f t="shared" si="30"/>
        <v>0</v>
      </c>
      <c r="L216" s="666"/>
      <c r="M216" s="21">
        <f t="shared" si="31"/>
        <v>1</v>
      </c>
      <c r="N216" s="666"/>
      <c r="O216" s="21">
        <f t="shared" si="32"/>
        <v>1</v>
      </c>
      <c r="P216" s="666"/>
      <c r="Q216" s="21">
        <f t="shared" si="33"/>
        <v>0</v>
      </c>
      <c r="R216" s="662">
        <f t="shared" si="34"/>
        <v>0</v>
      </c>
      <c r="S216" s="316">
        <f t="shared" ref="S216:S279" si="35">ROUND(R216*B216/10000,0)</f>
        <v>0</v>
      </c>
    </row>
    <row r="217" spans="1:19">
      <c r="A217" s="150"/>
      <c r="B217" s="54"/>
      <c r="C217" s="21">
        <f t="shared" si="26"/>
        <v>1</v>
      </c>
      <c r="D217" s="666"/>
      <c r="E217" s="21">
        <f t="shared" si="27"/>
        <v>0.03</v>
      </c>
      <c r="F217" s="666"/>
      <c r="G217" s="21">
        <f t="shared" si="28"/>
        <v>0.05</v>
      </c>
      <c r="H217" s="666"/>
      <c r="I217" s="21">
        <f t="shared" si="29"/>
        <v>0.01</v>
      </c>
      <c r="J217" s="666"/>
      <c r="K217" s="21">
        <f t="shared" si="30"/>
        <v>0</v>
      </c>
      <c r="L217" s="666"/>
      <c r="M217" s="21">
        <f t="shared" si="31"/>
        <v>1</v>
      </c>
      <c r="N217" s="666"/>
      <c r="O217" s="21">
        <f t="shared" si="32"/>
        <v>1</v>
      </c>
      <c r="P217" s="666"/>
      <c r="Q217" s="21">
        <f t="shared" si="33"/>
        <v>0</v>
      </c>
      <c r="R217" s="662">
        <f t="shared" si="34"/>
        <v>0</v>
      </c>
      <c r="S217" s="316">
        <f t="shared" si="35"/>
        <v>0</v>
      </c>
    </row>
    <row r="218" spans="1:19">
      <c r="A218" s="150"/>
      <c r="B218" s="54"/>
      <c r="C218" s="21">
        <f t="shared" ref="C218:C281" si="36">IF(B218="",1,(LOOKUP(B218,$3:$3,$4:$4)-LOOKUP($B$24,$3:$3,$4:$4)+100)/100)</f>
        <v>1</v>
      </c>
      <c r="D218" s="666"/>
      <c r="E218" s="21">
        <f t="shared" ref="E218:E281" si="37">(SUMIF($5:$5,D218,$6:$6)-SUMIF($5:$5,$D$24,$6:$6)+100)/100</f>
        <v>0.03</v>
      </c>
      <c r="F218" s="666"/>
      <c r="G218" s="21">
        <f t="shared" ref="G218:G281" si="38">(SUMIF($7:$7,F218,$8:$8)-SUMIF($7:$7,$F$24,$8:$8)+100)/100</f>
        <v>0.05</v>
      </c>
      <c r="H218" s="666"/>
      <c r="I218" s="21">
        <f t="shared" ref="I218:I281" si="39">(SUMIF($9:$9,H218,$10:$10)-SUMIF($9:$9,$H$24,$10:$10)+100)/100</f>
        <v>0.01</v>
      </c>
      <c r="J218" s="666"/>
      <c r="K218" s="21">
        <f t="shared" ref="K218:K281" si="40">(SUMIF($11:$11,J218,$12:$12)-SUMIF($11:$11,$J$24,$12:$12)+100)/100</f>
        <v>0</v>
      </c>
      <c r="L218" s="666"/>
      <c r="M218" s="21">
        <f t="shared" ref="M218:M281" si="41">(SUMIF($13:$13,L218,$14:$14)-SUMIF($13:$13,$L$24,$14:$14)+100)/100</f>
        <v>1</v>
      </c>
      <c r="N218" s="666"/>
      <c r="O218" s="21">
        <f t="shared" ref="O218:O281" si="42">(SUMIF($15:$15,N218,$16:$16)-SUMIF($15:$15,$N$24,$16:$16)+100)/100</f>
        <v>1</v>
      </c>
      <c r="P218" s="666"/>
      <c r="Q218" s="21">
        <f t="shared" ref="Q218:Q281" si="43">(SUMIF($17:$17,P218,$18:$18)-SUMIF($17:$17,$P$24,$18:$18)+100)/100</f>
        <v>0</v>
      </c>
      <c r="R218" s="662">
        <f t="shared" ref="R218:R281" si="44">IF(B218="",0,ROUND($R$24*C218*E218*G218*I218*K218*M218*O218*Q218,0))</f>
        <v>0</v>
      </c>
      <c r="S218" s="316">
        <f t="shared" si="35"/>
        <v>0</v>
      </c>
    </row>
    <row r="219" spans="1:19">
      <c r="A219" s="150"/>
      <c r="B219" s="54"/>
      <c r="C219" s="21">
        <f t="shared" si="36"/>
        <v>1</v>
      </c>
      <c r="D219" s="666"/>
      <c r="E219" s="21">
        <f t="shared" si="37"/>
        <v>0.03</v>
      </c>
      <c r="F219" s="666"/>
      <c r="G219" s="21">
        <f t="shared" si="38"/>
        <v>0.05</v>
      </c>
      <c r="H219" s="666"/>
      <c r="I219" s="21">
        <f t="shared" si="39"/>
        <v>0.01</v>
      </c>
      <c r="J219" s="666"/>
      <c r="K219" s="21">
        <f t="shared" si="40"/>
        <v>0</v>
      </c>
      <c r="L219" s="666"/>
      <c r="M219" s="21">
        <f t="shared" si="41"/>
        <v>1</v>
      </c>
      <c r="N219" s="666"/>
      <c r="O219" s="21">
        <f t="shared" si="42"/>
        <v>1</v>
      </c>
      <c r="P219" s="666"/>
      <c r="Q219" s="21">
        <f t="shared" si="43"/>
        <v>0</v>
      </c>
      <c r="R219" s="662">
        <f t="shared" si="44"/>
        <v>0</v>
      </c>
      <c r="S219" s="316">
        <f t="shared" si="35"/>
        <v>0</v>
      </c>
    </row>
    <row r="220" spans="1:19">
      <c r="A220" s="150"/>
      <c r="B220" s="54"/>
      <c r="C220" s="21">
        <f t="shared" si="36"/>
        <v>1</v>
      </c>
      <c r="D220" s="666"/>
      <c r="E220" s="21">
        <f t="shared" si="37"/>
        <v>0.03</v>
      </c>
      <c r="F220" s="666"/>
      <c r="G220" s="21">
        <f t="shared" si="38"/>
        <v>0.05</v>
      </c>
      <c r="H220" s="666"/>
      <c r="I220" s="21">
        <f t="shared" si="39"/>
        <v>0.01</v>
      </c>
      <c r="J220" s="666"/>
      <c r="K220" s="21">
        <f t="shared" si="40"/>
        <v>0</v>
      </c>
      <c r="L220" s="666"/>
      <c r="M220" s="21">
        <f t="shared" si="41"/>
        <v>1</v>
      </c>
      <c r="N220" s="666"/>
      <c r="O220" s="21">
        <f t="shared" si="42"/>
        <v>1</v>
      </c>
      <c r="P220" s="666"/>
      <c r="Q220" s="21">
        <f t="shared" si="43"/>
        <v>0</v>
      </c>
      <c r="R220" s="662">
        <f t="shared" si="44"/>
        <v>0</v>
      </c>
      <c r="S220" s="316">
        <f t="shared" si="35"/>
        <v>0</v>
      </c>
    </row>
    <row r="221" spans="1:19">
      <c r="A221" s="150"/>
      <c r="B221" s="54"/>
      <c r="C221" s="21">
        <f t="shared" si="36"/>
        <v>1</v>
      </c>
      <c r="D221" s="666"/>
      <c r="E221" s="21">
        <f t="shared" si="37"/>
        <v>0.03</v>
      </c>
      <c r="F221" s="666"/>
      <c r="G221" s="21">
        <f t="shared" si="38"/>
        <v>0.05</v>
      </c>
      <c r="H221" s="666"/>
      <c r="I221" s="21">
        <f t="shared" si="39"/>
        <v>0.01</v>
      </c>
      <c r="J221" s="666"/>
      <c r="K221" s="21">
        <f t="shared" si="40"/>
        <v>0</v>
      </c>
      <c r="L221" s="666"/>
      <c r="M221" s="21">
        <f t="shared" si="41"/>
        <v>1</v>
      </c>
      <c r="N221" s="666"/>
      <c r="O221" s="21">
        <f t="shared" si="42"/>
        <v>1</v>
      </c>
      <c r="P221" s="666"/>
      <c r="Q221" s="21">
        <f t="shared" si="43"/>
        <v>0</v>
      </c>
      <c r="R221" s="662">
        <f t="shared" si="44"/>
        <v>0</v>
      </c>
      <c r="S221" s="316">
        <f t="shared" si="35"/>
        <v>0</v>
      </c>
    </row>
    <row r="222" spans="1:19">
      <c r="A222" s="150"/>
      <c r="B222" s="54"/>
      <c r="C222" s="21">
        <f t="shared" si="36"/>
        <v>1</v>
      </c>
      <c r="D222" s="666"/>
      <c r="E222" s="21">
        <f t="shared" si="37"/>
        <v>0.03</v>
      </c>
      <c r="F222" s="666"/>
      <c r="G222" s="21">
        <f t="shared" si="38"/>
        <v>0.05</v>
      </c>
      <c r="H222" s="666"/>
      <c r="I222" s="21">
        <f t="shared" si="39"/>
        <v>0.01</v>
      </c>
      <c r="J222" s="666"/>
      <c r="K222" s="21">
        <f t="shared" si="40"/>
        <v>0</v>
      </c>
      <c r="L222" s="666"/>
      <c r="M222" s="21">
        <f t="shared" si="41"/>
        <v>1</v>
      </c>
      <c r="N222" s="666"/>
      <c r="O222" s="21">
        <f t="shared" si="42"/>
        <v>1</v>
      </c>
      <c r="P222" s="666"/>
      <c r="Q222" s="21">
        <f t="shared" si="43"/>
        <v>0</v>
      </c>
      <c r="R222" s="662">
        <f t="shared" si="44"/>
        <v>0</v>
      </c>
      <c r="S222" s="316">
        <f t="shared" si="35"/>
        <v>0</v>
      </c>
    </row>
    <row r="223" spans="1:19">
      <c r="A223" s="150"/>
      <c r="B223" s="54"/>
      <c r="C223" s="21">
        <f t="shared" si="36"/>
        <v>1</v>
      </c>
      <c r="D223" s="666"/>
      <c r="E223" s="21">
        <f t="shared" si="37"/>
        <v>0.03</v>
      </c>
      <c r="F223" s="666"/>
      <c r="G223" s="21">
        <f t="shared" si="38"/>
        <v>0.05</v>
      </c>
      <c r="H223" s="666"/>
      <c r="I223" s="21">
        <f t="shared" si="39"/>
        <v>0.01</v>
      </c>
      <c r="J223" s="666"/>
      <c r="K223" s="21">
        <f t="shared" si="40"/>
        <v>0</v>
      </c>
      <c r="L223" s="666"/>
      <c r="M223" s="21">
        <f t="shared" si="41"/>
        <v>1</v>
      </c>
      <c r="N223" s="666"/>
      <c r="O223" s="21">
        <f t="shared" si="42"/>
        <v>1</v>
      </c>
      <c r="P223" s="666"/>
      <c r="Q223" s="21">
        <f t="shared" si="43"/>
        <v>0</v>
      </c>
      <c r="R223" s="662">
        <f t="shared" si="44"/>
        <v>0</v>
      </c>
      <c r="S223" s="316">
        <f t="shared" si="35"/>
        <v>0</v>
      </c>
    </row>
    <row r="224" spans="1:19">
      <c r="A224" s="150"/>
      <c r="B224" s="54"/>
      <c r="C224" s="21">
        <f t="shared" si="36"/>
        <v>1</v>
      </c>
      <c r="D224" s="666"/>
      <c r="E224" s="21">
        <f t="shared" si="37"/>
        <v>0.03</v>
      </c>
      <c r="F224" s="666"/>
      <c r="G224" s="21">
        <f t="shared" si="38"/>
        <v>0.05</v>
      </c>
      <c r="H224" s="666"/>
      <c r="I224" s="21">
        <f t="shared" si="39"/>
        <v>0.01</v>
      </c>
      <c r="J224" s="666"/>
      <c r="K224" s="21">
        <f t="shared" si="40"/>
        <v>0</v>
      </c>
      <c r="L224" s="666"/>
      <c r="M224" s="21">
        <f t="shared" si="41"/>
        <v>1</v>
      </c>
      <c r="N224" s="666"/>
      <c r="O224" s="21">
        <f t="shared" si="42"/>
        <v>1</v>
      </c>
      <c r="P224" s="666"/>
      <c r="Q224" s="21">
        <f t="shared" si="43"/>
        <v>0</v>
      </c>
      <c r="R224" s="662">
        <f t="shared" si="44"/>
        <v>0</v>
      </c>
      <c r="S224" s="316">
        <f t="shared" si="35"/>
        <v>0</v>
      </c>
    </row>
    <row r="225" spans="1:19">
      <c r="A225" s="150"/>
      <c r="B225" s="54"/>
      <c r="C225" s="21">
        <f t="shared" si="36"/>
        <v>1</v>
      </c>
      <c r="D225" s="666"/>
      <c r="E225" s="21">
        <f t="shared" si="37"/>
        <v>0.03</v>
      </c>
      <c r="F225" s="666"/>
      <c r="G225" s="21">
        <f t="shared" si="38"/>
        <v>0.05</v>
      </c>
      <c r="H225" s="666"/>
      <c r="I225" s="21">
        <f t="shared" si="39"/>
        <v>0.01</v>
      </c>
      <c r="J225" s="666"/>
      <c r="K225" s="21">
        <f t="shared" si="40"/>
        <v>0</v>
      </c>
      <c r="L225" s="666"/>
      <c r="M225" s="21">
        <f t="shared" si="41"/>
        <v>1</v>
      </c>
      <c r="N225" s="666"/>
      <c r="O225" s="21">
        <f t="shared" si="42"/>
        <v>1</v>
      </c>
      <c r="P225" s="666"/>
      <c r="Q225" s="21">
        <f t="shared" si="43"/>
        <v>0</v>
      </c>
      <c r="R225" s="662">
        <f t="shared" si="44"/>
        <v>0</v>
      </c>
      <c r="S225" s="316">
        <f t="shared" si="35"/>
        <v>0</v>
      </c>
    </row>
    <row r="226" spans="1:19">
      <c r="A226" s="150"/>
      <c r="B226" s="54"/>
      <c r="C226" s="21">
        <f t="shared" si="36"/>
        <v>1</v>
      </c>
      <c r="D226" s="666"/>
      <c r="E226" s="21">
        <f t="shared" si="37"/>
        <v>0.03</v>
      </c>
      <c r="F226" s="666"/>
      <c r="G226" s="21">
        <f t="shared" si="38"/>
        <v>0.05</v>
      </c>
      <c r="H226" s="666"/>
      <c r="I226" s="21">
        <f t="shared" si="39"/>
        <v>0.01</v>
      </c>
      <c r="J226" s="666"/>
      <c r="K226" s="21">
        <f t="shared" si="40"/>
        <v>0</v>
      </c>
      <c r="L226" s="666"/>
      <c r="M226" s="21">
        <f t="shared" si="41"/>
        <v>1</v>
      </c>
      <c r="N226" s="666"/>
      <c r="O226" s="21">
        <f t="shared" si="42"/>
        <v>1</v>
      </c>
      <c r="P226" s="666"/>
      <c r="Q226" s="21">
        <f t="shared" si="43"/>
        <v>0</v>
      </c>
      <c r="R226" s="662">
        <f t="shared" si="44"/>
        <v>0</v>
      </c>
      <c r="S226" s="316">
        <f t="shared" si="35"/>
        <v>0</v>
      </c>
    </row>
    <row r="227" spans="1:19">
      <c r="A227" s="150"/>
      <c r="B227" s="54"/>
      <c r="C227" s="21">
        <f t="shared" si="36"/>
        <v>1</v>
      </c>
      <c r="D227" s="666"/>
      <c r="E227" s="21">
        <f t="shared" si="37"/>
        <v>0.03</v>
      </c>
      <c r="F227" s="666"/>
      <c r="G227" s="21">
        <f t="shared" si="38"/>
        <v>0.05</v>
      </c>
      <c r="H227" s="666"/>
      <c r="I227" s="21">
        <f t="shared" si="39"/>
        <v>0.01</v>
      </c>
      <c r="J227" s="666"/>
      <c r="K227" s="21">
        <f t="shared" si="40"/>
        <v>0</v>
      </c>
      <c r="L227" s="666"/>
      <c r="M227" s="21">
        <f t="shared" si="41"/>
        <v>1</v>
      </c>
      <c r="N227" s="666"/>
      <c r="O227" s="21">
        <f t="shared" si="42"/>
        <v>1</v>
      </c>
      <c r="P227" s="666"/>
      <c r="Q227" s="21">
        <f t="shared" si="43"/>
        <v>0</v>
      </c>
      <c r="R227" s="662">
        <f t="shared" si="44"/>
        <v>0</v>
      </c>
      <c r="S227" s="316">
        <f t="shared" si="35"/>
        <v>0</v>
      </c>
    </row>
    <row r="228" spans="1:19">
      <c r="A228" s="150"/>
      <c r="B228" s="54"/>
      <c r="C228" s="21">
        <f t="shared" si="36"/>
        <v>1</v>
      </c>
      <c r="D228" s="666"/>
      <c r="E228" s="21">
        <f t="shared" si="37"/>
        <v>0.03</v>
      </c>
      <c r="F228" s="666"/>
      <c r="G228" s="21">
        <f t="shared" si="38"/>
        <v>0.05</v>
      </c>
      <c r="H228" s="666"/>
      <c r="I228" s="21">
        <f t="shared" si="39"/>
        <v>0.01</v>
      </c>
      <c r="J228" s="666"/>
      <c r="K228" s="21">
        <f t="shared" si="40"/>
        <v>0</v>
      </c>
      <c r="L228" s="666"/>
      <c r="M228" s="21">
        <f t="shared" si="41"/>
        <v>1</v>
      </c>
      <c r="N228" s="666"/>
      <c r="O228" s="21">
        <f t="shared" si="42"/>
        <v>1</v>
      </c>
      <c r="P228" s="666"/>
      <c r="Q228" s="21">
        <f t="shared" si="43"/>
        <v>0</v>
      </c>
      <c r="R228" s="662">
        <f t="shared" si="44"/>
        <v>0</v>
      </c>
      <c r="S228" s="316">
        <f t="shared" si="35"/>
        <v>0</v>
      </c>
    </row>
    <row r="229" spans="1:19">
      <c r="A229" s="150"/>
      <c r="B229" s="54"/>
      <c r="C229" s="21">
        <f t="shared" si="36"/>
        <v>1</v>
      </c>
      <c r="D229" s="666"/>
      <c r="E229" s="21">
        <f t="shared" si="37"/>
        <v>0.03</v>
      </c>
      <c r="F229" s="666"/>
      <c r="G229" s="21">
        <f t="shared" si="38"/>
        <v>0.05</v>
      </c>
      <c r="H229" s="666"/>
      <c r="I229" s="21">
        <f t="shared" si="39"/>
        <v>0.01</v>
      </c>
      <c r="J229" s="666"/>
      <c r="K229" s="21">
        <f t="shared" si="40"/>
        <v>0</v>
      </c>
      <c r="L229" s="666"/>
      <c r="M229" s="21">
        <f t="shared" si="41"/>
        <v>1</v>
      </c>
      <c r="N229" s="666"/>
      <c r="O229" s="21">
        <f t="shared" si="42"/>
        <v>1</v>
      </c>
      <c r="P229" s="666"/>
      <c r="Q229" s="21">
        <f t="shared" si="43"/>
        <v>0</v>
      </c>
      <c r="R229" s="662">
        <f t="shared" si="44"/>
        <v>0</v>
      </c>
      <c r="S229" s="316">
        <f t="shared" si="35"/>
        <v>0</v>
      </c>
    </row>
    <row r="230" spans="1:19">
      <c r="A230" s="150"/>
      <c r="B230" s="54"/>
      <c r="C230" s="21">
        <f t="shared" si="36"/>
        <v>1</v>
      </c>
      <c r="D230" s="666"/>
      <c r="E230" s="21">
        <f t="shared" si="37"/>
        <v>0.03</v>
      </c>
      <c r="F230" s="666"/>
      <c r="G230" s="21">
        <f t="shared" si="38"/>
        <v>0.05</v>
      </c>
      <c r="H230" s="666"/>
      <c r="I230" s="21">
        <f t="shared" si="39"/>
        <v>0.01</v>
      </c>
      <c r="J230" s="666"/>
      <c r="K230" s="21">
        <f t="shared" si="40"/>
        <v>0</v>
      </c>
      <c r="L230" s="666"/>
      <c r="M230" s="21">
        <f t="shared" si="41"/>
        <v>1</v>
      </c>
      <c r="N230" s="666"/>
      <c r="O230" s="21">
        <f t="shared" si="42"/>
        <v>1</v>
      </c>
      <c r="P230" s="666"/>
      <c r="Q230" s="21">
        <f t="shared" si="43"/>
        <v>0</v>
      </c>
      <c r="R230" s="662">
        <f t="shared" si="44"/>
        <v>0</v>
      </c>
      <c r="S230" s="316">
        <f t="shared" si="35"/>
        <v>0</v>
      </c>
    </row>
    <row r="231" spans="1:19">
      <c r="A231" s="150"/>
      <c r="B231" s="54"/>
      <c r="C231" s="21">
        <f t="shared" si="36"/>
        <v>1</v>
      </c>
      <c r="D231" s="666"/>
      <c r="E231" s="21">
        <f t="shared" si="37"/>
        <v>0.03</v>
      </c>
      <c r="F231" s="666"/>
      <c r="G231" s="21">
        <f t="shared" si="38"/>
        <v>0.05</v>
      </c>
      <c r="H231" s="666"/>
      <c r="I231" s="21">
        <f t="shared" si="39"/>
        <v>0.01</v>
      </c>
      <c r="J231" s="666"/>
      <c r="K231" s="21">
        <f t="shared" si="40"/>
        <v>0</v>
      </c>
      <c r="L231" s="666"/>
      <c r="M231" s="21">
        <f t="shared" si="41"/>
        <v>1</v>
      </c>
      <c r="N231" s="666"/>
      <c r="O231" s="21">
        <f t="shared" si="42"/>
        <v>1</v>
      </c>
      <c r="P231" s="666"/>
      <c r="Q231" s="21">
        <f t="shared" si="43"/>
        <v>0</v>
      </c>
      <c r="R231" s="662">
        <f t="shared" si="44"/>
        <v>0</v>
      </c>
      <c r="S231" s="316">
        <f t="shared" si="35"/>
        <v>0</v>
      </c>
    </row>
    <row r="232" spans="1:19">
      <c r="A232" s="150"/>
      <c r="B232" s="54"/>
      <c r="C232" s="21">
        <f t="shared" si="36"/>
        <v>1</v>
      </c>
      <c r="D232" s="666"/>
      <c r="E232" s="21">
        <f t="shared" si="37"/>
        <v>0.03</v>
      </c>
      <c r="F232" s="666"/>
      <c r="G232" s="21">
        <f t="shared" si="38"/>
        <v>0.05</v>
      </c>
      <c r="H232" s="666"/>
      <c r="I232" s="21">
        <f t="shared" si="39"/>
        <v>0.01</v>
      </c>
      <c r="J232" s="666"/>
      <c r="K232" s="21">
        <f t="shared" si="40"/>
        <v>0</v>
      </c>
      <c r="L232" s="666"/>
      <c r="M232" s="21">
        <f t="shared" si="41"/>
        <v>1</v>
      </c>
      <c r="N232" s="666"/>
      <c r="O232" s="21">
        <f t="shared" si="42"/>
        <v>1</v>
      </c>
      <c r="P232" s="666"/>
      <c r="Q232" s="21">
        <f t="shared" si="43"/>
        <v>0</v>
      </c>
      <c r="R232" s="662">
        <f t="shared" si="44"/>
        <v>0</v>
      </c>
      <c r="S232" s="316">
        <f t="shared" si="35"/>
        <v>0</v>
      </c>
    </row>
    <row r="233" spans="1:19">
      <c r="A233" s="150"/>
      <c r="B233" s="54"/>
      <c r="C233" s="21">
        <f t="shared" si="36"/>
        <v>1</v>
      </c>
      <c r="D233" s="666"/>
      <c r="E233" s="21">
        <f t="shared" si="37"/>
        <v>0.03</v>
      </c>
      <c r="F233" s="666"/>
      <c r="G233" s="21">
        <f t="shared" si="38"/>
        <v>0.05</v>
      </c>
      <c r="H233" s="666"/>
      <c r="I233" s="21">
        <f t="shared" si="39"/>
        <v>0.01</v>
      </c>
      <c r="J233" s="666"/>
      <c r="K233" s="21">
        <f t="shared" si="40"/>
        <v>0</v>
      </c>
      <c r="L233" s="666"/>
      <c r="M233" s="21">
        <f t="shared" si="41"/>
        <v>1</v>
      </c>
      <c r="N233" s="666"/>
      <c r="O233" s="21">
        <f t="shared" si="42"/>
        <v>1</v>
      </c>
      <c r="P233" s="666"/>
      <c r="Q233" s="21">
        <f t="shared" si="43"/>
        <v>0</v>
      </c>
      <c r="R233" s="662">
        <f t="shared" si="44"/>
        <v>0</v>
      </c>
      <c r="S233" s="316">
        <f t="shared" si="35"/>
        <v>0</v>
      </c>
    </row>
    <row r="234" spans="1:19">
      <c r="A234" s="150"/>
      <c r="B234" s="54"/>
      <c r="C234" s="21">
        <f t="shared" si="36"/>
        <v>1</v>
      </c>
      <c r="D234" s="666"/>
      <c r="E234" s="21">
        <f t="shared" si="37"/>
        <v>0.03</v>
      </c>
      <c r="F234" s="666"/>
      <c r="G234" s="21">
        <f t="shared" si="38"/>
        <v>0.05</v>
      </c>
      <c r="H234" s="666"/>
      <c r="I234" s="21">
        <f t="shared" si="39"/>
        <v>0.01</v>
      </c>
      <c r="J234" s="666"/>
      <c r="K234" s="21">
        <f t="shared" si="40"/>
        <v>0</v>
      </c>
      <c r="L234" s="666"/>
      <c r="M234" s="21">
        <f t="shared" si="41"/>
        <v>1</v>
      </c>
      <c r="N234" s="666"/>
      <c r="O234" s="21">
        <f t="shared" si="42"/>
        <v>1</v>
      </c>
      <c r="P234" s="666"/>
      <c r="Q234" s="21">
        <f t="shared" si="43"/>
        <v>0</v>
      </c>
      <c r="R234" s="662">
        <f t="shared" si="44"/>
        <v>0</v>
      </c>
      <c r="S234" s="316">
        <f t="shared" si="35"/>
        <v>0</v>
      </c>
    </row>
    <row r="235" spans="1:19">
      <c r="A235" s="150"/>
      <c r="B235" s="54"/>
      <c r="C235" s="21">
        <f t="shared" si="36"/>
        <v>1</v>
      </c>
      <c r="D235" s="666"/>
      <c r="E235" s="21">
        <f t="shared" si="37"/>
        <v>0.03</v>
      </c>
      <c r="F235" s="666"/>
      <c r="G235" s="21">
        <f t="shared" si="38"/>
        <v>0.05</v>
      </c>
      <c r="H235" s="666"/>
      <c r="I235" s="21">
        <f t="shared" si="39"/>
        <v>0.01</v>
      </c>
      <c r="J235" s="666"/>
      <c r="K235" s="21">
        <f t="shared" si="40"/>
        <v>0</v>
      </c>
      <c r="L235" s="666"/>
      <c r="M235" s="21">
        <f t="shared" si="41"/>
        <v>1</v>
      </c>
      <c r="N235" s="666"/>
      <c r="O235" s="21">
        <f t="shared" si="42"/>
        <v>1</v>
      </c>
      <c r="P235" s="666"/>
      <c r="Q235" s="21">
        <f t="shared" si="43"/>
        <v>0</v>
      </c>
      <c r="R235" s="662">
        <f t="shared" si="44"/>
        <v>0</v>
      </c>
      <c r="S235" s="316">
        <f t="shared" si="35"/>
        <v>0</v>
      </c>
    </row>
    <row r="236" spans="1:19">
      <c r="A236" s="150"/>
      <c r="B236" s="54"/>
      <c r="C236" s="21">
        <f t="shared" si="36"/>
        <v>1</v>
      </c>
      <c r="D236" s="666"/>
      <c r="E236" s="21">
        <f t="shared" si="37"/>
        <v>0.03</v>
      </c>
      <c r="F236" s="666"/>
      <c r="G236" s="21">
        <f t="shared" si="38"/>
        <v>0.05</v>
      </c>
      <c r="H236" s="666"/>
      <c r="I236" s="21">
        <f t="shared" si="39"/>
        <v>0.01</v>
      </c>
      <c r="J236" s="666"/>
      <c r="K236" s="21">
        <f t="shared" si="40"/>
        <v>0</v>
      </c>
      <c r="L236" s="666"/>
      <c r="M236" s="21">
        <f t="shared" si="41"/>
        <v>1</v>
      </c>
      <c r="N236" s="666"/>
      <c r="O236" s="21">
        <f t="shared" si="42"/>
        <v>1</v>
      </c>
      <c r="P236" s="666"/>
      <c r="Q236" s="21">
        <f t="shared" si="43"/>
        <v>0</v>
      </c>
      <c r="R236" s="662">
        <f t="shared" si="44"/>
        <v>0</v>
      </c>
      <c r="S236" s="316">
        <f t="shared" si="35"/>
        <v>0</v>
      </c>
    </row>
    <row r="237" spans="1:19">
      <c r="A237" s="150"/>
      <c r="B237" s="54"/>
      <c r="C237" s="21">
        <f t="shared" si="36"/>
        <v>1</v>
      </c>
      <c r="D237" s="666"/>
      <c r="E237" s="21">
        <f t="shared" si="37"/>
        <v>0.03</v>
      </c>
      <c r="F237" s="666"/>
      <c r="G237" s="21">
        <f t="shared" si="38"/>
        <v>0.05</v>
      </c>
      <c r="H237" s="666"/>
      <c r="I237" s="21">
        <f t="shared" si="39"/>
        <v>0.01</v>
      </c>
      <c r="J237" s="666"/>
      <c r="K237" s="21">
        <f t="shared" si="40"/>
        <v>0</v>
      </c>
      <c r="L237" s="666"/>
      <c r="M237" s="21">
        <f t="shared" si="41"/>
        <v>1</v>
      </c>
      <c r="N237" s="666"/>
      <c r="O237" s="21">
        <f t="shared" si="42"/>
        <v>1</v>
      </c>
      <c r="P237" s="666"/>
      <c r="Q237" s="21">
        <f t="shared" si="43"/>
        <v>0</v>
      </c>
      <c r="R237" s="662">
        <f t="shared" si="44"/>
        <v>0</v>
      </c>
      <c r="S237" s="316">
        <f t="shared" si="35"/>
        <v>0</v>
      </c>
    </row>
    <row r="238" spans="1:19">
      <c r="A238" s="150"/>
      <c r="B238" s="54"/>
      <c r="C238" s="21">
        <f t="shared" si="36"/>
        <v>1</v>
      </c>
      <c r="D238" s="666"/>
      <c r="E238" s="21">
        <f t="shared" si="37"/>
        <v>0.03</v>
      </c>
      <c r="F238" s="666"/>
      <c r="G238" s="21">
        <f t="shared" si="38"/>
        <v>0.05</v>
      </c>
      <c r="H238" s="666"/>
      <c r="I238" s="21">
        <f t="shared" si="39"/>
        <v>0.01</v>
      </c>
      <c r="J238" s="666"/>
      <c r="K238" s="21">
        <f t="shared" si="40"/>
        <v>0</v>
      </c>
      <c r="L238" s="666"/>
      <c r="M238" s="21">
        <f t="shared" si="41"/>
        <v>1</v>
      </c>
      <c r="N238" s="666"/>
      <c r="O238" s="21">
        <f t="shared" si="42"/>
        <v>1</v>
      </c>
      <c r="P238" s="666"/>
      <c r="Q238" s="21">
        <f t="shared" si="43"/>
        <v>0</v>
      </c>
      <c r="R238" s="662">
        <f t="shared" si="44"/>
        <v>0</v>
      </c>
      <c r="S238" s="316">
        <f t="shared" si="35"/>
        <v>0</v>
      </c>
    </row>
    <row r="239" spans="1:19">
      <c r="A239" s="150"/>
      <c r="B239" s="54"/>
      <c r="C239" s="21">
        <f t="shared" si="36"/>
        <v>1</v>
      </c>
      <c r="D239" s="666"/>
      <c r="E239" s="21">
        <f t="shared" si="37"/>
        <v>0.03</v>
      </c>
      <c r="F239" s="666"/>
      <c r="G239" s="21">
        <f t="shared" si="38"/>
        <v>0.05</v>
      </c>
      <c r="H239" s="666"/>
      <c r="I239" s="21">
        <f t="shared" si="39"/>
        <v>0.01</v>
      </c>
      <c r="J239" s="666"/>
      <c r="K239" s="21">
        <f t="shared" si="40"/>
        <v>0</v>
      </c>
      <c r="L239" s="666"/>
      <c r="M239" s="21">
        <f t="shared" si="41"/>
        <v>1</v>
      </c>
      <c r="N239" s="666"/>
      <c r="O239" s="21">
        <f t="shared" si="42"/>
        <v>1</v>
      </c>
      <c r="P239" s="666"/>
      <c r="Q239" s="21">
        <f t="shared" si="43"/>
        <v>0</v>
      </c>
      <c r="R239" s="662">
        <f t="shared" si="44"/>
        <v>0</v>
      </c>
      <c r="S239" s="316">
        <f t="shared" si="35"/>
        <v>0</v>
      </c>
    </row>
    <row r="240" spans="1:19">
      <c r="A240" s="150"/>
      <c r="B240" s="54"/>
      <c r="C240" s="21">
        <f t="shared" si="36"/>
        <v>1</v>
      </c>
      <c r="D240" s="666"/>
      <c r="E240" s="21">
        <f t="shared" si="37"/>
        <v>0.03</v>
      </c>
      <c r="F240" s="666"/>
      <c r="G240" s="21">
        <f t="shared" si="38"/>
        <v>0.05</v>
      </c>
      <c r="H240" s="666"/>
      <c r="I240" s="21">
        <f t="shared" si="39"/>
        <v>0.01</v>
      </c>
      <c r="J240" s="666"/>
      <c r="K240" s="21">
        <f t="shared" si="40"/>
        <v>0</v>
      </c>
      <c r="L240" s="666"/>
      <c r="M240" s="21">
        <f t="shared" si="41"/>
        <v>1</v>
      </c>
      <c r="N240" s="666"/>
      <c r="O240" s="21">
        <f t="shared" si="42"/>
        <v>1</v>
      </c>
      <c r="P240" s="666"/>
      <c r="Q240" s="21">
        <f t="shared" si="43"/>
        <v>0</v>
      </c>
      <c r="R240" s="662">
        <f t="shared" si="44"/>
        <v>0</v>
      </c>
      <c r="S240" s="316">
        <f t="shared" si="35"/>
        <v>0</v>
      </c>
    </row>
    <row r="241" spans="1:19">
      <c r="A241" s="150"/>
      <c r="B241" s="54"/>
      <c r="C241" s="21">
        <f t="shared" si="36"/>
        <v>1</v>
      </c>
      <c r="D241" s="666"/>
      <c r="E241" s="21">
        <f t="shared" si="37"/>
        <v>0.03</v>
      </c>
      <c r="F241" s="666"/>
      <c r="G241" s="21">
        <f t="shared" si="38"/>
        <v>0.05</v>
      </c>
      <c r="H241" s="666"/>
      <c r="I241" s="21">
        <f t="shared" si="39"/>
        <v>0.01</v>
      </c>
      <c r="J241" s="666"/>
      <c r="K241" s="21">
        <f t="shared" si="40"/>
        <v>0</v>
      </c>
      <c r="L241" s="666"/>
      <c r="M241" s="21">
        <f t="shared" si="41"/>
        <v>1</v>
      </c>
      <c r="N241" s="666"/>
      <c r="O241" s="21">
        <f t="shared" si="42"/>
        <v>1</v>
      </c>
      <c r="P241" s="666"/>
      <c r="Q241" s="21">
        <f t="shared" si="43"/>
        <v>0</v>
      </c>
      <c r="R241" s="662">
        <f t="shared" si="44"/>
        <v>0</v>
      </c>
      <c r="S241" s="316">
        <f t="shared" si="35"/>
        <v>0</v>
      </c>
    </row>
    <row r="242" spans="1:19">
      <c r="A242" s="150"/>
      <c r="B242" s="54"/>
      <c r="C242" s="21">
        <f t="shared" si="36"/>
        <v>1</v>
      </c>
      <c r="D242" s="666"/>
      <c r="E242" s="21">
        <f t="shared" si="37"/>
        <v>0.03</v>
      </c>
      <c r="F242" s="666"/>
      <c r="G242" s="21">
        <f t="shared" si="38"/>
        <v>0.05</v>
      </c>
      <c r="H242" s="666"/>
      <c r="I242" s="21">
        <f t="shared" si="39"/>
        <v>0.01</v>
      </c>
      <c r="J242" s="666"/>
      <c r="K242" s="21">
        <f t="shared" si="40"/>
        <v>0</v>
      </c>
      <c r="L242" s="666"/>
      <c r="M242" s="21">
        <f t="shared" si="41"/>
        <v>1</v>
      </c>
      <c r="N242" s="666"/>
      <c r="O242" s="21">
        <f t="shared" si="42"/>
        <v>1</v>
      </c>
      <c r="P242" s="666"/>
      <c r="Q242" s="21">
        <f t="shared" si="43"/>
        <v>0</v>
      </c>
      <c r="R242" s="662">
        <f t="shared" si="44"/>
        <v>0</v>
      </c>
      <c r="S242" s="316">
        <f t="shared" si="35"/>
        <v>0</v>
      </c>
    </row>
    <row r="243" spans="1:19">
      <c r="A243" s="150"/>
      <c r="B243" s="54"/>
      <c r="C243" s="21">
        <f t="shared" si="36"/>
        <v>1</v>
      </c>
      <c r="D243" s="666"/>
      <c r="E243" s="21">
        <f t="shared" si="37"/>
        <v>0.03</v>
      </c>
      <c r="F243" s="666"/>
      <c r="G243" s="21">
        <f t="shared" si="38"/>
        <v>0.05</v>
      </c>
      <c r="H243" s="666"/>
      <c r="I243" s="21">
        <f t="shared" si="39"/>
        <v>0.01</v>
      </c>
      <c r="J243" s="666"/>
      <c r="K243" s="21">
        <f t="shared" si="40"/>
        <v>0</v>
      </c>
      <c r="L243" s="666"/>
      <c r="M243" s="21">
        <f t="shared" si="41"/>
        <v>1</v>
      </c>
      <c r="N243" s="666"/>
      <c r="O243" s="21">
        <f t="shared" si="42"/>
        <v>1</v>
      </c>
      <c r="P243" s="666"/>
      <c r="Q243" s="21">
        <f t="shared" si="43"/>
        <v>0</v>
      </c>
      <c r="R243" s="662">
        <f t="shared" si="44"/>
        <v>0</v>
      </c>
      <c r="S243" s="316">
        <f t="shared" si="35"/>
        <v>0</v>
      </c>
    </row>
    <row r="244" spans="1:19">
      <c r="A244" s="150"/>
      <c r="B244" s="54"/>
      <c r="C244" s="21">
        <f t="shared" si="36"/>
        <v>1</v>
      </c>
      <c r="D244" s="666"/>
      <c r="E244" s="21">
        <f t="shared" si="37"/>
        <v>0.03</v>
      </c>
      <c r="F244" s="666"/>
      <c r="G244" s="21">
        <f t="shared" si="38"/>
        <v>0.05</v>
      </c>
      <c r="H244" s="666"/>
      <c r="I244" s="21">
        <f t="shared" si="39"/>
        <v>0.01</v>
      </c>
      <c r="J244" s="666"/>
      <c r="K244" s="21">
        <f t="shared" si="40"/>
        <v>0</v>
      </c>
      <c r="L244" s="666"/>
      <c r="M244" s="21">
        <f t="shared" si="41"/>
        <v>1</v>
      </c>
      <c r="N244" s="666"/>
      <c r="O244" s="21">
        <f t="shared" si="42"/>
        <v>1</v>
      </c>
      <c r="P244" s="666"/>
      <c r="Q244" s="21">
        <f t="shared" si="43"/>
        <v>0</v>
      </c>
      <c r="R244" s="662">
        <f t="shared" si="44"/>
        <v>0</v>
      </c>
      <c r="S244" s="316">
        <f t="shared" si="35"/>
        <v>0</v>
      </c>
    </row>
    <row r="245" spans="1:19">
      <c r="A245" s="150"/>
      <c r="B245" s="54"/>
      <c r="C245" s="21">
        <f t="shared" si="36"/>
        <v>1</v>
      </c>
      <c r="D245" s="666"/>
      <c r="E245" s="21">
        <f t="shared" si="37"/>
        <v>0.03</v>
      </c>
      <c r="F245" s="666"/>
      <c r="G245" s="21">
        <f t="shared" si="38"/>
        <v>0.05</v>
      </c>
      <c r="H245" s="666"/>
      <c r="I245" s="21">
        <f t="shared" si="39"/>
        <v>0.01</v>
      </c>
      <c r="J245" s="666"/>
      <c r="K245" s="21">
        <f t="shared" si="40"/>
        <v>0</v>
      </c>
      <c r="L245" s="666"/>
      <c r="M245" s="21">
        <f t="shared" si="41"/>
        <v>1</v>
      </c>
      <c r="N245" s="666"/>
      <c r="O245" s="21">
        <f t="shared" si="42"/>
        <v>1</v>
      </c>
      <c r="P245" s="666"/>
      <c r="Q245" s="21">
        <f t="shared" si="43"/>
        <v>0</v>
      </c>
      <c r="R245" s="662">
        <f t="shared" si="44"/>
        <v>0</v>
      </c>
      <c r="S245" s="316">
        <f t="shared" si="35"/>
        <v>0</v>
      </c>
    </row>
    <row r="246" spans="1:19">
      <c r="A246" s="150"/>
      <c r="B246" s="54"/>
      <c r="C246" s="21">
        <f t="shared" si="36"/>
        <v>1</v>
      </c>
      <c r="D246" s="666"/>
      <c r="E246" s="21">
        <f t="shared" si="37"/>
        <v>0.03</v>
      </c>
      <c r="F246" s="666"/>
      <c r="G246" s="21">
        <f t="shared" si="38"/>
        <v>0.05</v>
      </c>
      <c r="H246" s="666"/>
      <c r="I246" s="21">
        <f t="shared" si="39"/>
        <v>0.01</v>
      </c>
      <c r="J246" s="666"/>
      <c r="K246" s="21">
        <f t="shared" si="40"/>
        <v>0</v>
      </c>
      <c r="L246" s="666"/>
      <c r="M246" s="21">
        <f t="shared" si="41"/>
        <v>1</v>
      </c>
      <c r="N246" s="666"/>
      <c r="O246" s="21">
        <f t="shared" si="42"/>
        <v>1</v>
      </c>
      <c r="P246" s="666"/>
      <c r="Q246" s="21">
        <f t="shared" si="43"/>
        <v>0</v>
      </c>
      <c r="R246" s="662">
        <f t="shared" si="44"/>
        <v>0</v>
      </c>
      <c r="S246" s="316">
        <f t="shared" si="35"/>
        <v>0</v>
      </c>
    </row>
    <row r="247" spans="1:19">
      <c r="A247" s="150"/>
      <c r="B247" s="54"/>
      <c r="C247" s="21">
        <f t="shared" si="36"/>
        <v>1</v>
      </c>
      <c r="D247" s="666"/>
      <c r="E247" s="21">
        <f t="shared" si="37"/>
        <v>0.03</v>
      </c>
      <c r="F247" s="666"/>
      <c r="G247" s="21">
        <f t="shared" si="38"/>
        <v>0.05</v>
      </c>
      <c r="H247" s="666"/>
      <c r="I247" s="21">
        <f t="shared" si="39"/>
        <v>0.01</v>
      </c>
      <c r="J247" s="666"/>
      <c r="K247" s="21">
        <f t="shared" si="40"/>
        <v>0</v>
      </c>
      <c r="L247" s="666"/>
      <c r="M247" s="21">
        <f t="shared" si="41"/>
        <v>1</v>
      </c>
      <c r="N247" s="666"/>
      <c r="O247" s="21">
        <f t="shared" si="42"/>
        <v>1</v>
      </c>
      <c r="P247" s="666"/>
      <c r="Q247" s="21">
        <f t="shared" si="43"/>
        <v>0</v>
      </c>
      <c r="R247" s="662">
        <f t="shared" si="44"/>
        <v>0</v>
      </c>
      <c r="S247" s="316">
        <f t="shared" si="35"/>
        <v>0</v>
      </c>
    </row>
    <row r="248" spans="1:19">
      <c r="A248" s="150"/>
      <c r="B248" s="54"/>
      <c r="C248" s="21">
        <f t="shared" si="36"/>
        <v>1</v>
      </c>
      <c r="D248" s="666"/>
      <c r="E248" s="21">
        <f t="shared" si="37"/>
        <v>0.03</v>
      </c>
      <c r="F248" s="666"/>
      <c r="G248" s="21">
        <f t="shared" si="38"/>
        <v>0.05</v>
      </c>
      <c r="H248" s="666"/>
      <c r="I248" s="21">
        <f t="shared" si="39"/>
        <v>0.01</v>
      </c>
      <c r="J248" s="666"/>
      <c r="K248" s="21">
        <f t="shared" si="40"/>
        <v>0</v>
      </c>
      <c r="L248" s="666"/>
      <c r="M248" s="21">
        <f t="shared" si="41"/>
        <v>1</v>
      </c>
      <c r="N248" s="666"/>
      <c r="O248" s="21">
        <f t="shared" si="42"/>
        <v>1</v>
      </c>
      <c r="P248" s="666"/>
      <c r="Q248" s="21">
        <f t="shared" si="43"/>
        <v>0</v>
      </c>
      <c r="R248" s="662">
        <f t="shared" si="44"/>
        <v>0</v>
      </c>
      <c r="S248" s="316">
        <f t="shared" si="35"/>
        <v>0</v>
      </c>
    </row>
    <row r="249" spans="1:19">
      <c r="A249" s="150"/>
      <c r="B249" s="54"/>
      <c r="C249" s="21">
        <f t="shared" si="36"/>
        <v>1</v>
      </c>
      <c r="D249" s="666"/>
      <c r="E249" s="21">
        <f t="shared" si="37"/>
        <v>0.03</v>
      </c>
      <c r="F249" s="666"/>
      <c r="G249" s="21">
        <f t="shared" si="38"/>
        <v>0.05</v>
      </c>
      <c r="H249" s="666"/>
      <c r="I249" s="21">
        <f t="shared" si="39"/>
        <v>0.01</v>
      </c>
      <c r="J249" s="666"/>
      <c r="K249" s="21">
        <f t="shared" si="40"/>
        <v>0</v>
      </c>
      <c r="L249" s="666"/>
      <c r="M249" s="21">
        <f t="shared" si="41"/>
        <v>1</v>
      </c>
      <c r="N249" s="666"/>
      <c r="O249" s="21">
        <f t="shared" si="42"/>
        <v>1</v>
      </c>
      <c r="P249" s="666"/>
      <c r="Q249" s="21">
        <f t="shared" si="43"/>
        <v>0</v>
      </c>
      <c r="R249" s="662">
        <f t="shared" si="44"/>
        <v>0</v>
      </c>
      <c r="S249" s="316">
        <f t="shared" si="35"/>
        <v>0</v>
      </c>
    </row>
    <row r="250" spans="1:19">
      <c r="A250" s="150"/>
      <c r="B250" s="54"/>
      <c r="C250" s="21">
        <f t="shared" si="36"/>
        <v>1</v>
      </c>
      <c r="D250" s="666"/>
      <c r="E250" s="21">
        <f t="shared" si="37"/>
        <v>0.03</v>
      </c>
      <c r="F250" s="666"/>
      <c r="G250" s="21">
        <f t="shared" si="38"/>
        <v>0.05</v>
      </c>
      <c r="H250" s="666"/>
      <c r="I250" s="21">
        <f t="shared" si="39"/>
        <v>0.01</v>
      </c>
      <c r="J250" s="666"/>
      <c r="K250" s="21">
        <f t="shared" si="40"/>
        <v>0</v>
      </c>
      <c r="L250" s="666"/>
      <c r="M250" s="21">
        <f t="shared" si="41"/>
        <v>1</v>
      </c>
      <c r="N250" s="666"/>
      <c r="O250" s="21">
        <f t="shared" si="42"/>
        <v>1</v>
      </c>
      <c r="P250" s="666"/>
      <c r="Q250" s="21">
        <f t="shared" si="43"/>
        <v>0</v>
      </c>
      <c r="R250" s="662">
        <f t="shared" si="44"/>
        <v>0</v>
      </c>
      <c r="S250" s="316">
        <f t="shared" si="35"/>
        <v>0</v>
      </c>
    </row>
    <row r="251" spans="1:19">
      <c r="A251" s="150"/>
      <c r="B251" s="54"/>
      <c r="C251" s="21">
        <f t="shared" si="36"/>
        <v>1</v>
      </c>
      <c r="D251" s="666"/>
      <c r="E251" s="21">
        <f t="shared" si="37"/>
        <v>0.03</v>
      </c>
      <c r="F251" s="666"/>
      <c r="G251" s="21">
        <f t="shared" si="38"/>
        <v>0.05</v>
      </c>
      <c r="H251" s="666"/>
      <c r="I251" s="21">
        <f t="shared" si="39"/>
        <v>0.01</v>
      </c>
      <c r="J251" s="666"/>
      <c r="K251" s="21">
        <f t="shared" si="40"/>
        <v>0</v>
      </c>
      <c r="L251" s="666"/>
      <c r="M251" s="21">
        <f t="shared" si="41"/>
        <v>1</v>
      </c>
      <c r="N251" s="666"/>
      <c r="O251" s="21">
        <f t="shared" si="42"/>
        <v>1</v>
      </c>
      <c r="P251" s="666"/>
      <c r="Q251" s="21">
        <f t="shared" si="43"/>
        <v>0</v>
      </c>
      <c r="R251" s="662">
        <f t="shared" si="44"/>
        <v>0</v>
      </c>
      <c r="S251" s="316">
        <f t="shared" si="35"/>
        <v>0</v>
      </c>
    </row>
    <row r="252" spans="1:19">
      <c r="A252" s="150"/>
      <c r="B252" s="54"/>
      <c r="C252" s="21">
        <f t="shared" si="36"/>
        <v>1</v>
      </c>
      <c r="D252" s="666"/>
      <c r="E252" s="21">
        <f t="shared" si="37"/>
        <v>0.03</v>
      </c>
      <c r="F252" s="666"/>
      <c r="G252" s="21">
        <f t="shared" si="38"/>
        <v>0.05</v>
      </c>
      <c r="H252" s="666"/>
      <c r="I252" s="21">
        <f t="shared" si="39"/>
        <v>0.01</v>
      </c>
      <c r="J252" s="666"/>
      <c r="K252" s="21">
        <f t="shared" si="40"/>
        <v>0</v>
      </c>
      <c r="L252" s="666"/>
      <c r="M252" s="21">
        <f t="shared" si="41"/>
        <v>1</v>
      </c>
      <c r="N252" s="666"/>
      <c r="O252" s="21">
        <f t="shared" si="42"/>
        <v>1</v>
      </c>
      <c r="P252" s="666"/>
      <c r="Q252" s="21">
        <f t="shared" si="43"/>
        <v>0</v>
      </c>
      <c r="R252" s="662">
        <f t="shared" si="44"/>
        <v>0</v>
      </c>
      <c r="S252" s="316">
        <f t="shared" si="35"/>
        <v>0</v>
      </c>
    </row>
    <row r="253" spans="1:19">
      <c r="A253" s="150"/>
      <c r="B253" s="54"/>
      <c r="C253" s="21">
        <f t="shared" si="36"/>
        <v>1</v>
      </c>
      <c r="D253" s="666"/>
      <c r="E253" s="21">
        <f t="shared" si="37"/>
        <v>0.03</v>
      </c>
      <c r="F253" s="666"/>
      <c r="G253" s="21">
        <f t="shared" si="38"/>
        <v>0.05</v>
      </c>
      <c r="H253" s="666"/>
      <c r="I253" s="21">
        <f t="shared" si="39"/>
        <v>0.01</v>
      </c>
      <c r="J253" s="666"/>
      <c r="K253" s="21">
        <f t="shared" si="40"/>
        <v>0</v>
      </c>
      <c r="L253" s="666"/>
      <c r="M253" s="21">
        <f t="shared" si="41"/>
        <v>1</v>
      </c>
      <c r="N253" s="666"/>
      <c r="O253" s="21">
        <f t="shared" si="42"/>
        <v>1</v>
      </c>
      <c r="P253" s="666"/>
      <c r="Q253" s="21">
        <f t="shared" si="43"/>
        <v>0</v>
      </c>
      <c r="R253" s="662">
        <f t="shared" si="44"/>
        <v>0</v>
      </c>
      <c r="S253" s="316">
        <f t="shared" si="35"/>
        <v>0</v>
      </c>
    </row>
    <row r="254" spans="1:19">
      <c r="A254" s="150"/>
      <c r="B254" s="54"/>
      <c r="C254" s="21">
        <f t="shared" si="36"/>
        <v>1</v>
      </c>
      <c r="D254" s="666"/>
      <c r="E254" s="21">
        <f t="shared" si="37"/>
        <v>0.03</v>
      </c>
      <c r="F254" s="666"/>
      <c r="G254" s="21">
        <f t="shared" si="38"/>
        <v>0.05</v>
      </c>
      <c r="H254" s="666"/>
      <c r="I254" s="21">
        <f t="shared" si="39"/>
        <v>0.01</v>
      </c>
      <c r="J254" s="666"/>
      <c r="K254" s="21">
        <f t="shared" si="40"/>
        <v>0</v>
      </c>
      <c r="L254" s="666"/>
      <c r="M254" s="21">
        <f t="shared" si="41"/>
        <v>1</v>
      </c>
      <c r="N254" s="666"/>
      <c r="O254" s="21">
        <f t="shared" si="42"/>
        <v>1</v>
      </c>
      <c r="P254" s="666"/>
      <c r="Q254" s="21">
        <f t="shared" si="43"/>
        <v>0</v>
      </c>
      <c r="R254" s="662">
        <f t="shared" si="44"/>
        <v>0</v>
      </c>
      <c r="S254" s="316">
        <f t="shared" si="35"/>
        <v>0</v>
      </c>
    </row>
    <row r="255" spans="1:19">
      <c r="A255" s="150"/>
      <c r="B255" s="54"/>
      <c r="C255" s="21">
        <f t="shared" si="36"/>
        <v>1</v>
      </c>
      <c r="D255" s="666"/>
      <c r="E255" s="21">
        <f t="shared" si="37"/>
        <v>0.03</v>
      </c>
      <c r="F255" s="666"/>
      <c r="G255" s="21">
        <f t="shared" si="38"/>
        <v>0.05</v>
      </c>
      <c r="H255" s="666"/>
      <c r="I255" s="21">
        <f t="shared" si="39"/>
        <v>0.01</v>
      </c>
      <c r="J255" s="666"/>
      <c r="K255" s="21">
        <f t="shared" si="40"/>
        <v>0</v>
      </c>
      <c r="L255" s="666"/>
      <c r="M255" s="21">
        <f t="shared" si="41"/>
        <v>1</v>
      </c>
      <c r="N255" s="666"/>
      <c r="O255" s="21">
        <f t="shared" si="42"/>
        <v>1</v>
      </c>
      <c r="P255" s="666"/>
      <c r="Q255" s="21">
        <f t="shared" si="43"/>
        <v>0</v>
      </c>
      <c r="R255" s="662">
        <f t="shared" si="44"/>
        <v>0</v>
      </c>
      <c r="S255" s="316">
        <f t="shared" si="35"/>
        <v>0</v>
      </c>
    </row>
    <row r="256" spans="1:19">
      <c r="A256" s="150"/>
      <c r="B256" s="54"/>
      <c r="C256" s="21">
        <f t="shared" si="36"/>
        <v>1</v>
      </c>
      <c r="D256" s="666"/>
      <c r="E256" s="21">
        <f t="shared" si="37"/>
        <v>0.03</v>
      </c>
      <c r="F256" s="666"/>
      <c r="G256" s="21">
        <f t="shared" si="38"/>
        <v>0.05</v>
      </c>
      <c r="H256" s="666"/>
      <c r="I256" s="21">
        <f t="shared" si="39"/>
        <v>0.01</v>
      </c>
      <c r="J256" s="666"/>
      <c r="K256" s="21">
        <f t="shared" si="40"/>
        <v>0</v>
      </c>
      <c r="L256" s="666"/>
      <c r="M256" s="21">
        <f t="shared" si="41"/>
        <v>1</v>
      </c>
      <c r="N256" s="666"/>
      <c r="O256" s="21">
        <f t="shared" si="42"/>
        <v>1</v>
      </c>
      <c r="P256" s="666"/>
      <c r="Q256" s="21">
        <f t="shared" si="43"/>
        <v>0</v>
      </c>
      <c r="R256" s="662">
        <f t="shared" si="44"/>
        <v>0</v>
      </c>
      <c r="S256" s="316">
        <f t="shared" si="35"/>
        <v>0</v>
      </c>
    </row>
    <row r="257" spans="1:19">
      <c r="A257" s="150"/>
      <c r="B257" s="54"/>
      <c r="C257" s="21">
        <f t="shared" si="36"/>
        <v>1</v>
      </c>
      <c r="D257" s="666"/>
      <c r="E257" s="21">
        <f t="shared" si="37"/>
        <v>0.03</v>
      </c>
      <c r="F257" s="666"/>
      <c r="G257" s="21">
        <f t="shared" si="38"/>
        <v>0.05</v>
      </c>
      <c r="H257" s="666"/>
      <c r="I257" s="21">
        <f t="shared" si="39"/>
        <v>0.01</v>
      </c>
      <c r="J257" s="666"/>
      <c r="K257" s="21">
        <f t="shared" si="40"/>
        <v>0</v>
      </c>
      <c r="L257" s="666"/>
      <c r="M257" s="21">
        <f t="shared" si="41"/>
        <v>1</v>
      </c>
      <c r="N257" s="666"/>
      <c r="O257" s="21">
        <f t="shared" si="42"/>
        <v>1</v>
      </c>
      <c r="P257" s="666"/>
      <c r="Q257" s="21">
        <f t="shared" si="43"/>
        <v>0</v>
      </c>
      <c r="R257" s="662">
        <f t="shared" si="44"/>
        <v>0</v>
      </c>
      <c r="S257" s="316">
        <f t="shared" si="35"/>
        <v>0</v>
      </c>
    </row>
    <row r="258" spans="1:19">
      <c r="A258" s="150"/>
      <c r="B258" s="54"/>
      <c r="C258" s="21">
        <f t="shared" si="36"/>
        <v>1</v>
      </c>
      <c r="D258" s="666"/>
      <c r="E258" s="21">
        <f t="shared" si="37"/>
        <v>0.03</v>
      </c>
      <c r="F258" s="666"/>
      <c r="G258" s="21">
        <f t="shared" si="38"/>
        <v>0.05</v>
      </c>
      <c r="H258" s="666"/>
      <c r="I258" s="21">
        <f t="shared" si="39"/>
        <v>0.01</v>
      </c>
      <c r="J258" s="666"/>
      <c r="K258" s="21">
        <f t="shared" si="40"/>
        <v>0</v>
      </c>
      <c r="L258" s="666"/>
      <c r="M258" s="21">
        <f t="shared" si="41"/>
        <v>1</v>
      </c>
      <c r="N258" s="666"/>
      <c r="O258" s="21">
        <f t="shared" si="42"/>
        <v>1</v>
      </c>
      <c r="P258" s="666"/>
      <c r="Q258" s="21">
        <f t="shared" si="43"/>
        <v>0</v>
      </c>
      <c r="R258" s="662">
        <f t="shared" si="44"/>
        <v>0</v>
      </c>
      <c r="S258" s="316">
        <f t="shared" si="35"/>
        <v>0</v>
      </c>
    </row>
    <row r="259" spans="1:19">
      <c r="A259" s="150"/>
      <c r="B259" s="54"/>
      <c r="C259" s="21">
        <f t="shared" si="36"/>
        <v>1</v>
      </c>
      <c r="D259" s="666"/>
      <c r="E259" s="21">
        <f t="shared" si="37"/>
        <v>0.03</v>
      </c>
      <c r="F259" s="666"/>
      <c r="G259" s="21">
        <f t="shared" si="38"/>
        <v>0.05</v>
      </c>
      <c r="H259" s="666"/>
      <c r="I259" s="21">
        <f t="shared" si="39"/>
        <v>0.01</v>
      </c>
      <c r="J259" s="666"/>
      <c r="K259" s="21">
        <f t="shared" si="40"/>
        <v>0</v>
      </c>
      <c r="L259" s="666"/>
      <c r="M259" s="21">
        <f t="shared" si="41"/>
        <v>1</v>
      </c>
      <c r="N259" s="666"/>
      <c r="O259" s="21">
        <f t="shared" si="42"/>
        <v>1</v>
      </c>
      <c r="P259" s="666"/>
      <c r="Q259" s="21">
        <f t="shared" si="43"/>
        <v>0</v>
      </c>
      <c r="R259" s="662">
        <f t="shared" si="44"/>
        <v>0</v>
      </c>
      <c r="S259" s="316">
        <f t="shared" si="35"/>
        <v>0</v>
      </c>
    </row>
    <row r="260" spans="1:19">
      <c r="A260" s="150"/>
      <c r="B260" s="54"/>
      <c r="C260" s="21">
        <f t="shared" si="36"/>
        <v>1</v>
      </c>
      <c r="D260" s="666"/>
      <c r="E260" s="21">
        <f t="shared" si="37"/>
        <v>0.03</v>
      </c>
      <c r="F260" s="666"/>
      <c r="G260" s="21">
        <f t="shared" si="38"/>
        <v>0.05</v>
      </c>
      <c r="H260" s="666"/>
      <c r="I260" s="21">
        <f t="shared" si="39"/>
        <v>0.01</v>
      </c>
      <c r="J260" s="666"/>
      <c r="K260" s="21">
        <f t="shared" si="40"/>
        <v>0</v>
      </c>
      <c r="L260" s="666"/>
      <c r="M260" s="21">
        <f t="shared" si="41"/>
        <v>1</v>
      </c>
      <c r="N260" s="666"/>
      <c r="O260" s="21">
        <f t="shared" si="42"/>
        <v>1</v>
      </c>
      <c r="P260" s="666"/>
      <c r="Q260" s="21">
        <f t="shared" si="43"/>
        <v>0</v>
      </c>
      <c r="R260" s="662">
        <f t="shared" si="44"/>
        <v>0</v>
      </c>
      <c r="S260" s="316">
        <f t="shared" si="35"/>
        <v>0</v>
      </c>
    </row>
    <row r="261" spans="1:19">
      <c r="A261" s="150"/>
      <c r="B261" s="54"/>
      <c r="C261" s="21">
        <f t="shared" si="36"/>
        <v>1</v>
      </c>
      <c r="D261" s="666"/>
      <c r="E261" s="21">
        <f t="shared" si="37"/>
        <v>0.03</v>
      </c>
      <c r="F261" s="666"/>
      <c r="G261" s="21">
        <f t="shared" si="38"/>
        <v>0.05</v>
      </c>
      <c r="H261" s="666"/>
      <c r="I261" s="21">
        <f t="shared" si="39"/>
        <v>0.01</v>
      </c>
      <c r="J261" s="666"/>
      <c r="K261" s="21">
        <f t="shared" si="40"/>
        <v>0</v>
      </c>
      <c r="L261" s="666"/>
      <c r="M261" s="21">
        <f t="shared" si="41"/>
        <v>1</v>
      </c>
      <c r="N261" s="666"/>
      <c r="O261" s="21">
        <f t="shared" si="42"/>
        <v>1</v>
      </c>
      <c r="P261" s="666"/>
      <c r="Q261" s="21">
        <f t="shared" si="43"/>
        <v>0</v>
      </c>
      <c r="R261" s="662">
        <f t="shared" si="44"/>
        <v>0</v>
      </c>
      <c r="S261" s="316">
        <f t="shared" si="35"/>
        <v>0</v>
      </c>
    </row>
    <row r="262" spans="1:19">
      <c r="A262" s="150"/>
      <c r="B262" s="54"/>
      <c r="C262" s="21">
        <f t="shared" si="36"/>
        <v>1</v>
      </c>
      <c r="D262" s="666"/>
      <c r="E262" s="21">
        <f t="shared" si="37"/>
        <v>0.03</v>
      </c>
      <c r="F262" s="666"/>
      <c r="G262" s="21">
        <f t="shared" si="38"/>
        <v>0.05</v>
      </c>
      <c r="H262" s="666"/>
      <c r="I262" s="21">
        <f t="shared" si="39"/>
        <v>0.01</v>
      </c>
      <c r="J262" s="666"/>
      <c r="K262" s="21">
        <f t="shared" si="40"/>
        <v>0</v>
      </c>
      <c r="L262" s="666"/>
      <c r="M262" s="21">
        <f t="shared" si="41"/>
        <v>1</v>
      </c>
      <c r="N262" s="666"/>
      <c r="O262" s="21">
        <f t="shared" si="42"/>
        <v>1</v>
      </c>
      <c r="P262" s="666"/>
      <c r="Q262" s="21">
        <f t="shared" si="43"/>
        <v>0</v>
      </c>
      <c r="R262" s="662">
        <f t="shared" si="44"/>
        <v>0</v>
      </c>
      <c r="S262" s="316">
        <f t="shared" si="35"/>
        <v>0</v>
      </c>
    </row>
    <row r="263" spans="1:19">
      <c r="A263" s="150"/>
      <c r="B263" s="54"/>
      <c r="C263" s="21">
        <f t="shared" si="36"/>
        <v>1</v>
      </c>
      <c r="D263" s="666"/>
      <c r="E263" s="21">
        <f t="shared" si="37"/>
        <v>0.03</v>
      </c>
      <c r="F263" s="666"/>
      <c r="G263" s="21">
        <f t="shared" si="38"/>
        <v>0.05</v>
      </c>
      <c r="H263" s="666"/>
      <c r="I263" s="21">
        <f t="shared" si="39"/>
        <v>0.01</v>
      </c>
      <c r="J263" s="666"/>
      <c r="K263" s="21">
        <f t="shared" si="40"/>
        <v>0</v>
      </c>
      <c r="L263" s="666"/>
      <c r="M263" s="21">
        <f t="shared" si="41"/>
        <v>1</v>
      </c>
      <c r="N263" s="666"/>
      <c r="O263" s="21">
        <f t="shared" si="42"/>
        <v>1</v>
      </c>
      <c r="P263" s="666"/>
      <c r="Q263" s="21">
        <f t="shared" si="43"/>
        <v>0</v>
      </c>
      <c r="R263" s="662">
        <f t="shared" si="44"/>
        <v>0</v>
      </c>
      <c r="S263" s="316">
        <f t="shared" si="35"/>
        <v>0</v>
      </c>
    </row>
    <row r="264" spans="1:19">
      <c r="A264" s="150"/>
      <c r="B264" s="54"/>
      <c r="C264" s="21">
        <f t="shared" si="36"/>
        <v>1</v>
      </c>
      <c r="D264" s="666"/>
      <c r="E264" s="21">
        <f t="shared" si="37"/>
        <v>0.03</v>
      </c>
      <c r="F264" s="666"/>
      <c r="G264" s="21">
        <f t="shared" si="38"/>
        <v>0.05</v>
      </c>
      <c r="H264" s="666"/>
      <c r="I264" s="21">
        <f t="shared" si="39"/>
        <v>0.01</v>
      </c>
      <c r="J264" s="666"/>
      <c r="K264" s="21">
        <f t="shared" si="40"/>
        <v>0</v>
      </c>
      <c r="L264" s="666"/>
      <c r="M264" s="21">
        <f t="shared" si="41"/>
        <v>1</v>
      </c>
      <c r="N264" s="666"/>
      <c r="O264" s="21">
        <f t="shared" si="42"/>
        <v>1</v>
      </c>
      <c r="P264" s="666"/>
      <c r="Q264" s="21">
        <f t="shared" si="43"/>
        <v>0</v>
      </c>
      <c r="R264" s="662">
        <f t="shared" si="44"/>
        <v>0</v>
      </c>
      <c r="S264" s="316">
        <f t="shared" si="35"/>
        <v>0</v>
      </c>
    </row>
    <row r="265" spans="1:19">
      <c r="A265" s="150"/>
      <c r="B265" s="54"/>
      <c r="C265" s="21">
        <f t="shared" si="36"/>
        <v>1</v>
      </c>
      <c r="D265" s="666"/>
      <c r="E265" s="21">
        <f t="shared" si="37"/>
        <v>0.03</v>
      </c>
      <c r="F265" s="666"/>
      <c r="G265" s="21">
        <f t="shared" si="38"/>
        <v>0.05</v>
      </c>
      <c r="H265" s="666"/>
      <c r="I265" s="21">
        <f t="shared" si="39"/>
        <v>0.01</v>
      </c>
      <c r="J265" s="666"/>
      <c r="K265" s="21">
        <f t="shared" si="40"/>
        <v>0</v>
      </c>
      <c r="L265" s="666"/>
      <c r="M265" s="21">
        <f t="shared" si="41"/>
        <v>1</v>
      </c>
      <c r="N265" s="666"/>
      <c r="O265" s="21">
        <f t="shared" si="42"/>
        <v>1</v>
      </c>
      <c r="P265" s="666"/>
      <c r="Q265" s="21">
        <f t="shared" si="43"/>
        <v>0</v>
      </c>
      <c r="R265" s="662">
        <f t="shared" si="44"/>
        <v>0</v>
      </c>
      <c r="S265" s="316">
        <f t="shared" si="35"/>
        <v>0</v>
      </c>
    </row>
    <row r="266" spans="1:19">
      <c r="A266" s="150"/>
      <c r="B266" s="54"/>
      <c r="C266" s="21">
        <f t="shared" si="36"/>
        <v>1</v>
      </c>
      <c r="D266" s="666"/>
      <c r="E266" s="21">
        <f t="shared" si="37"/>
        <v>0.03</v>
      </c>
      <c r="F266" s="666"/>
      <c r="G266" s="21">
        <f t="shared" si="38"/>
        <v>0.05</v>
      </c>
      <c r="H266" s="666"/>
      <c r="I266" s="21">
        <f t="shared" si="39"/>
        <v>0.01</v>
      </c>
      <c r="J266" s="666"/>
      <c r="K266" s="21">
        <f t="shared" si="40"/>
        <v>0</v>
      </c>
      <c r="L266" s="666"/>
      <c r="M266" s="21">
        <f t="shared" si="41"/>
        <v>1</v>
      </c>
      <c r="N266" s="666"/>
      <c r="O266" s="21">
        <f t="shared" si="42"/>
        <v>1</v>
      </c>
      <c r="P266" s="666"/>
      <c r="Q266" s="21">
        <f t="shared" si="43"/>
        <v>0</v>
      </c>
      <c r="R266" s="662">
        <f t="shared" si="44"/>
        <v>0</v>
      </c>
      <c r="S266" s="316">
        <f t="shared" si="35"/>
        <v>0</v>
      </c>
    </row>
    <row r="267" spans="1:19">
      <c r="A267" s="150"/>
      <c r="B267" s="54"/>
      <c r="C267" s="21">
        <f t="shared" si="36"/>
        <v>1</v>
      </c>
      <c r="D267" s="666"/>
      <c r="E267" s="21">
        <f t="shared" si="37"/>
        <v>0.03</v>
      </c>
      <c r="F267" s="666"/>
      <c r="G267" s="21">
        <f t="shared" si="38"/>
        <v>0.05</v>
      </c>
      <c r="H267" s="666"/>
      <c r="I267" s="21">
        <f t="shared" si="39"/>
        <v>0.01</v>
      </c>
      <c r="J267" s="666"/>
      <c r="K267" s="21">
        <f t="shared" si="40"/>
        <v>0</v>
      </c>
      <c r="L267" s="666"/>
      <c r="M267" s="21">
        <f t="shared" si="41"/>
        <v>1</v>
      </c>
      <c r="N267" s="666"/>
      <c r="O267" s="21">
        <f t="shared" si="42"/>
        <v>1</v>
      </c>
      <c r="P267" s="666"/>
      <c r="Q267" s="21">
        <f t="shared" si="43"/>
        <v>0</v>
      </c>
      <c r="R267" s="662">
        <f t="shared" si="44"/>
        <v>0</v>
      </c>
      <c r="S267" s="316">
        <f t="shared" si="35"/>
        <v>0</v>
      </c>
    </row>
    <row r="268" spans="1:19">
      <c r="A268" s="150"/>
      <c r="B268" s="54"/>
      <c r="C268" s="21">
        <f t="shared" si="36"/>
        <v>1</v>
      </c>
      <c r="D268" s="666"/>
      <c r="E268" s="21">
        <f t="shared" si="37"/>
        <v>0.03</v>
      </c>
      <c r="F268" s="666"/>
      <c r="G268" s="21">
        <f t="shared" si="38"/>
        <v>0.05</v>
      </c>
      <c r="H268" s="666"/>
      <c r="I268" s="21">
        <f t="shared" si="39"/>
        <v>0.01</v>
      </c>
      <c r="J268" s="666"/>
      <c r="K268" s="21">
        <f t="shared" si="40"/>
        <v>0</v>
      </c>
      <c r="L268" s="666"/>
      <c r="M268" s="21">
        <f t="shared" si="41"/>
        <v>1</v>
      </c>
      <c r="N268" s="666"/>
      <c r="O268" s="21">
        <f t="shared" si="42"/>
        <v>1</v>
      </c>
      <c r="P268" s="666"/>
      <c r="Q268" s="21">
        <f t="shared" si="43"/>
        <v>0</v>
      </c>
      <c r="R268" s="662">
        <f t="shared" si="44"/>
        <v>0</v>
      </c>
      <c r="S268" s="316">
        <f t="shared" si="35"/>
        <v>0</v>
      </c>
    </row>
    <row r="269" spans="1:19">
      <c r="A269" s="150"/>
      <c r="B269" s="54"/>
      <c r="C269" s="21">
        <f t="shared" si="36"/>
        <v>1</v>
      </c>
      <c r="D269" s="666"/>
      <c r="E269" s="21">
        <f t="shared" si="37"/>
        <v>0.03</v>
      </c>
      <c r="F269" s="666"/>
      <c r="G269" s="21">
        <f t="shared" si="38"/>
        <v>0.05</v>
      </c>
      <c r="H269" s="666"/>
      <c r="I269" s="21">
        <f t="shared" si="39"/>
        <v>0.01</v>
      </c>
      <c r="J269" s="666"/>
      <c r="K269" s="21">
        <f t="shared" si="40"/>
        <v>0</v>
      </c>
      <c r="L269" s="666"/>
      <c r="M269" s="21">
        <f t="shared" si="41"/>
        <v>1</v>
      </c>
      <c r="N269" s="666"/>
      <c r="O269" s="21">
        <f t="shared" si="42"/>
        <v>1</v>
      </c>
      <c r="P269" s="666"/>
      <c r="Q269" s="21">
        <f t="shared" si="43"/>
        <v>0</v>
      </c>
      <c r="R269" s="662">
        <f t="shared" si="44"/>
        <v>0</v>
      </c>
      <c r="S269" s="316">
        <f t="shared" si="35"/>
        <v>0</v>
      </c>
    </row>
    <row r="270" spans="1:19">
      <c r="A270" s="150"/>
      <c r="B270" s="54"/>
      <c r="C270" s="21">
        <f t="shared" si="36"/>
        <v>1</v>
      </c>
      <c r="D270" s="666"/>
      <c r="E270" s="21">
        <f t="shared" si="37"/>
        <v>0.03</v>
      </c>
      <c r="F270" s="666"/>
      <c r="G270" s="21">
        <f t="shared" si="38"/>
        <v>0.05</v>
      </c>
      <c r="H270" s="666"/>
      <c r="I270" s="21">
        <f t="shared" si="39"/>
        <v>0.01</v>
      </c>
      <c r="J270" s="666"/>
      <c r="K270" s="21">
        <f t="shared" si="40"/>
        <v>0</v>
      </c>
      <c r="L270" s="666"/>
      <c r="M270" s="21">
        <f t="shared" si="41"/>
        <v>1</v>
      </c>
      <c r="N270" s="666"/>
      <c r="O270" s="21">
        <f t="shared" si="42"/>
        <v>1</v>
      </c>
      <c r="P270" s="666"/>
      <c r="Q270" s="21">
        <f t="shared" si="43"/>
        <v>0</v>
      </c>
      <c r="R270" s="662">
        <f t="shared" si="44"/>
        <v>0</v>
      </c>
      <c r="S270" s="316">
        <f t="shared" si="35"/>
        <v>0</v>
      </c>
    </row>
    <row r="271" spans="1:19">
      <c r="A271" s="150"/>
      <c r="B271" s="54"/>
      <c r="C271" s="21">
        <f t="shared" si="36"/>
        <v>1</v>
      </c>
      <c r="D271" s="666"/>
      <c r="E271" s="21">
        <f t="shared" si="37"/>
        <v>0.03</v>
      </c>
      <c r="F271" s="666"/>
      <c r="G271" s="21">
        <f t="shared" si="38"/>
        <v>0.05</v>
      </c>
      <c r="H271" s="666"/>
      <c r="I271" s="21">
        <f t="shared" si="39"/>
        <v>0.01</v>
      </c>
      <c r="J271" s="666"/>
      <c r="K271" s="21">
        <f t="shared" si="40"/>
        <v>0</v>
      </c>
      <c r="L271" s="666"/>
      <c r="M271" s="21">
        <f t="shared" si="41"/>
        <v>1</v>
      </c>
      <c r="N271" s="666"/>
      <c r="O271" s="21">
        <f t="shared" si="42"/>
        <v>1</v>
      </c>
      <c r="P271" s="666"/>
      <c r="Q271" s="21">
        <f t="shared" si="43"/>
        <v>0</v>
      </c>
      <c r="R271" s="662">
        <f t="shared" si="44"/>
        <v>0</v>
      </c>
      <c r="S271" s="316">
        <f t="shared" si="35"/>
        <v>0</v>
      </c>
    </row>
    <row r="272" spans="1:19">
      <c r="A272" s="150"/>
      <c r="B272" s="54"/>
      <c r="C272" s="21">
        <f t="shared" si="36"/>
        <v>1</v>
      </c>
      <c r="D272" s="666"/>
      <c r="E272" s="21">
        <f t="shared" si="37"/>
        <v>0.03</v>
      </c>
      <c r="F272" s="666"/>
      <c r="G272" s="21">
        <f t="shared" si="38"/>
        <v>0.05</v>
      </c>
      <c r="H272" s="666"/>
      <c r="I272" s="21">
        <f t="shared" si="39"/>
        <v>0.01</v>
      </c>
      <c r="J272" s="666"/>
      <c r="K272" s="21">
        <f t="shared" si="40"/>
        <v>0</v>
      </c>
      <c r="L272" s="666"/>
      <c r="M272" s="21">
        <f t="shared" si="41"/>
        <v>1</v>
      </c>
      <c r="N272" s="666"/>
      <c r="O272" s="21">
        <f t="shared" si="42"/>
        <v>1</v>
      </c>
      <c r="P272" s="666"/>
      <c r="Q272" s="21">
        <f t="shared" si="43"/>
        <v>0</v>
      </c>
      <c r="R272" s="662">
        <f t="shared" si="44"/>
        <v>0</v>
      </c>
      <c r="S272" s="316">
        <f t="shared" si="35"/>
        <v>0</v>
      </c>
    </row>
    <row r="273" spans="1:19">
      <c r="A273" s="150"/>
      <c r="B273" s="54"/>
      <c r="C273" s="21">
        <f t="shared" si="36"/>
        <v>1</v>
      </c>
      <c r="D273" s="666"/>
      <c r="E273" s="21">
        <f t="shared" si="37"/>
        <v>0.03</v>
      </c>
      <c r="F273" s="666"/>
      <c r="G273" s="21">
        <f t="shared" si="38"/>
        <v>0.05</v>
      </c>
      <c r="H273" s="666"/>
      <c r="I273" s="21">
        <f t="shared" si="39"/>
        <v>0.01</v>
      </c>
      <c r="J273" s="666"/>
      <c r="K273" s="21">
        <f t="shared" si="40"/>
        <v>0</v>
      </c>
      <c r="L273" s="666"/>
      <c r="M273" s="21">
        <f t="shared" si="41"/>
        <v>1</v>
      </c>
      <c r="N273" s="666"/>
      <c r="O273" s="21">
        <f t="shared" si="42"/>
        <v>1</v>
      </c>
      <c r="P273" s="666"/>
      <c r="Q273" s="21">
        <f t="shared" si="43"/>
        <v>0</v>
      </c>
      <c r="R273" s="662">
        <f t="shared" si="44"/>
        <v>0</v>
      </c>
      <c r="S273" s="316">
        <f t="shared" si="35"/>
        <v>0</v>
      </c>
    </row>
    <row r="274" spans="1:19">
      <c r="A274" s="150"/>
      <c r="B274" s="54"/>
      <c r="C274" s="21">
        <f t="shared" si="36"/>
        <v>1</v>
      </c>
      <c r="D274" s="666"/>
      <c r="E274" s="21">
        <f t="shared" si="37"/>
        <v>0.03</v>
      </c>
      <c r="F274" s="666"/>
      <c r="G274" s="21">
        <f t="shared" si="38"/>
        <v>0.05</v>
      </c>
      <c r="H274" s="666"/>
      <c r="I274" s="21">
        <f t="shared" si="39"/>
        <v>0.01</v>
      </c>
      <c r="J274" s="666"/>
      <c r="K274" s="21">
        <f t="shared" si="40"/>
        <v>0</v>
      </c>
      <c r="L274" s="666"/>
      <c r="M274" s="21">
        <f t="shared" si="41"/>
        <v>1</v>
      </c>
      <c r="N274" s="666"/>
      <c r="O274" s="21">
        <f t="shared" si="42"/>
        <v>1</v>
      </c>
      <c r="P274" s="666"/>
      <c r="Q274" s="21">
        <f t="shared" si="43"/>
        <v>0</v>
      </c>
      <c r="R274" s="662">
        <f t="shared" si="44"/>
        <v>0</v>
      </c>
      <c r="S274" s="316">
        <f t="shared" si="35"/>
        <v>0</v>
      </c>
    </row>
    <row r="275" spans="1:19">
      <c r="A275" s="150"/>
      <c r="B275" s="54"/>
      <c r="C275" s="21">
        <f t="shared" si="36"/>
        <v>1</v>
      </c>
      <c r="D275" s="666"/>
      <c r="E275" s="21">
        <f t="shared" si="37"/>
        <v>0.03</v>
      </c>
      <c r="F275" s="666"/>
      <c r="G275" s="21">
        <f t="shared" si="38"/>
        <v>0.05</v>
      </c>
      <c r="H275" s="666"/>
      <c r="I275" s="21">
        <f t="shared" si="39"/>
        <v>0.01</v>
      </c>
      <c r="J275" s="666"/>
      <c r="K275" s="21">
        <f t="shared" si="40"/>
        <v>0</v>
      </c>
      <c r="L275" s="666"/>
      <c r="M275" s="21">
        <f t="shared" si="41"/>
        <v>1</v>
      </c>
      <c r="N275" s="666"/>
      <c r="O275" s="21">
        <f t="shared" si="42"/>
        <v>1</v>
      </c>
      <c r="P275" s="666"/>
      <c r="Q275" s="21">
        <f t="shared" si="43"/>
        <v>0</v>
      </c>
      <c r="R275" s="662">
        <f t="shared" si="44"/>
        <v>0</v>
      </c>
      <c r="S275" s="316">
        <f t="shared" si="35"/>
        <v>0</v>
      </c>
    </row>
    <row r="276" spans="1:19">
      <c r="A276" s="150"/>
      <c r="B276" s="54"/>
      <c r="C276" s="21">
        <f t="shared" si="36"/>
        <v>1</v>
      </c>
      <c r="D276" s="666"/>
      <c r="E276" s="21">
        <f t="shared" si="37"/>
        <v>0.03</v>
      </c>
      <c r="F276" s="666"/>
      <c r="G276" s="21">
        <f t="shared" si="38"/>
        <v>0.05</v>
      </c>
      <c r="H276" s="666"/>
      <c r="I276" s="21">
        <f t="shared" si="39"/>
        <v>0.01</v>
      </c>
      <c r="J276" s="666"/>
      <c r="K276" s="21">
        <f t="shared" si="40"/>
        <v>0</v>
      </c>
      <c r="L276" s="666"/>
      <c r="M276" s="21">
        <f t="shared" si="41"/>
        <v>1</v>
      </c>
      <c r="N276" s="666"/>
      <c r="O276" s="21">
        <f t="shared" si="42"/>
        <v>1</v>
      </c>
      <c r="P276" s="666"/>
      <c r="Q276" s="21">
        <f t="shared" si="43"/>
        <v>0</v>
      </c>
      <c r="R276" s="662">
        <f t="shared" si="44"/>
        <v>0</v>
      </c>
      <c r="S276" s="316">
        <f t="shared" si="35"/>
        <v>0</v>
      </c>
    </row>
    <row r="277" spans="1:19">
      <c r="A277" s="150"/>
      <c r="B277" s="54"/>
      <c r="C277" s="21">
        <f t="shared" si="36"/>
        <v>1</v>
      </c>
      <c r="D277" s="666"/>
      <c r="E277" s="21">
        <f t="shared" si="37"/>
        <v>0.03</v>
      </c>
      <c r="F277" s="666"/>
      <c r="G277" s="21">
        <f t="shared" si="38"/>
        <v>0.05</v>
      </c>
      <c r="H277" s="666"/>
      <c r="I277" s="21">
        <f t="shared" si="39"/>
        <v>0.01</v>
      </c>
      <c r="J277" s="666"/>
      <c r="K277" s="21">
        <f t="shared" si="40"/>
        <v>0</v>
      </c>
      <c r="L277" s="666"/>
      <c r="M277" s="21">
        <f t="shared" si="41"/>
        <v>1</v>
      </c>
      <c r="N277" s="666"/>
      <c r="O277" s="21">
        <f t="shared" si="42"/>
        <v>1</v>
      </c>
      <c r="P277" s="666"/>
      <c r="Q277" s="21">
        <f t="shared" si="43"/>
        <v>0</v>
      </c>
      <c r="R277" s="662">
        <f t="shared" si="44"/>
        <v>0</v>
      </c>
      <c r="S277" s="316">
        <f t="shared" si="35"/>
        <v>0</v>
      </c>
    </row>
    <row r="278" spans="1:19">
      <c r="A278" s="150"/>
      <c r="B278" s="54"/>
      <c r="C278" s="21">
        <f t="shared" si="36"/>
        <v>1</v>
      </c>
      <c r="D278" s="666"/>
      <c r="E278" s="21">
        <f t="shared" si="37"/>
        <v>0.03</v>
      </c>
      <c r="F278" s="666"/>
      <c r="G278" s="21">
        <f t="shared" si="38"/>
        <v>0.05</v>
      </c>
      <c r="H278" s="666"/>
      <c r="I278" s="21">
        <f t="shared" si="39"/>
        <v>0.01</v>
      </c>
      <c r="J278" s="666"/>
      <c r="K278" s="21">
        <f t="shared" si="40"/>
        <v>0</v>
      </c>
      <c r="L278" s="666"/>
      <c r="M278" s="21">
        <f t="shared" si="41"/>
        <v>1</v>
      </c>
      <c r="N278" s="666"/>
      <c r="O278" s="21">
        <f t="shared" si="42"/>
        <v>1</v>
      </c>
      <c r="P278" s="666"/>
      <c r="Q278" s="21">
        <f t="shared" si="43"/>
        <v>0</v>
      </c>
      <c r="R278" s="662">
        <f t="shared" si="44"/>
        <v>0</v>
      </c>
      <c r="S278" s="316">
        <f t="shared" si="35"/>
        <v>0</v>
      </c>
    </row>
    <row r="279" spans="1:19">
      <c r="A279" s="150"/>
      <c r="B279" s="54"/>
      <c r="C279" s="21">
        <f t="shared" si="36"/>
        <v>1</v>
      </c>
      <c r="D279" s="666"/>
      <c r="E279" s="21">
        <f t="shared" si="37"/>
        <v>0.03</v>
      </c>
      <c r="F279" s="666"/>
      <c r="G279" s="21">
        <f t="shared" si="38"/>
        <v>0.05</v>
      </c>
      <c r="H279" s="666"/>
      <c r="I279" s="21">
        <f t="shared" si="39"/>
        <v>0.01</v>
      </c>
      <c r="J279" s="666"/>
      <c r="K279" s="21">
        <f t="shared" si="40"/>
        <v>0</v>
      </c>
      <c r="L279" s="666"/>
      <c r="M279" s="21">
        <f t="shared" si="41"/>
        <v>1</v>
      </c>
      <c r="N279" s="666"/>
      <c r="O279" s="21">
        <f t="shared" si="42"/>
        <v>1</v>
      </c>
      <c r="P279" s="666"/>
      <c r="Q279" s="21">
        <f t="shared" si="43"/>
        <v>0</v>
      </c>
      <c r="R279" s="662">
        <f t="shared" si="44"/>
        <v>0</v>
      </c>
      <c r="S279" s="316">
        <f t="shared" si="35"/>
        <v>0</v>
      </c>
    </row>
    <row r="280" spans="1:19">
      <c r="A280" s="150"/>
      <c r="B280" s="54"/>
      <c r="C280" s="21">
        <f t="shared" si="36"/>
        <v>1</v>
      </c>
      <c r="D280" s="666"/>
      <c r="E280" s="21">
        <f t="shared" si="37"/>
        <v>0.03</v>
      </c>
      <c r="F280" s="666"/>
      <c r="G280" s="21">
        <f t="shared" si="38"/>
        <v>0.05</v>
      </c>
      <c r="H280" s="666"/>
      <c r="I280" s="21">
        <f t="shared" si="39"/>
        <v>0.01</v>
      </c>
      <c r="J280" s="666"/>
      <c r="K280" s="21">
        <f t="shared" si="40"/>
        <v>0</v>
      </c>
      <c r="L280" s="666"/>
      <c r="M280" s="21">
        <f t="shared" si="41"/>
        <v>1</v>
      </c>
      <c r="N280" s="666"/>
      <c r="O280" s="21">
        <f t="shared" si="42"/>
        <v>1</v>
      </c>
      <c r="P280" s="666"/>
      <c r="Q280" s="21">
        <f t="shared" si="43"/>
        <v>0</v>
      </c>
      <c r="R280" s="662">
        <f t="shared" si="44"/>
        <v>0</v>
      </c>
      <c r="S280" s="316">
        <f t="shared" ref="S280:S343" si="45">ROUND(R280*B280/10000,0)</f>
        <v>0</v>
      </c>
    </row>
    <row r="281" spans="1:19">
      <c r="A281" s="150"/>
      <c r="B281" s="54"/>
      <c r="C281" s="21">
        <f t="shared" si="36"/>
        <v>1</v>
      </c>
      <c r="D281" s="666"/>
      <c r="E281" s="21">
        <f t="shared" si="37"/>
        <v>0.03</v>
      </c>
      <c r="F281" s="666"/>
      <c r="G281" s="21">
        <f t="shared" si="38"/>
        <v>0.05</v>
      </c>
      <c r="H281" s="666"/>
      <c r="I281" s="21">
        <f t="shared" si="39"/>
        <v>0.01</v>
      </c>
      <c r="J281" s="666"/>
      <c r="K281" s="21">
        <f t="shared" si="40"/>
        <v>0</v>
      </c>
      <c r="L281" s="666"/>
      <c r="M281" s="21">
        <f t="shared" si="41"/>
        <v>1</v>
      </c>
      <c r="N281" s="666"/>
      <c r="O281" s="21">
        <f t="shared" si="42"/>
        <v>1</v>
      </c>
      <c r="P281" s="666"/>
      <c r="Q281" s="21">
        <f t="shared" si="43"/>
        <v>0</v>
      </c>
      <c r="R281" s="662">
        <f t="shared" si="44"/>
        <v>0</v>
      </c>
      <c r="S281" s="316">
        <f t="shared" si="45"/>
        <v>0</v>
      </c>
    </row>
    <row r="282" spans="1:19">
      <c r="A282" s="150"/>
      <c r="B282" s="54"/>
      <c r="C282" s="21">
        <f t="shared" ref="C282:C345" si="46">IF(B282="",1,(LOOKUP(B282,$3:$3,$4:$4)-LOOKUP($B$24,$3:$3,$4:$4)+100)/100)</f>
        <v>1</v>
      </c>
      <c r="D282" s="666"/>
      <c r="E282" s="21">
        <f t="shared" ref="E282:E345" si="47">(SUMIF($5:$5,D282,$6:$6)-SUMIF($5:$5,$D$24,$6:$6)+100)/100</f>
        <v>0.03</v>
      </c>
      <c r="F282" s="666"/>
      <c r="G282" s="21">
        <f t="shared" ref="G282:G345" si="48">(SUMIF($7:$7,F282,$8:$8)-SUMIF($7:$7,$F$24,$8:$8)+100)/100</f>
        <v>0.05</v>
      </c>
      <c r="H282" s="666"/>
      <c r="I282" s="21">
        <f t="shared" ref="I282:I345" si="49">(SUMIF($9:$9,H282,$10:$10)-SUMIF($9:$9,$H$24,$10:$10)+100)/100</f>
        <v>0.01</v>
      </c>
      <c r="J282" s="666"/>
      <c r="K282" s="21">
        <f t="shared" ref="K282:K345" si="50">(SUMIF($11:$11,J282,$12:$12)-SUMIF($11:$11,$J$24,$12:$12)+100)/100</f>
        <v>0</v>
      </c>
      <c r="L282" s="666"/>
      <c r="M282" s="21">
        <f t="shared" ref="M282:M345" si="51">(SUMIF($13:$13,L282,$14:$14)-SUMIF($13:$13,$L$24,$14:$14)+100)/100</f>
        <v>1</v>
      </c>
      <c r="N282" s="666"/>
      <c r="O282" s="21">
        <f t="shared" ref="O282:O345" si="52">(SUMIF($15:$15,N282,$16:$16)-SUMIF($15:$15,$N$24,$16:$16)+100)/100</f>
        <v>1</v>
      </c>
      <c r="P282" s="666"/>
      <c r="Q282" s="21">
        <f t="shared" ref="Q282:Q345" si="53">(SUMIF($17:$17,P282,$18:$18)-SUMIF($17:$17,$P$24,$18:$18)+100)/100</f>
        <v>0</v>
      </c>
      <c r="R282" s="662">
        <f t="shared" ref="R282:R345" si="54">IF(B282="",0,ROUND($R$24*C282*E282*G282*I282*K282*M282*O282*Q282,0))</f>
        <v>0</v>
      </c>
      <c r="S282" s="316">
        <f t="shared" si="45"/>
        <v>0</v>
      </c>
    </row>
    <row r="283" spans="1:19">
      <c r="A283" s="150"/>
      <c r="B283" s="54"/>
      <c r="C283" s="21">
        <f t="shared" si="46"/>
        <v>1</v>
      </c>
      <c r="D283" s="666"/>
      <c r="E283" s="21">
        <f t="shared" si="47"/>
        <v>0.03</v>
      </c>
      <c r="F283" s="666"/>
      <c r="G283" s="21">
        <f t="shared" si="48"/>
        <v>0.05</v>
      </c>
      <c r="H283" s="666"/>
      <c r="I283" s="21">
        <f t="shared" si="49"/>
        <v>0.01</v>
      </c>
      <c r="J283" s="666"/>
      <c r="K283" s="21">
        <f t="shared" si="50"/>
        <v>0</v>
      </c>
      <c r="L283" s="666"/>
      <c r="M283" s="21">
        <f t="shared" si="51"/>
        <v>1</v>
      </c>
      <c r="N283" s="666"/>
      <c r="O283" s="21">
        <f t="shared" si="52"/>
        <v>1</v>
      </c>
      <c r="P283" s="666"/>
      <c r="Q283" s="21">
        <f t="shared" si="53"/>
        <v>0</v>
      </c>
      <c r="R283" s="662">
        <f t="shared" si="54"/>
        <v>0</v>
      </c>
      <c r="S283" s="316">
        <f t="shared" si="45"/>
        <v>0</v>
      </c>
    </row>
    <row r="284" spans="1:19">
      <c r="A284" s="150"/>
      <c r="B284" s="54"/>
      <c r="C284" s="21">
        <f t="shared" si="46"/>
        <v>1</v>
      </c>
      <c r="D284" s="666"/>
      <c r="E284" s="21">
        <f t="shared" si="47"/>
        <v>0.03</v>
      </c>
      <c r="F284" s="666"/>
      <c r="G284" s="21">
        <f t="shared" si="48"/>
        <v>0.05</v>
      </c>
      <c r="H284" s="666"/>
      <c r="I284" s="21">
        <f t="shared" si="49"/>
        <v>0.01</v>
      </c>
      <c r="J284" s="666"/>
      <c r="K284" s="21">
        <f t="shared" si="50"/>
        <v>0</v>
      </c>
      <c r="L284" s="666"/>
      <c r="M284" s="21">
        <f t="shared" si="51"/>
        <v>1</v>
      </c>
      <c r="N284" s="666"/>
      <c r="O284" s="21">
        <f t="shared" si="52"/>
        <v>1</v>
      </c>
      <c r="P284" s="666"/>
      <c r="Q284" s="21">
        <f t="shared" si="53"/>
        <v>0</v>
      </c>
      <c r="R284" s="662">
        <f t="shared" si="54"/>
        <v>0</v>
      </c>
      <c r="S284" s="316">
        <f t="shared" si="45"/>
        <v>0</v>
      </c>
    </row>
    <row r="285" spans="1:19">
      <c r="A285" s="150"/>
      <c r="B285" s="54"/>
      <c r="C285" s="21">
        <f t="shared" si="46"/>
        <v>1</v>
      </c>
      <c r="D285" s="666"/>
      <c r="E285" s="21">
        <f t="shared" si="47"/>
        <v>0.03</v>
      </c>
      <c r="F285" s="666"/>
      <c r="G285" s="21">
        <f t="shared" si="48"/>
        <v>0.05</v>
      </c>
      <c r="H285" s="666"/>
      <c r="I285" s="21">
        <f t="shared" si="49"/>
        <v>0.01</v>
      </c>
      <c r="J285" s="666"/>
      <c r="K285" s="21">
        <f t="shared" si="50"/>
        <v>0</v>
      </c>
      <c r="L285" s="666"/>
      <c r="M285" s="21">
        <f t="shared" si="51"/>
        <v>1</v>
      </c>
      <c r="N285" s="666"/>
      <c r="O285" s="21">
        <f t="shared" si="52"/>
        <v>1</v>
      </c>
      <c r="P285" s="666"/>
      <c r="Q285" s="21">
        <f t="shared" si="53"/>
        <v>0</v>
      </c>
      <c r="R285" s="662">
        <f t="shared" si="54"/>
        <v>0</v>
      </c>
      <c r="S285" s="316">
        <f t="shared" si="45"/>
        <v>0</v>
      </c>
    </row>
    <row r="286" spans="1:19">
      <c r="A286" s="150"/>
      <c r="B286" s="54"/>
      <c r="C286" s="21">
        <f t="shared" si="46"/>
        <v>1</v>
      </c>
      <c r="D286" s="666"/>
      <c r="E286" s="21">
        <f t="shared" si="47"/>
        <v>0.03</v>
      </c>
      <c r="F286" s="666"/>
      <c r="G286" s="21">
        <f t="shared" si="48"/>
        <v>0.05</v>
      </c>
      <c r="H286" s="666"/>
      <c r="I286" s="21">
        <f t="shared" si="49"/>
        <v>0.01</v>
      </c>
      <c r="J286" s="666"/>
      <c r="K286" s="21">
        <f t="shared" si="50"/>
        <v>0</v>
      </c>
      <c r="L286" s="666"/>
      <c r="M286" s="21">
        <f t="shared" si="51"/>
        <v>1</v>
      </c>
      <c r="N286" s="666"/>
      <c r="O286" s="21">
        <f t="shared" si="52"/>
        <v>1</v>
      </c>
      <c r="P286" s="666"/>
      <c r="Q286" s="21">
        <f t="shared" si="53"/>
        <v>0</v>
      </c>
      <c r="R286" s="662">
        <f t="shared" si="54"/>
        <v>0</v>
      </c>
      <c r="S286" s="316">
        <f t="shared" si="45"/>
        <v>0</v>
      </c>
    </row>
    <row r="287" spans="1:19">
      <c r="A287" s="150"/>
      <c r="B287" s="54"/>
      <c r="C287" s="21">
        <f t="shared" si="46"/>
        <v>1</v>
      </c>
      <c r="D287" s="666"/>
      <c r="E287" s="21">
        <f t="shared" si="47"/>
        <v>0.03</v>
      </c>
      <c r="F287" s="666"/>
      <c r="G287" s="21">
        <f t="shared" si="48"/>
        <v>0.05</v>
      </c>
      <c r="H287" s="666"/>
      <c r="I287" s="21">
        <f t="shared" si="49"/>
        <v>0.01</v>
      </c>
      <c r="J287" s="666"/>
      <c r="K287" s="21">
        <f t="shared" si="50"/>
        <v>0</v>
      </c>
      <c r="L287" s="666"/>
      <c r="M287" s="21">
        <f t="shared" si="51"/>
        <v>1</v>
      </c>
      <c r="N287" s="666"/>
      <c r="O287" s="21">
        <f t="shared" si="52"/>
        <v>1</v>
      </c>
      <c r="P287" s="666"/>
      <c r="Q287" s="21">
        <f t="shared" si="53"/>
        <v>0</v>
      </c>
      <c r="R287" s="662">
        <f t="shared" si="54"/>
        <v>0</v>
      </c>
      <c r="S287" s="316">
        <f t="shared" si="45"/>
        <v>0</v>
      </c>
    </row>
    <row r="288" spans="1:19">
      <c r="A288" s="150"/>
      <c r="B288" s="54"/>
      <c r="C288" s="21">
        <f t="shared" si="46"/>
        <v>1</v>
      </c>
      <c r="D288" s="666"/>
      <c r="E288" s="21">
        <f t="shared" si="47"/>
        <v>0.03</v>
      </c>
      <c r="F288" s="666"/>
      <c r="G288" s="21">
        <f t="shared" si="48"/>
        <v>0.05</v>
      </c>
      <c r="H288" s="666"/>
      <c r="I288" s="21">
        <f t="shared" si="49"/>
        <v>0.01</v>
      </c>
      <c r="J288" s="666"/>
      <c r="K288" s="21">
        <f t="shared" si="50"/>
        <v>0</v>
      </c>
      <c r="L288" s="666"/>
      <c r="M288" s="21">
        <f t="shared" si="51"/>
        <v>1</v>
      </c>
      <c r="N288" s="666"/>
      <c r="O288" s="21">
        <f t="shared" si="52"/>
        <v>1</v>
      </c>
      <c r="P288" s="666"/>
      <c r="Q288" s="21">
        <f t="shared" si="53"/>
        <v>0</v>
      </c>
      <c r="R288" s="662">
        <f t="shared" si="54"/>
        <v>0</v>
      </c>
      <c r="S288" s="316">
        <f t="shared" si="45"/>
        <v>0</v>
      </c>
    </row>
    <row r="289" spans="1:19">
      <c r="A289" s="150"/>
      <c r="B289" s="54"/>
      <c r="C289" s="21">
        <f t="shared" si="46"/>
        <v>1</v>
      </c>
      <c r="D289" s="666"/>
      <c r="E289" s="21">
        <f t="shared" si="47"/>
        <v>0.03</v>
      </c>
      <c r="F289" s="666"/>
      <c r="G289" s="21">
        <f t="shared" si="48"/>
        <v>0.05</v>
      </c>
      <c r="H289" s="666"/>
      <c r="I289" s="21">
        <f t="shared" si="49"/>
        <v>0.01</v>
      </c>
      <c r="J289" s="666"/>
      <c r="K289" s="21">
        <f t="shared" si="50"/>
        <v>0</v>
      </c>
      <c r="L289" s="666"/>
      <c r="M289" s="21">
        <f t="shared" si="51"/>
        <v>1</v>
      </c>
      <c r="N289" s="666"/>
      <c r="O289" s="21">
        <f t="shared" si="52"/>
        <v>1</v>
      </c>
      <c r="P289" s="666"/>
      <c r="Q289" s="21">
        <f t="shared" si="53"/>
        <v>0</v>
      </c>
      <c r="R289" s="662">
        <f t="shared" si="54"/>
        <v>0</v>
      </c>
      <c r="S289" s="316">
        <f t="shared" si="45"/>
        <v>0</v>
      </c>
    </row>
    <row r="290" spans="1:19">
      <c r="A290" s="150"/>
      <c r="B290" s="54"/>
      <c r="C290" s="21">
        <f t="shared" si="46"/>
        <v>1</v>
      </c>
      <c r="D290" s="666"/>
      <c r="E290" s="21">
        <f t="shared" si="47"/>
        <v>0.03</v>
      </c>
      <c r="F290" s="666"/>
      <c r="G290" s="21">
        <f t="shared" si="48"/>
        <v>0.05</v>
      </c>
      <c r="H290" s="666"/>
      <c r="I290" s="21">
        <f t="shared" si="49"/>
        <v>0.01</v>
      </c>
      <c r="J290" s="666"/>
      <c r="K290" s="21">
        <f t="shared" si="50"/>
        <v>0</v>
      </c>
      <c r="L290" s="666"/>
      <c r="M290" s="21">
        <f t="shared" si="51"/>
        <v>1</v>
      </c>
      <c r="N290" s="666"/>
      <c r="O290" s="21">
        <f t="shared" si="52"/>
        <v>1</v>
      </c>
      <c r="P290" s="666"/>
      <c r="Q290" s="21">
        <f t="shared" si="53"/>
        <v>0</v>
      </c>
      <c r="R290" s="662">
        <f t="shared" si="54"/>
        <v>0</v>
      </c>
      <c r="S290" s="316">
        <f t="shared" si="45"/>
        <v>0</v>
      </c>
    </row>
    <row r="291" spans="1:19">
      <c r="A291" s="150"/>
      <c r="B291" s="54"/>
      <c r="C291" s="21">
        <f t="shared" si="46"/>
        <v>1</v>
      </c>
      <c r="D291" s="666"/>
      <c r="E291" s="21">
        <f t="shared" si="47"/>
        <v>0.03</v>
      </c>
      <c r="F291" s="666"/>
      <c r="G291" s="21">
        <f t="shared" si="48"/>
        <v>0.05</v>
      </c>
      <c r="H291" s="666"/>
      <c r="I291" s="21">
        <f t="shared" si="49"/>
        <v>0.01</v>
      </c>
      <c r="J291" s="666"/>
      <c r="K291" s="21">
        <f t="shared" si="50"/>
        <v>0</v>
      </c>
      <c r="L291" s="666"/>
      <c r="M291" s="21">
        <f t="shared" si="51"/>
        <v>1</v>
      </c>
      <c r="N291" s="666"/>
      <c r="O291" s="21">
        <f t="shared" si="52"/>
        <v>1</v>
      </c>
      <c r="P291" s="666"/>
      <c r="Q291" s="21">
        <f t="shared" si="53"/>
        <v>0</v>
      </c>
      <c r="R291" s="662">
        <f t="shared" si="54"/>
        <v>0</v>
      </c>
      <c r="S291" s="316">
        <f t="shared" si="45"/>
        <v>0</v>
      </c>
    </row>
    <row r="292" spans="1:19">
      <c r="A292" s="150"/>
      <c r="B292" s="54"/>
      <c r="C292" s="21">
        <f t="shared" si="46"/>
        <v>1</v>
      </c>
      <c r="D292" s="666"/>
      <c r="E292" s="21">
        <f t="shared" si="47"/>
        <v>0.03</v>
      </c>
      <c r="F292" s="666"/>
      <c r="G292" s="21">
        <f t="shared" si="48"/>
        <v>0.05</v>
      </c>
      <c r="H292" s="666"/>
      <c r="I292" s="21">
        <f t="shared" si="49"/>
        <v>0.01</v>
      </c>
      <c r="J292" s="666"/>
      <c r="K292" s="21">
        <f t="shared" si="50"/>
        <v>0</v>
      </c>
      <c r="L292" s="666"/>
      <c r="M292" s="21">
        <f t="shared" si="51"/>
        <v>1</v>
      </c>
      <c r="N292" s="666"/>
      <c r="O292" s="21">
        <f t="shared" si="52"/>
        <v>1</v>
      </c>
      <c r="P292" s="666"/>
      <c r="Q292" s="21">
        <f t="shared" si="53"/>
        <v>0</v>
      </c>
      <c r="R292" s="662">
        <f t="shared" si="54"/>
        <v>0</v>
      </c>
      <c r="S292" s="316">
        <f t="shared" si="45"/>
        <v>0</v>
      </c>
    </row>
    <row r="293" spans="1:19">
      <c r="A293" s="150"/>
      <c r="B293" s="54"/>
      <c r="C293" s="21">
        <f t="shared" si="46"/>
        <v>1</v>
      </c>
      <c r="D293" s="666"/>
      <c r="E293" s="21">
        <f t="shared" si="47"/>
        <v>0.03</v>
      </c>
      <c r="F293" s="666"/>
      <c r="G293" s="21">
        <f t="shared" si="48"/>
        <v>0.05</v>
      </c>
      <c r="H293" s="666"/>
      <c r="I293" s="21">
        <f t="shared" si="49"/>
        <v>0.01</v>
      </c>
      <c r="J293" s="666"/>
      <c r="K293" s="21">
        <f t="shared" si="50"/>
        <v>0</v>
      </c>
      <c r="L293" s="666"/>
      <c r="M293" s="21">
        <f t="shared" si="51"/>
        <v>1</v>
      </c>
      <c r="N293" s="666"/>
      <c r="O293" s="21">
        <f t="shared" si="52"/>
        <v>1</v>
      </c>
      <c r="P293" s="666"/>
      <c r="Q293" s="21">
        <f t="shared" si="53"/>
        <v>0</v>
      </c>
      <c r="R293" s="662">
        <f t="shared" si="54"/>
        <v>0</v>
      </c>
      <c r="S293" s="316">
        <f t="shared" si="45"/>
        <v>0</v>
      </c>
    </row>
    <row r="294" spans="1:19">
      <c r="A294" s="150"/>
      <c r="B294" s="54"/>
      <c r="C294" s="21">
        <f t="shared" si="46"/>
        <v>1</v>
      </c>
      <c r="D294" s="666"/>
      <c r="E294" s="21">
        <f t="shared" si="47"/>
        <v>0.03</v>
      </c>
      <c r="F294" s="666"/>
      <c r="G294" s="21">
        <f t="shared" si="48"/>
        <v>0.05</v>
      </c>
      <c r="H294" s="666"/>
      <c r="I294" s="21">
        <f t="shared" si="49"/>
        <v>0.01</v>
      </c>
      <c r="J294" s="666"/>
      <c r="K294" s="21">
        <f t="shared" si="50"/>
        <v>0</v>
      </c>
      <c r="L294" s="666"/>
      <c r="M294" s="21">
        <f t="shared" si="51"/>
        <v>1</v>
      </c>
      <c r="N294" s="666"/>
      <c r="O294" s="21">
        <f t="shared" si="52"/>
        <v>1</v>
      </c>
      <c r="P294" s="666"/>
      <c r="Q294" s="21">
        <f t="shared" si="53"/>
        <v>0</v>
      </c>
      <c r="R294" s="662">
        <f t="shared" si="54"/>
        <v>0</v>
      </c>
      <c r="S294" s="316">
        <f t="shared" si="45"/>
        <v>0</v>
      </c>
    </row>
    <row r="295" spans="1:19">
      <c r="A295" s="150"/>
      <c r="B295" s="54"/>
      <c r="C295" s="21">
        <f t="shared" si="46"/>
        <v>1</v>
      </c>
      <c r="D295" s="666"/>
      <c r="E295" s="21">
        <f t="shared" si="47"/>
        <v>0.03</v>
      </c>
      <c r="F295" s="666"/>
      <c r="G295" s="21">
        <f t="shared" si="48"/>
        <v>0.05</v>
      </c>
      <c r="H295" s="666"/>
      <c r="I295" s="21">
        <f t="shared" si="49"/>
        <v>0.01</v>
      </c>
      <c r="J295" s="666"/>
      <c r="K295" s="21">
        <f t="shared" si="50"/>
        <v>0</v>
      </c>
      <c r="L295" s="666"/>
      <c r="M295" s="21">
        <f t="shared" si="51"/>
        <v>1</v>
      </c>
      <c r="N295" s="666"/>
      <c r="O295" s="21">
        <f t="shared" si="52"/>
        <v>1</v>
      </c>
      <c r="P295" s="666"/>
      <c r="Q295" s="21">
        <f t="shared" si="53"/>
        <v>0</v>
      </c>
      <c r="R295" s="662">
        <f t="shared" si="54"/>
        <v>0</v>
      </c>
      <c r="S295" s="316">
        <f t="shared" si="45"/>
        <v>0</v>
      </c>
    </row>
    <row r="296" spans="1:19">
      <c r="A296" s="150"/>
      <c r="B296" s="54"/>
      <c r="C296" s="21">
        <f t="shared" si="46"/>
        <v>1</v>
      </c>
      <c r="D296" s="666"/>
      <c r="E296" s="21">
        <f t="shared" si="47"/>
        <v>0.03</v>
      </c>
      <c r="F296" s="666"/>
      <c r="G296" s="21">
        <f t="shared" si="48"/>
        <v>0.05</v>
      </c>
      <c r="H296" s="666"/>
      <c r="I296" s="21">
        <f t="shared" si="49"/>
        <v>0.01</v>
      </c>
      <c r="J296" s="666"/>
      <c r="K296" s="21">
        <f t="shared" si="50"/>
        <v>0</v>
      </c>
      <c r="L296" s="666"/>
      <c r="M296" s="21">
        <f t="shared" si="51"/>
        <v>1</v>
      </c>
      <c r="N296" s="666"/>
      <c r="O296" s="21">
        <f t="shared" si="52"/>
        <v>1</v>
      </c>
      <c r="P296" s="666"/>
      <c r="Q296" s="21">
        <f t="shared" si="53"/>
        <v>0</v>
      </c>
      <c r="R296" s="662">
        <f t="shared" si="54"/>
        <v>0</v>
      </c>
      <c r="S296" s="316">
        <f t="shared" si="45"/>
        <v>0</v>
      </c>
    </row>
    <row r="297" spans="1:19">
      <c r="A297" s="150"/>
      <c r="B297" s="54"/>
      <c r="C297" s="21">
        <f t="shared" si="46"/>
        <v>1</v>
      </c>
      <c r="D297" s="666"/>
      <c r="E297" s="21">
        <f t="shared" si="47"/>
        <v>0.03</v>
      </c>
      <c r="F297" s="666"/>
      <c r="G297" s="21">
        <f t="shared" si="48"/>
        <v>0.05</v>
      </c>
      <c r="H297" s="666"/>
      <c r="I297" s="21">
        <f t="shared" si="49"/>
        <v>0.01</v>
      </c>
      <c r="J297" s="666"/>
      <c r="K297" s="21">
        <f t="shared" si="50"/>
        <v>0</v>
      </c>
      <c r="L297" s="666"/>
      <c r="M297" s="21">
        <f t="shared" si="51"/>
        <v>1</v>
      </c>
      <c r="N297" s="666"/>
      <c r="O297" s="21">
        <f t="shared" si="52"/>
        <v>1</v>
      </c>
      <c r="P297" s="666"/>
      <c r="Q297" s="21">
        <f t="shared" si="53"/>
        <v>0</v>
      </c>
      <c r="R297" s="662">
        <f t="shared" si="54"/>
        <v>0</v>
      </c>
      <c r="S297" s="316">
        <f t="shared" si="45"/>
        <v>0</v>
      </c>
    </row>
    <row r="298" spans="1:19">
      <c r="A298" s="150"/>
      <c r="B298" s="54"/>
      <c r="C298" s="21">
        <f t="shared" si="46"/>
        <v>1</v>
      </c>
      <c r="D298" s="666"/>
      <c r="E298" s="21">
        <f t="shared" si="47"/>
        <v>0.03</v>
      </c>
      <c r="F298" s="666"/>
      <c r="G298" s="21">
        <f t="shared" si="48"/>
        <v>0.05</v>
      </c>
      <c r="H298" s="666"/>
      <c r="I298" s="21">
        <f t="shared" si="49"/>
        <v>0.01</v>
      </c>
      <c r="J298" s="666"/>
      <c r="K298" s="21">
        <f t="shared" si="50"/>
        <v>0</v>
      </c>
      <c r="L298" s="666"/>
      <c r="M298" s="21">
        <f t="shared" si="51"/>
        <v>1</v>
      </c>
      <c r="N298" s="666"/>
      <c r="O298" s="21">
        <f t="shared" si="52"/>
        <v>1</v>
      </c>
      <c r="P298" s="666"/>
      <c r="Q298" s="21">
        <f t="shared" si="53"/>
        <v>0</v>
      </c>
      <c r="R298" s="662">
        <f t="shared" si="54"/>
        <v>0</v>
      </c>
      <c r="S298" s="316">
        <f t="shared" si="45"/>
        <v>0</v>
      </c>
    </row>
    <row r="299" spans="1:19">
      <c r="A299" s="150"/>
      <c r="B299" s="54"/>
      <c r="C299" s="21">
        <f t="shared" si="46"/>
        <v>1</v>
      </c>
      <c r="D299" s="666"/>
      <c r="E299" s="21">
        <f t="shared" si="47"/>
        <v>0.03</v>
      </c>
      <c r="F299" s="666"/>
      <c r="G299" s="21">
        <f t="shared" si="48"/>
        <v>0.05</v>
      </c>
      <c r="H299" s="666"/>
      <c r="I299" s="21">
        <f t="shared" si="49"/>
        <v>0.01</v>
      </c>
      <c r="J299" s="666"/>
      <c r="K299" s="21">
        <f t="shared" si="50"/>
        <v>0</v>
      </c>
      <c r="L299" s="666"/>
      <c r="M299" s="21">
        <f t="shared" si="51"/>
        <v>1</v>
      </c>
      <c r="N299" s="666"/>
      <c r="O299" s="21">
        <f t="shared" si="52"/>
        <v>1</v>
      </c>
      <c r="P299" s="666"/>
      <c r="Q299" s="21">
        <f t="shared" si="53"/>
        <v>0</v>
      </c>
      <c r="R299" s="662">
        <f t="shared" si="54"/>
        <v>0</v>
      </c>
      <c r="S299" s="316">
        <f t="shared" si="45"/>
        <v>0</v>
      </c>
    </row>
    <row r="300" spans="1:19">
      <c r="A300" s="150"/>
      <c r="B300" s="54"/>
      <c r="C300" s="21">
        <f t="shared" si="46"/>
        <v>1</v>
      </c>
      <c r="D300" s="666"/>
      <c r="E300" s="21">
        <f t="shared" si="47"/>
        <v>0.03</v>
      </c>
      <c r="F300" s="666"/>
      <c r="G300" s="21">
        <f t="shared" si="48"/>
        <v>0.05</v>
      </c>
      <c r="H300" s="666"/>
      <c r="I300" s="21">
        <f t="shared" si="49"/>
        <v>0.01</v>
      </c>
      <c r="J300" s="666"/>
      <c r="K300" s="21">
        <f t="shared" si="50"/>
        <v>0</v>
      </c>
      <c r="L300" s="666"/>
      <c r="M300" s="21">
        <f t="shared" si="51"/>
        <v>1</v>
      </c>
      <c r="N300" s="666"/>
      <c r="O300" s="21">
        <f t="shared" si="52"/>
        <v>1</v>
      </c>
      <c r="P300" s="666"/>
      <c r="Q300" s="21">
        <f t="shared" si="53"/>
        <v>0</v>
      </c>
      <c r="R300" s="662">
        <f t="shared" si="54"/>
        <v>0</v>
      </c>
      <c r="S300" s="316">
        <f t="shared" si="45"/>
        <v>0</v>
      </c>
    </row>
    <row r="301" spans="1:19">
      <c r="A301" s="150"/>
      <c r="B301" s="54"/>
      <c r="C301" s="21">
        <f t="shared" si="46"/>
        <v>1</v>
      </c>
      <c r="D301" s="666"/>
      <c r="E301" s="21">
        <f t="shared" si="47"/>
        <v>0.03</v>
      </c>
      <c r="F301" s="666"/>
      <c r="G301" s="21">
        <f t="shared" si="48"/>
        <v>0.05</v>
      </c>
      <c r="H301" s="666"/>
      <c r="I301" s="21">
        <f t="shared" si="49"/>
        <v>0.01</v>
      </c>
      <c r="J301" s="666"/>
      <c r="K301" s="21">
        <f t="shared" si="50"/>
        <v>0</v>
      </c>
      <c r="L301" s="666"/>
      <c r="M301" s="21">
        <f t="shared" si="51"/>
        <v>1</v>
      </c>
      <c r="N301" s="666"/>
      <c r="O301" s="21">
        <f t="shared" si="52"/>
        <v>1</v>
      </c>
      <c r="P301" s="666"/>
      <c r="Q301" s="21">
        <f t="shared" si="53"/>
        <v>0</v>
      </c>
      <c r="R301" s="662">
        <f t="shared" si="54"/>
        <v>0</v>
      </c>
      <c r="S301" s="316">
        <f t="shared" si="45"/>
        <v>0</v>
      </c>
    </row>
    <row r="302" spans="1:19">
      <c r="A302" s="150"/>
      <c r="B302" s="54"/>
      <c r="C302" s="21">
        <f t="shared" si="46"/>
        <v>1</v>
      </c>
      <c r="D302" s="666"/>
      <c r="E302" s="21">
        <f t="shared" si="47"/>
        <v>0.03</v>
      </c>
      <c r="F302" s="666"/>
      <c r="G302" s="21">
        <f t="shared" si="48"/>
        <v>0.05</v>
      </c>
      <c r="H302" s="666"/>
      <c r="I302" s="21">
        <f t="shared" si="49"/>
        <v>0.01</v>
      </c>
      <c r="J302" s="666"/>
      <c r="K302" s="21">
        <f t="shared" si="50"/>
        <v>0</v>
      </c>
      <c r="L302" s="666"/>
      <c r="M302" s="21">
        <f t="shared" si="51"/>
        <v>1</v>
      </c>
      <c r="N302" s="666"/>
      <c r="O302" s="21">
        <f t="shared" si="52"/>
        <v>1</v>
      </c>
      <c r="P302" s="666"/>
      <c r="Q302" s="21">
        <f t="shared" si="53"/>
        <v>0</v>
      </c>
      <c r="R302" s="662">
        <f t="shared" si="54"/>
        <v>0</v>
      </c>
      <c r="S302" s="316">
        <f t="shared" si="45"/>
        <v>0</v>
      </c>
    </row>
    <row r="303" spans="1:19">
      <c r="A303" s="150"/>
      <c r="B303" s="54"/>
      <c r="C303" s="21">
        <f t="shared" si="46"/>
        <v>1</v>
      </c>
      <c r="D303" s="666"/>
      <c r="E303" s="21">
        <f t="shared" si="47"/>
        <v>0.03</v>
      </c>
      <c r="F303" s="666"/>
      <c r="G303" s="21">
        <f t="shared" si="48"/>
        <v>0.05</v>
      </c>
      <c r="H303" s="666"/>
      <c r="I303" s="21">
        <f t="shared" si="49"/>
        <v>0.01</v>
      </c>
      <c r="J303" s="666"/>
      <c r="K303" s="21">
        <f t="shared" si="50"/>
        <v>0</v>
      </c>
      <c r="L303" s="666"/>
      <c r="M303" s="21">
        <f t="shared" si="51"/>
        <v>1</v>
      </c>
      <c r="N303" s="666"/>
      <c r="O303" s="21">
        <f t="shared" si="52"/>
        <v>1</v>
      </c>
      <c r="P303" s="666"/>
      <c r="Q303" s="21">
        <f t="shared" si="53"/>
        <v>0</v>
      </c>
      <c r="R303" s="662">
        <f t="shared" si="54"/>
        <v>0</v>
      </c>
      <c r="S303" s="316">
        <f t="shared" si="45"/>
        <v>0</v>
      </c>
    </row>
    <row r="304" spans="1:19">
      <c r="A304" s="150"/>
      <c r="B304" s="54"/>
      <c r="C304" s="21">
        <f t="shared" si="46"/>
        <v>1</v>
      </c>
      <c r="D304" s="666"/>
      <c r="E304" s="21">
        <f t="shared" si="47"/>
        <v>0.03</v>
      </c>
      <c r="F304" s="666"/>
      <c r="G304" s="21">
        <f t="shared" si="48"/>
        <v>0.05</v>
      </c>
      <c r="H304" s="666"/>
      <c r="I304" s="21">
        <f t="shared" si="49"/>
        <v>0.01</v>
      </c>
      <c r="J304" s="666"/>
      <c r="K304" s="21">
        <f t="shared" si="50"/>
        <v>0</v>
      </c>
      <c r="L304" s="666"/>
      <c r="M304" s="21">
        <f t="shared" si="51"/>
        <v>1</v>
      </c>
      <c r="N304" s="666"/>
      <c r="O304" s="21">
        <f t="shared" si="52"/>
        <v>1</v>
      </c>
      <c r="P304" s="666"/>
      <c r="Q304" s="21">
        <f t="shared" si="53"/>
        <v>0</v>
      </c>
      <c r="R304" s="662">
        <f t="shared" si="54"/>
        <v>0</v>
      </c>
      <c r="S304" s="316">
        <f t="shared" si="45"/>
        <v>0</v>
      </c>
    </row>
    <row r="305" spans="1:19">
      <c r="A305" s="150"/>
      <c r="B305" s="54"/>
      <c r="C305" s="21">
        <f t="shared" si="46"/>
        <v>1</v>
      </c>
      <c r="D305" s="666"/>
      <c r="E305" s="21">
        <f t="shared" si="47"/>
        <v>0.03</v>
      </c>
      <c r="F305" s="666"/>
      <c r="G305" s="21">
        <f t="shared" si="48"/>
        <v>0.05</v>
      </c>
      <c r="H305" s="666"/>
      <c r="I305" s="21">
        <f t="shared" si="49"/>
        <v>0.01</v>
      </c>
      <c r="J305" s="666"/>
      <c r="K305" s="21">
        <f t="shared" si="50"/>
        <v>0</v>
      </c>
      <c r="L305" s="666"/>
      <c r="M305" s="21">
        <f t="shared" si="51"/>
        <v>1</v>
      </c>
      <c r="N305" s="666"/>
      <c r="O305" s="21">
        <f t="shared" si="52"/>
        <v>1</v>
      </c>
      <c r="P305" s="666"/>
      <c r="Q305" s="21">
        <f t="shared" si="53"/>
        <v>0</v>
      </c>
      <c r="R305" s="662">
        <f t="shared" si="54"/>
        <v>0</v>
      </c>
      <c r="S305" s="316">
        <f t="shared" si="45"/>
        <v>0</v>
      </c>
    </row>
    <row r="306" spans="1:19">
      <c r="A306" s="150"/>
      <c r="B306" s="54"/>
      <c r="C306" s="21">
        <f t="shared" si="46"/>
        <v>1</v>
      </c>
      <c r="D306" s="666"/>
      <c r="E306" s="21">
        <f t="shared" si="47"/>
        <v>0.03</v>
      </c>
      <c r="F306" s="666"/>
      <c r="G306" s="21">
        <f t="shared" si="48"/>
        <v>0.05</v>
      </c>
      <c r="H306" s="666"/>
      <c r="I306" s="21">
        <f t="shared" si="49"/>
        <v>0.01</v>
      </c>
      <c r="J306" s="666"/>
      <c r="K306" s="21">
        <f t="shared" si="50"/>
        <v>0</v>
      </c>
      <c r="L306" s="666"/>
      <c r="M306" s="21">
        <f t="shared" si="51"/>
        <v>1</v>
      </c>
      <c r="N306" s="666"/>
      <c r="O306" s="21">
        <f t="shared" si="52"/>
        <v>1</v>
      </c>
      <c r="P306" s="666"/>
      <c r="Q306" s="21">
        <f t="shared" si="53"/>
        <v>0</v>
      </c>
      <c r="R306" s="662">
        <f t="shared" si="54"/>
        <v>0</v>
      </c>
      <c r="S306" s="316">
        <f t="shared" si="45"/>
        <v>0</v>
      </c>
    </row>
    <row r="307" spans="1:19">
      <c r="A307" s="150"/>
      <c r="B307" s="54"/>
      <c r="C307" s="21">
        <f t="shared" si="46"/>
        <v>1</v>
      </c>
      <c r="D307" s="666"/>
      <c r="E307" s="21">
        <f t="shared" si="47"/>
        <v>0.03</v>
      </c>
      <c r="F307" s="666"/>
      <c r="G307" s="21">
        <f t="shared" si="48"/>
        <v>0.05</v>
      </c>
      <c r="H307" s="666"/>
      <c r="I307" s="21">
        <f t="shared" si="49"/>
        <v>0.01</v>
      </c>
      <c r="J307" s="666"/>
      <c r="K307" s="21">
        <f t="shared" si="50"/>
        <v>0</v>
      </c>
      <c r="L307" s="666"/>
      <c r="M307" s="21">
        <f t="shared" si="51"/>
        <v>1</v>
      </c>
      <c r="N307" s="666"/>
      <c r="O307" s="21">
        <f t="shared" si="52"/>
        <v>1</v>
      </c>
      <c r="P307" s="666"/>
      <c r="Q307" s="21">
        <f t="shared" si="53"/>
        <v>0</v>
      </c>
      <c r="R307" s="662">
        <f t="shared" si="54"/>
        <v>0</v>
      </c>
      <c r="S307" s="316">
        <f t="shared" si="45"/>
        <v>0</v>
      </c>
    </row>
    <row r="308" spans="1:19">
      <c r="A308" s="150"/>
      <c r="B308" s="54"/>
      <c r="C308" s="21">
        <f t="shared" si="46"/>
        <v>1</v>
      </c>
      <c r="D308" s="666"/>
      <c r="E308" s="21">
        <f t="shared" si="47"/>
        <v>0.03</v>
      </c>
      <c r="F308" s="666"/>
      <c r="G308" s="21">
        <f t="shared" si="48"/>
        <v>0.05</v>
      </c>
      <c r="H308" s="666"/>
      <c r="I308" s="21">
        <f t="shared" si="49"/>
        <v>0.01</v>
      </c>
      <c r="J308" s="666"/>
      <c r="K308" s="21">
        <f t="shared" si="50"/>
        <v>0</v>
      </c>
      <c r="L308" s="666"/>
      <c r="M308" s="21">
        <f t="shared" si="51"/>
        <v>1</v>
      </c>
      <c r="N308" s="666"/>
      <c r="O308" s="21">
        <f t="shared" si="52"/>
        <v>1</v>
      </c>
      <c r="P308" s="666"/>
      <c r="Q308" s="21">
        <f t="shared" si="53"/>
        <v>0</v>
      </c>
      <c r="R308" s="662">
        <f t="shared" si="54"/>
        <v>0</v>
      </c>
      <c r="S308" s="316">
        <f t="shared" si="45"/>
        <v>0</v>
      </c>
    </row>
    <row r="309" spans="1:19">
      <c r="A309" s="150"/>
      <c r="B309" s="54"/>
      <c r="C309" s="21">
        <f t="shared" si="46"/>
        <v>1</v>
      </c>
      <c r="D309" s="666"/>
      <c r="E309" s="21">
        <f t="shared" si="47"/>
        <v>0.03</v>
      </c>
      <c r="F309" s="666"/>
      <c r="G309" s="21">
        <f t="shared" si="48"/>
        <v>0.05</v>
      </c>
      <c r="H309" s="666"/>
      <c r="I309" s="21">
        <f t="shared" si="49"/>
        <v>0.01</v>
      </c>
      <c r="J309" s="666"/>
      <c r="K309" s="21">
        <f t="shared" si="50"/>
        <v>0</v>
      </c>
      <c r="L309" s="666"/>
      <c r="M309" s="21">
        <f t="shared" si="51"/>
        <v>1</v>
      </c>
      <c r="N309" s="666"/>
      <c r="O309" s="21">
        <f t="shared" si="52"/>
        <v>1</v>
      </c>
      <c r="P309" s="666"/>
      <c r="Q309" s="21">
        <f t="shared" si="53"/>
        <v>0</v>
      </c>
      <c r="R309" s="662">
        <f t="shared" si="54"/>
        <v>0</v>
      </c>
      <c r="S309" s="316">
        <f t="shared" si="45"/>
        <v>0</v>
      </c>
    </row>
    <row r="310" spans="1:19">
      <c r="A310" s="150"/>
      <c r="B310" s="54"/>
      <c r="C310" s="21">
        <f t="shared" si="46"/>
        <v>1</v>
      </c>
      <c r="D310" s="666"/>
      <c r="E310" s="21">
        <f t="shared" si="47"/>
        <v>0.03</v>
      </c>
      <c r="F310" s="666"/>
      <c r="G310" s="21">
        <f t="shared" si="48"/>
        <v>0.05</v>
      </c>
      <c r="H310" s="666"/>
      <c r="I310" s="21">
        <f t="shared" si="49"/>
        <v>0.01</v>
      </c>
      <c r="J310" s="666"/>
      <c r="K310" s="21">
        <f t="shared" si="50"/>
        <v>0</v>
      </c>
      <c r="L310" s="666"/>
      <c r="M310" s="21">
        <f t="shared" si="51"/>
        <v>1</v>
      </c>
      <c r="N310" s="666"/>
      <c r="O310" s="21">
        <f t="shared" si="52"/>
        <v>1</v>
      </c>
      <c r="P310" s="666"/>
      <c r="Q310" s="21">
        <f t="shared" si="53"/>
        <v>0</v>
      </c>
      <c r="R310" s="662">
        <f t="shared" si="54"/>
        <v>0</v>
      </c>
      <c r="S310" s="316">
        <f t="shared" si="45"/>
        <v>0</v>
      </c>
    </row>
    <row r="311" spans="1:19">
      <c r="A311" s="150"/>
      <c r="B311" s="54"/>
      <c r="C311" s="21">
        <f t="shared" si="46"/>
        <v>1</v>
      </c>
      <c r="D311" s="666"/>
      <c r="E311" s="21">
        <f t="shared" si="47"/>
        <v>0.03</v>
      </c>
      <c r="F311" s="666"/>
      <c r="G311" s="21">
        <f t="shared" si="48"/>
        <v>0.05</v>
      </c>
      <c r="H311" s="666"/>
      <c r="I311" s="21">
        <f t="shared" si="49"/>
        <v>0.01</v>
      </c>
      <c r="J311" s="666"/>
      <c r="K311" s="21">
        <f t="shared" si="50"/>
        <v>0</v>
      </c>
      <c r="L311" s="666"/>
      <c r="M311" s="21">
        <f t="shared" si="51"/>
        <v>1</v>
      </c>
      <c r="N311" s="666"/>
      <c r="O311" s="21">
        <f t="shared" si="52"/>
        <v>1</v>
      </c>
      <c r="P311" s="666"/>
      <c r="Q311" s="21">
        <f t="shared" si="53"/>
        <v>0</v>
      </c>
      <c r="R311" s="662">
        <f t="shared" si="54"/>
        <v>0</v>
      </c>
      <c r="S311" s="316">
        <f t="shared" si="45"/>
        <v>0</v>
      </c>
    </row>
    <row r="312" spans="1:19">
      <c r="A312" s="150"/>
      <c r="B312" s="54"/>
      <c r="C312" s="21">
        <f t="shared" si="46"/>
        <v>1</v>
      </c>
      <c r="D312" s="666"/>
      <c r="E312" s="21">
        <f t="shared" si="47"/>
        <v>0.03</v>
      </c>
      <c r="F312" s="666"/>
      <c r="G312" s="21">
        <f t="shared" si="48"/>
        <v>0.05</v>
      </c>
      <c r="H312" s="666"/>
      <c r="I312" s="21">
        <f t="shared" si="49"/>
        <v>0.01</v>
      </c>
      <c r="J312" s="666"/>
      <c r="K312" s="21">
        <f t="shared" si="50"/>
        <v>0</v>
      </c>
      <c r="L312" s="666"/>
      <c r="M312" s="21">
        <f t="shared" si="51"/>
        <v>1</v>
      </c>
      <c r="N312" s="666"/>
      <c r="O312" s="21">
        <f t="shared" si="52"/>
        <v>1</v>
      </c>
      <c r="P312" s="666"/>
      <c r="Q312" s="21">
        <f t="shared" si="53"/>
        <v>0</v>
      </c>
      <c r="R312" s="662">
        <f t="shared" si="54"/>
        <v>0</v>
      </c>
      <c r="S312" s="316">
        <f t="shared" si="45"/>
        <v>0</v>
      </c>
    </row>
    <row r="313" spans="1:19">
      <c r="A313" s="150"/>
      <c r="B313" s="54"/>
      <c r="C313" s="21">
        <f t="shared" si="46"/>
        <v>1</v>
      </c>
      <c r="D313" s="666"/>
      <c r="E313" s="21">
        <f t="shared" si="47"/>
        <v>0.03</v>
      </c>
      <c r="F313" s="666"/>
      <c r="G313" s="21">
        <f t="shared" si="48"/>
        <v>0.05</v>
      </c>
      <c r="H313" s="666"/>
      <c r="I313" s="21">
        <f t="shared" si="49"/>
        <v>0.01</v>
      </c>
      <c r="J313" s="666"/>
      <c r="K313" s="21">
        <f t="shared" si="50"/>
        <v>0</v>
      </c>
      <c r="L313" s="666"/>
      <c r="M313" s="21">
        <f t="shared" si="51"/>
        <v>1</v>
      </c>
      <c r="N313" s="666"/>
      <c r="O313" s="21">
        <f t="shared" si="52"/>
        <v>1</v>
      </c>
      <c r="P313" s="666"/>
      <c r="Q313" s="21">
        <f t="shared" si="53"/>
        <v>0</v>
      </c>
      <c r="R313" s="662">
        <f t="shared" si="54"/>
        <v>0</v>
      </c>
      <c r="S313" s="316">
        <f t="shared" si="45"/>
        <v>0</v>
      </c>
    </row>
    <row r="314" spans="1:19">
      <c r="A314" s="150"/>
      <c r="B314" s="54"/>
      <c r="C314" s="21">
        <f t="shared" si="46"/>
        <v>1</v>
      </c>
      <c r="D314" s="666"/>
      <c r="E314" s="21">
        <f t="shared" si="47"/>
        <v>0.03</v>
      </c>
      <c r="F314" s="666"/>
      <c r="G314" s="21">
        <f t="shared" si="48"/>
        <v>0.05</v>
      </c>
      <c r="H314" s="666"/>
      <c r="I314" s="21">
        <f t="shared" si="49"/>
        <v>0.01</v>
      </c>
      <c r="J314" s="666"/>
      <c r="K314" s="21">
        <f t="shared" si="50"/>
        <v>0</v>
      </c>
      <c r="L314" s="666"/>
      <c r="M314" s="21">
        <f t="shared" si="51"/>
        <v>1</v>
      </c>
      <c r="N314" s="666"/>
      <c r="O314" s="21">
        <f t="shared" si="52"/>
        <v>1</v>
      </c>
      <c r="P314" s="666"/>
      <c r="Q314" s="21">
        <f t="shared" si="53"/>
        <v>0</v>
      </c>
      <c r="R314" s="662">
        <f t="shared" si="54"/>
        <v>0</v>
      </c>
      <c r="S314" s="316">
        <f t="shared" si="45"/>
        <v>0</v>
      </c>
    </row>
    <row r="315" spans="1:19">
      <c r="A315" s="150"/>
      <c r="B315" s="54"/>
      <c r="C315" s="21">
        <f t="shared" si="46"/>
        <v>1</v>
      </c>
      <c r="D315" s="666"/>
      <c r="E315" s="21">
        <f t="shared" si="47"/>
        <v>0.03</v>
      </c>
      <c r="F315" s="666"/>
      <c r="G315" s="21">
        <f t="shared" si="48"/>
        <v>0.05</v>
      </c>
      <c r="H315" s="666"/>
      <c r="I315" s="21">
        <f t="shared" si="49"/>
        <v>0.01</v>
      </c>
      <c r="J315" s="666"/>
      <c r="K315" s="21">
        <f t="shared" si="50"/>
        <v>0</v>
      </c>
      <c r="L315" s="666"/>
      <c r="M315" s="21">
        <f t="shared" si="51"/>
        <v>1</v>
      </c>
      <c r="N315" s="666"/>
      <c r="O315" s="21">
        <f t="shared" si="52"/>
        <v>1</v>
      </c>
      <c r="P315" s="666"/>
      <c r="Q315" s="21">
        <f t="shared" si="53"/>
        <v>0</v>
      </c>
      <c r="R315" s="662">
        <f t="shared" si="54"/>
        <v>0</v>
      </c>
      <c r="S315" s="316">
        <f t="shared" si="45"/>
        <v>0</v>
      </c>
    </row>
    <row r="316" spans="1:19">
      <c r="A316" s="150"/>
      <c r="B316" s="54"/>
      <c r="C316" s="21">
        <f t="shared" si="46"/>
        <v>1</v>
      </c>
      <c r="D316" s="666"/>
      <c r="E316" s="21">
        <f t="shared" si="47"/>
        <v>0.03</v>
      </c>
      <c r="F316" s="666"/>
      <c r="G316" s="21">
        <f t="shared" si="48"/>
        <v>0.05</v>
      </c>
      <c r="H316" s="666"/>
      <c r="I316" s="21">
        <f t="shared" si="49"/>
        <v>0.01</v>
      </c>
      <c r="J316" s="666"/>
      <c r="K316" s="21">
        <f t="shared" si="50"/>
        <v>0</v>
      </c>
      <c r="L316" s="666"/>
      <c r="M316" s="21">
        <f t="shared" si="51"/>
        <v>1</v>
      </c>
      <c r="N316" s="666"/>
      <c r="O316" s="21">
        <f t="shared" si="52"/>
        <v>1</v>
      </c>
      <c r="P316" s="666"/>
      <c r="Q316" s="21">
        <f t="shared" si="53"/>
        <v>0</v>
      </c>
      <c r="R316" s="662">
        <f t="shared" si="54"/>
        <v>0</v>
      </c>
      <c r="S316" s="316">
        <f t="shared" si="45"/>
        <v>0</v>
      </c>
    </row>
    <row r="317" spans="1:19">
      <c r="A317" s="150"/>
      <c r="B317" s="54"/>
      <c r="C317" s="21">
        <f t="shared" si="46"/>
        <v>1</v>
      </c>
      <c r="D317" s="666"/>
      <c r="E317" s="21">
        <f t="shared" si="47"/>
        <v>0.03</v>
      </c>
      <c r="F317" s="666"/>
      <c r="G317" s="21">
        <f t="shared" si="48"/>
        <v>0.05</v>
      </c>
      <c r="H317" s="666"/>
      <c r="I317" s="21">
        <f t="shared" si="49"/>
        <v>0.01</v>
      </c>
      <c r="J317" s="666"/>
      <c r="K317" s="21">
        <f t="shared" si="50"/>
        <v>0</v>
      </c>
      <c r="L317" s="666"/>
      <c r="M317" s="21">
        <f t="shared" si="51"/>
        <v>1</v>
      </c>
      <c r="N317" s="666"/>
      <c r="O317" s="21">
        <f t="shared" si="52"/>
        <v>1</v>
      </c>
      <c r="P317" s="666"/>
      <c r="Q317" s="21">
        <f t="shared" si="53"/>
        <v>0</v>
      </c>
      <c r="R317" s="662">
        <f t="shared" si="54"/>
        <v>0</v>
      </c>
      <c r="S317" s="316">
        <f t="shared" si="45"/>
        <v>0</v>
      </c>
    </row>
    <row r="318" spans="1:19">
      <c r="A318" s="150"/>
      <c r="B318" s="54"/>
      <c r="C318" s="21">
        <f t="shared" si="46"/>
        <v>1</v>
      </c>
      <c r="D318" s="666"/>
      <c r="E318" s="21">
        <f t="shared" si="47"/>
        <v>0.03</v>
      </c>
      <c r="F318" s="666"/>
      <c r="G318" s="21">
        <f t="shared" si="48"/>
        <v>0.05</v>
      </c>
      <c r="H318" s="666"/>
      <c r="I318" s="21">
        <f t="shared" si="49"/>
        <v>0.01</v>
      </c>
      <c r="J318" s="666"/>
      <c r="K318" s="21">
        <f t="shared" si="50"/>
        <v>0</v>
      </c>
      <c r="L318" s="666"/>
      <c r="M318" s="21">
        <f t="shared" si="51"/>
        <v>1</v>
      </c>
      <c r="N318" s="666"/>
      <c r="O318" s="21">
        <f t="shared" si="52"/>
        <v>1</v>
      </c>
      <c r="P318" s="666"/>
      <c r="Q318" s="21">
        <f t="shared" si="53"/>
        <v>0</v>
      </c>
      <c r="R318" s="662">
        <f t="shared" si="54"/>
        <v>0</v>
      </c>
      <c r="S318" s="316">
        <f t="shared" si="45"/>
        <v>0</v>
      </c>
    </row>
    <row r="319" spans="1:19">
      <c r="A319" s="150"/>
      <c r="B319" s="54"/>
      <c r="C319" s="21">
        <f t="shared" si="46"/>
        <v>1</v>
      </c>
      <c r="D319" s="666"/>
      <c r="E319" s="21">
        <f t="shared" si="47"/>
        <v>0.03</v>
      </c>
      <c r="F319" s="666"/>
      <c r="G319" s="21">
        <f t="shared" si="48"/>
        <v>0.05</v>
      </c>
      <c r="H319" s="666"/>
      <c r="I319" s="21">
        <f t="shared" si="49"/>
        <v>0.01</v>
      </c>
      <c r="J319" s="666"/>
      <c r="K319" s="21">
        <f t="shared" si="50"/>
        <v>0</v>
      </c>
      <c r="L319" s="666"/>
      <c r="M319" s="21">
        <f t="shared" si="51"/>
        <v>1</v>
      </c>
      <c r="N319" s="666"/>
      <c r="O319" s="21">
        <f t="shared" si="52"/>
        <v>1</v>
      </c>
      <c r="P319" s="666"/>
      <c r="Q319" s="21">
        <f t="shared" si="53"/>
        <v>0</v>
      </c>
      <c r="R319" s="662">
        <f t="shared" si="54"/>
        <v>0</v>
      </c>
      <c r="S319" s="316">
        <f t="shared" si="45"/>
        <v>0</v>
      </c>
    </row>
    <row r="320" spans="1:19">
      <c r="A320" s="150"/>
      <c r="B320" s="54"/>
      <c r="C320" s="21">
        <f t="shared" si="46"/>
        <v>1</v>
      </c>
      <c r="D320" s="666"/>
      <c r="E320" s="21">
        <f t="shared" si="47"/>
        <v>0.03</v>
      </c>
      <c r="F320" s="666"/>
      <c r="G320" s="21">
        <f t="shared" si="48"/>
        <v>0.05</v>
      </c>
      <c r="H320" s="666"/>
      <c r="I320" s="21">
        <f t="shared" si="49"/>
        <v>0.01</v>
      </c>
      <c r="J320" s="666"/>
      <c r="K320" s="21">
        <f t="shared" si="50"/>
        <v>0</v>
      </c>
      <c r="L320" s="666"/>
      <c r="M320" s="21">
        <f t="shared" si="51"/>
        <v>1</v>
      </c>
      <c r="N320" s="666"/>
      <c r="O320" s="21">
        <f t="shared" si="52"/>
        <v>1</v>
      </c>
      <c r="P320" s="666"/>
      <c r="Q320" s="21">
        <f t="shared" si="53"/>
        <v>0</v>
      </c>
      <c r="R320" s="662">
        <f t="shared" si="54"/>
        <v>0</v>
      </c>
      <c r="S320" s="316">
        <f t="shared" si="45"/>
        <v>0</v>
      </c>
    </row>
    <row r="321" spans="1:19">
      <c r="A321" s="150"/>
      <c r="B321" s="54"/>
      <c r="C321" s="21">
        <f t="shared" si="46"/>
        <v>1</v>
      </c>
      <c r="D321" s="666"/>
      <c r="E321" s="21">
        <f t="shared" si="47"/>
        <v>0.03</v>
      </c>
      <c r="F321" s="666"/>
      <c r="G321" s="21">
        <f t="shared" si="48"/>
        <v>0.05</v>
      </c>
      <c r="H321" s="666"/>
      <c r="I321" s="21">
        <f t="shared" si="49"/>
        <v>0.01</v>
      </c>
      <c r="J321" s="666"/>
      <c r="K321" s="21">
        <f t="shared" si="50"/>
        <v>0</v>
      </c>
      <c r="L321" s="666"/>
      <c r="M321" s="21">
        <f t="shared" si="51"/>
        <v>1</v>
      </c>
      <c r="N321" s="666"/>
      <c r="O321" s="21">
        <f t="shared" si="52"/>
        <v>1</v>
      </c>
      <c r="P321" s="666"/>
      <c r="Q321" s="21">
        <f t="shared" si="53"/>
        <v>0</v>
      </c>
      <c r="R321" s="662">
        <f t="shared" si="54"/>
        <v>0</v>
      </c>
      <c r="S321" s="316">
        <f t="shared" si="45"/>
        <v>0</v>
      </c>
    </row>
    <row r="322" spans="1:19">
      <c r="A322" s="150"/>
      <c r="B322" s="54"/>
      <c r="C322" s="21">
        <f t="shared" si="46"/>
        <v>1</v>
      </c>
      <c r="D322" s="666"/>
      <c r="E322" s="21">
        <f t="shared" si="47"/>
        <v>0.03</v>
      </c>
      <c r="F322" s="666"/>
      <c r="G322" s="21">
        <f t="shared" si="48"/>
        <v>0.05</v>
      </c>
      <c r="H322" s="666"/>
      <c r="I322" s="21">
        <f t="shared" si="49"/>
        <v>0.01</v>
      </c>
      <c r="J322" s="666"/>
      <c r="K322" s="21">
        <f t="shared" si="50"/>
        <v>0</v>
      </c>
      <c r="L322" s="666"/>
      <c r="M322" s="21">
        <f t="shared" si="51"/>
        <v>1</v>
      </c>
      <c r="N322" s="666"/>
      <c r="O322" s="21">
        <f t="shared" si="52"/>
        <v>1</v>
      </c>
      <c r="P322" s="666"/>
      <c r="Q322" s="21">
        <f t="shared" si="53"/>
        <v>0</v>
      </c>
      <c r="R322" s="662">
        <f t="shared" si="54"/>
        <v>0</v>
      </c>
      <c r="S322" s="316">
        <f t="shared" si="45"/>
        <v>0</v>
      </c>
    </row>
    <row r="323" spans="1:19">
      <c r="A323" s="150"/>
      <c r="B323" s="54"/>
      <c r="C323" s="21">
        <f t="shared" si="46"/>
        <v>1</v>
      </c>
      <c r="D323" s="666"/>
      <c r="E323" s="21">
        <f t="shared" si="47"/>
        <v>0.03</v>
      </c>
      <c r="F323" s="666"/>
      <c r="G323" s="21">
        <f t="shared" si="48"/>
        <v>0.05</v>
      </c>
      <c r="H323" s="666"/>
      <c r="I323" s="21">
        <f t="shared" si="49"/>
        <v>0.01</v>
      </c>
      <c r="J323" s="666"/>
      <c r="K323" s="21">
        <f t="shared" si="50"/>
        <v>0</v>
      </c>
      <c r="L323" s="666"/>
      <c r="M323" s="21">
        <f t="shared" si="51"/>
        <v>1</v>
      </c>
      <c r="N323" s="666"/>
      <c r="O323" s="21">
        <f t="shared" si="52"/>
        <v>1</v>
      </c>
      <c r="P323" s="666"/>
      <c r="Q323" s="21">
        <f t="shared" si="53"/>
        <v>0</v>
      </c>
      <c r="R323" s="662">
        <f t="shared" si="54"/>
        <v>0</v>
      </c>
      <c r="S323" s="316">
        <f t="shared" si="45"/>
        <v>0</v>
      </c>
    </row>
    <row r="324" spans="1:19">
      <c r="A324" s="150"/>
      <c r="B324" s="54"/>
      <c r="C324" s="21">
        <f t="shared" si="46"/>
        <v>1</v>
      </c>
      <c r="D324" s="666"/>
      <c r="E324" s="21">
        <f t="shared" si="47"/>
        <v>0.03</v>
      </c>
      <c r="F324" s="666"/>
      <c r="G324" s="21">
        <f t="shared" si="48"/>
        <v>0.05</v>
      </c>
      <c r="H324" s="666"/>
      <c r="I324" s="21">
        <f t="shared" si="49"/>
        <v>0.01</v>
      </c>
      <c r="J324" s="666"/>
      <c r="K324" s="21">
        <f t="shared" si="50"/>
        <v>0</v>
      </c>
      <c r="L324" s="666"/>
      <c r="M324" s="21">
        <f t="shared" si="51"/>
        <v>1</v>
      </c>
      <c r="N324" s="666"/>
      <c r="O324" s="21">
        <f t="shared" si="52"/>
        <v>1</v>
      </c>
      <c r="P324" s="666"/>
      <c r="Q324" s="21">
        <f t="shared" si="53"/>
        <v>0</v>
      </c>
      <c r="R324" s="662">
        <f t="shared" si="54"/>
        <v>0</v>
      </c>
      <c r="S324" s="316">
        <f t="shared" si="45"/>
        <v>0</v>
      </c>
    </row>
    <row r="325" spans="1:19">
      <c r="A325" s="150"/>
      <c r="B325" s="54"/>
      <c r="C325" s="21">
        <f t="shared" si="46"/>
        <v>1</v>
      </c>
      <c r="D325" s="666"/>
      <c r="E325" s="21">
        <f t="shared" si="47"/>
        <v>0.03</v>
      </c>
      <c r="F325" s="666"/>
      <c r="G325" s="21">
        <f t="shared" si="48"/>
        <v>0.05</v>
      </c>
      <c r="H325" s="666"/>
      <c r="I325" s="21">
        <f t="shared" si="49"/>
        <v>0.01</v>
      </c>
      <c r="J325" s="666"/>
      <c r="K325" s="21">
        <f t="shared" si="50"/>
        <v>0</v>
      </c>
      <c r="L325" s="666"/>
      <c r="M325" s="21">
        <f t="shared" si="51"/>
        <v>1</v>
      </c>
      <c r="N325" s="666"/>
      <c r="O325" s="21">
        <f t="shared" si="52"/>
        <v>1</v>
      </c>
      <c r="P325" s="666"/>
      <c r="Q325" s="21">
        <f t="shared" si="53"/>
        <v>0</v>
      </c>
      <c r="R325" s="662">
        <f t="shared" si="54"/>
        <v>0</v>
      </c>
      <c r="S325" s="316">
        <f t="shared" si="45"/>
        <v>0</v>
      </c>
    </row>
    <row r="326" spans="1:19">
      <c r="A326" s="150"/>
      <c r="B326" s="54"/>
      <c r="C326" s="21">
        <f t="shared" si="46"/>
        <v>1</v>
      </c>
      <c r="D326" s="666"/>
      <c r="E326" s="21">
        <f t="shared" si="47"/>
        <v>0.03</v>
      </c>
      <c r="F326" s="666"/>
      <c r="G326" s="21">
        <f t="shared" si="48"/>
        <v>0.05</v>
      </c>
      <c r="H326" s="666"/>
      <c r="I326" s="21">
        <f t="shared" si="49"/>
        <v>0.01</v>
      </c>
      <c r="J326" s="666"/>
      <c r="K326" s="21">
        <f t="shared" si="50"/>
        <v>0</v>
      </c>
      <c r="L326" s="666"/>
      <c r="M326" s="21">
        <f t="shared" si="51"/>
        <v>1</v>
      </c>
      <c r="N326" s="666"/>
      <c r="O326" s="21">
        <f t="shared" si="52"/>
        <v>1</v>
      </c>
      <c r="P326" s="666"/>
      <c r="Q326" s="21">
        <f t="shared" si="53"/>
        <v>0</v>
      </c>
      <c r="R326" s="662">
        <f t="shared" si="54"/>
        <v>0</v>
      </c>
      <c r="S326" s="316">
        <f t="shared" si="45"/>
        <v>0</v>
      </c>
    </row>
    <row r="327" spans="1:19">
      <c r="A327" s="150"/>
      <c r="B327" s="54"/>
      <c r="C327" s="21">
        <f t="shared" si="46"/>
        <v>1</v>
      </c>
      <c r="D327" s="666"/>
      <c r="E327" s="21">
        <f t="shared" si="47"/>
        <v>0.03</v>
      </c>
      <c r="F327" s="666"/>
      <c r="G327" s="21">
        <f t="shared" si="48"/>
        <v>0.05</v>
      </c>
      <c r="H327" s="666"/>
      <c r="I327" s="21">
        <f t="shared" si="49"/>
        <v>0.01</v>
      </c>
      <c r="J327" s="666"/>
      <c r="K327" s="21">
        <f t="shared" si="50"/>
        <v>0</v>
      </c>
      <c r="L327" s="666"/>
      <c r="M327" s="21">
        <f t="shared" si="51"/>
        <v>1</v>
      </c>
      <c r="N327" s="666"/>
      <c r="O327" s="21">
        <f t="shared" si="52"/>
        <v>1</v>
      </c>
      <c r="P327" s="666"/>
      <c r="Q327" s="21">
        <f t="shared" si="53"/>
        <v>0</v>
      </c>
      <c r="R327" s="662">
        <f t="shared" si="54"/>
        <v>0</v>
      </c>
      <c r="S327" s="316">
        <f t="shared" si="45"/>
        <v>0</v>
      </c>
    </row>
    <row r="328" spans="1:19">
      <c r="A328" s="150"/>
      <c r="B328" s="54"/>
      <c r="C328" s="21">
        <f t="shared" si="46"/>
        <v>1</v>
      </c>
      <c r="D328" s="666"/>
      <c r="E328" s="21">
        <f t="shared" si="47"/>
        <v>0.03</v>
      </c>
      <c r="F328" s="666"/>
      <c r="G328" s="21">
        <f t="shared" si="48"/>
        <v>0.05</v>
      </c>
      <c r="H328" s="666"/>
      <c r="I328" s="21">
        <f t="shared" si="49"/>
        <v>0.01</v>
      </c>
      <c r="J328" s="666"/>
      <c r="K328" s="21">
        <f t="shared" si="50"/>
        <v>0</v>
      </c>
      <c r="L328" s="666"/>
      <c r="M328" s="21">
        <f t="shared" si="51"/>
        <v>1</v>
      </c>
      <c r="N328" s="666"/>
      <c r="O328" s="21">
        <f t="shared" si="52"/>
        <v>1</v>
      </c>
      <c r="P328" s="666"/>
      <c r="Q328" s="21">
        <f t="shared" si="53"/>
        <v>0</v>
      </c>
      <c r="R328" s="662">
        <f t="shared" si="54"/>
        <v>0</v>
      </c>
      <c r="S328" s="316">
        <f t="shared" si="45"/>
        <v>0</v>
      </c>
    </row>
    <row r="329" spans="1:19">
      <c r="A329" s="150"/>
      <c r="B329" s="54"/>
      <c r="C329" s="21">
        <f t="shared" si="46"/>
        <v>1</v>
      </c>
      <c r="D329" s="666"/>
      <c r="E329" s="21">
        <f t="shared" si="47"/>
        <v>0.03</v>
      </c>
      <c r="F329" s="666"/>
      <c r="G329" s="21">
        <f t="shared" si="48"/>
        <v>0.05</v>
      </c>
      <c r="H329" s="666"/>
      <c r="I329" s="21">
        <f t="shared" si="49"/>
        <v>0.01</v>
      </c>
      <c r="J329" s="666"/>
      <c r="K329" s="21">
        <f t="shared" si="50"/>
        <v>0</v>
      </c>
      <c r="L329" s="666"/>
      <c r="M329" s="21">
        <f t="shared" si="51"/>
        <v>1</v>
      </c>
      <c r="N329" s="666"/>
      <c r="O329" s="21">
        <f t="shared" si="52"/>
        <v>1</v>
      </c>
      <c r="P329" s="666"/>
      <c r="Q329" s="21">
        <f t="shared" si="53"/>
        <v>0</v>
      </c>
      <c r="R329" s="662">
        <f t="shared" si="54"/>
        <v>0</v>
      </c>
      <c r="S329" s="316">
        <f t="shared" si="45"/>
        <v>0</v>
      </c>
    </row>
    <row r="330" spans="1:19">
      <c r="A330" s="150"/>
      <c r="B330" s="54"/>
      <c r="C330" s="21">
        <f t="shared" si="46"/>
        <v>1</v>
      </c>
      <c r="D330" s="666"/>
      <c r="E330" s="21">
        <f t="shared" si="47"/>
        <v>0.03</v>
      </c>
      <c r="F330" s="666"/>
      <c r="G330" s="21">
        <f t="shared" si="48"/>
        <v>0.05</v>
      </c>
      <c r="H330" s="666"/>
      <c r="I330" s="21">
        <f t="shared" si="49"/>
        <v>0.01</v>
      </c>
      <c r="J330" s="666"/>
      <c r="K330" s="21">
        <f t="shared" si="50"/>
        <v>0</v>
      </c>
      <c r="L330" s="666"/>
      <c r="M330" s="21">
        <f t="shared" si="51"/>
        <v>1</v>
      </c>
      <c r="N330" s="666"/>
      <c r="O330" s="21">
        <f t="shared" si="52"/>
        <v>1</v>
      </c>
      <c r="P330" s="666"/>
      <c r="Q330" s="21">
        <f t="shared" si="53"/>
        <v>0</v>
      </c>
      <c r="R330" s="662">
        <f t="shared" si="54"/>
        <v>0</v>
      </c>
      <c r="S330" s="316">
        <f t="shared" si="45"/>
        <v>0</v>
      </c>
    </row>
    <row r="331" spans="1:19">
      <c r="A331" s="150"/>
      <c r="B331" s="54"/>
      <c r="C331" s="21">
        <f t="shared" si="46"/>
        <v>1</v>
      </c>
      <c r="D331" s="666"/>
      <c r="E331" s="21">
        <f t="shared" si="47"/>
        <v>0.03</v>
      </c>
      <c r="F331" s="666"/>
      <c r="G331" s="21">
        <f t="shared" si="48"/>
        <v>0.05</v>
      </c>
      <c r="H331" s="666"/>
      <c r="I331" s="21">
        <f t="shared" si="49"/>
        <v>0.01</v>
      </c>
      <c r="J331" s="666"/>
      <c r="K331" s="21">
        <f t="shared" si="50"/>
        <v>0</v>
      </c>
      <c r="L331" s="666"/>
      <c r="M331" s="21">
        <f t="shared" si="51"/>
        <v>1</v>
      </c>
      <c r="N331" s="666"/>
      <c r="O331" s="21">
        <f t="shared" si="52"/>
        <v>1</v>
      </c>
      <c r="P331" s="666"/>
      <c r="Q331" s="21">
        <f t="shared" si="53"/>
        <v>0</v>
      </c>
      <c r="R331" s="662">
        <f t="shared" si="54"/>
        <v>0</v>
      </c>
      <c r="S331" s="316">
        <f t="shared" si="45"/>
        <v>0</v>
      </c>
    </row>
    <row r="332" spans="1:19">
      <c r="A332" s="150"/>
      <c r="B332" s="54"/>
      <c r="C332" s="21">
        <f t="shared" si="46"/>
        <v>1</v>
      </c>
      <c r="D332" s="666"/>
      <c r="E332" s="21">
        <f t="shared" si="47"/>
        <v>0.03</v>
      </c>
      <c r="F332" s="666"/>
      <c r="G332" s="21">
        <f t="shared" si="48"/>
        <v>0.05</v>
      </c>
      <c r="H332" s="666"/>
      <c r="I332" s="21">
        <f t="shared" si="49"/>
        <v>0.01</v>
      </c>
      <c r="J332" s="666"/>
      <c r="K332" s="21">
        <f t="shared" si="50"/>
        <v>0</v>
      </c>
      <c r="L332" s="666"/>
      <c r="M332" s="21">
        <f t="shared" si="51"/>
        <v>1</v>
      </c>
      <c r="N332" s="666"/>
      <c r="O332" s="21">
        <f t="shared" si="52"/>
        <v>1</v>
      </c>
      <c r="P332" s="666"/>
      <c r="Q332" s="21">
        <f t="shared" si="53"/>
        <v>0</v>
      </c>
      <c r="R332" s="662">
        <f t="shared" si="54"/>
        <v>0</v>
      </c>
      <c r="S332" s="316">
        <f t="shared" si="45"/>
        <v>0</v>
      </c>
    </row>
    <row r="333" spans="1:19">
      <c r="A333" s="150"/>
      <c r="B333" s="54"/>
      <c r="C333" s="21">
        <f t="shared" si="46"/>
        <v>1</v>
      </c>
      <c r="D333" s="666"/>
      <c r="E333" s="21">
        <f t="shared" si="47"/>
        <v>0.03</v>
      </c>
      <c r="F333" s="666"/>
      <c r="G333" s="21">
        <f t="shared" si="48"/>
        <v>0.05</v>
      </c>
      <c r="H333" s="666"/>
      <c r="I333" s="21">
        <f t="shared" si="49"/>
        <v>0.01</v>
      </c>
      <c r="J333" s="666"/>
      <c r="K333" s="21">
        <f t="shared" si="50"/>
        <v>0</v>
      </c>
      <c r="L333" s="666"/>
      <c r="M333" s="21">
        <f t="shared" si="51"/>
        <v>1</v>
      </c>
      <c r="N333" s="666"/>
      <c r="O333" s="21">
        <f t="shared" si="52"/>
        <v>1</v>
      </c>
      <c r="P333" s="666"/>
      <c r="Q333" s="21">
        <f t="shared" si="53"/>
        <v>0</v>
      </c>
      <c r="R333" s="662">
        <f t="shared" si="54"/>
        <v>0</v>
      </c>
      <c r="S333" s="316">
        <f t="shared" si="45"/>
        <v>0</v>
      </c>
    </row>
    <row r="334" spans="1:19">
      <c r="A334" s="150"/>
      <c r="B334" s="54"/>
      <c r="C334" s="21">
        <f t="shared" si="46"/>
        <v>1</v>
      </c>
      <c r="D334" s="666"/>
      <c r="E334" s="21">
        <f t="shared" si="47"/>
        <v>0.03</v>
      </c>
      <c r="F334" s="666"/>
      <c r="G334" s="21">
        <f t="shared" si="48"/>
        <v>0.05</v>
      </c>
      <c r="H334" s="666"/>
      <c r="I334" s="21">
        <f t="shared" si="49"/>
        <v>0.01</v>
      </c>
      <c r="J334" s="666"/>
      <c r="K334" s="21">
        <f t="shared" si="50"/>
        <v>0</v>
      </c>
      <c r="L334" s="666"/>
      <c r="M334" s="21">
        <f t="shared" si="51"/>
        <v>1</v>
      </c>
      <c r="N334" s="666"/>
      <c r="O334" s="21">
        <f t="shared" si="52"/>
        <v>1</v>
      </c>
      <c r="P334" s="666"/>
      <c r="Q334" s="21">
        <f t="shared" si="53"/>
        <v>0</v>
      </c>
      <c r="R334" s="662">
        <f t="shared" si="54"/>
        <v>0</v>
      </c>
      <c r="S334" s="316">
        <f t="shared" si="45"/>
        <v>0</v>
      </c>
    </row>
    <row r="335" spans="1:19">
      <c r="A335" s="150"/>
      <c r="B335" s="54"/>
      <c r="C335" s="21">
        <f t="shared" si="46"/>
        <v>1</v>
      </c>
      <c r="D335" s="666"/>
      <c r="E335" s="21">
        <f t="shared" si="47"/>
        <v>0.03</v>
      </c>
      <c r="F335" s="666"/>
      <c r="G335" s="21">
        <f t="shared" si="48"/>
        <v>0.05</v>
      </c>
      <c r="H335" s="666"/>
      <c r="I335" s="21">
        <f t="shared" si="49"/>
        <v>0.01</v>
      </c>
      <c r="J335" s="666"/>
      <c r="K335" s="21">
        <f t="shared" si="50"/>
        <v>0</v>
      </c>
      <c r="L335" s="666"/>
      <c r="M335" s="21">
        <f t="shared" si="51"/>
        <v>1</v>
      </c>
      <c r="N335" s="666"/>
      <c r="O335" s="21">
        <f t="shared" si="52"/>
        <v>1</v>
      </c>
      <c r="P335" s="666"/>
      <c r="Q335" s="21">
        <f t="shared" si="53"/>
        <v>0</v>
      </c>
      <c r="R335" s="662">
        <f t="shared" si="54"/>
        <v>0</v>
      </c>
      <c r="S335" s="316">
        <f t="shared" si="45"/>
        <v>0</v>
      </c>
    </row>
    <row r="336" spans="1:19">
      <c r="A336" s="150"/>
      <c r="B336" s="54"/>
      <c r="C336" s="21">
        <f t="shared" si="46"/>
        <v>1</v>
      </c>
      <c r="D336" s="666"/>
      <c r="E336" s="21">
        <f t="shared" si="47"/>
        <v>0.03</v>
      </c>
      <c r="F336" s="666"/>
      <c r="G336" s="21">
        <f t="shared" si="48"/>
        <v>0.05</v>
      </c>
      <c r="H336" s="666"/>
      <c r="I336" s="21">
        <f t="shared" si="49"/>
        <v>0.01</v>
      </c>
      <c r="J336" s="666"/>
      <c r="K336" s="21">
        <f t="shared" si="50"/>
        <v>0</v>
      </c>
      <c r="L336" s="666"/>
      <c r="M336" s="21">
        <f t="shared" si="51"/>
        <v>1</v>
      </c>
      <c r="N336" s="666"/>
      <c r="O336" s="21">
        <f t="shared" si="52"/>
        <v>1</v>
      </c>
      <c r="P336" s="666"/>
      <c r="Q336" s="21">
        <f t="shared" si="53"/>
        <v>0</v>
      </c>
      <c r="R336" s="662">
        <f t="shared" si="54"/>
        <v>0</v>
      </c>
      <c r="S336" s="316">
        <f t="shared" si="45"/>
        <v>0</v>
      </c>
    </row>
    <row r="337" spans="1:19">
      <c r="A337" s="150"/>
      <c r="B337" s="54"/>
      <c r="C337" s="21">
        <f t="shared" si="46"/>
        <v>1</v>
      </c>
      <c r="D337" s="666"/>
      <c r="E337" s="21">
        <f t="shared" si="47"/>
        <v>0.03</v>
      </c>
      <c r="F337" s="666"/>
      <c r="G337" s="21">
        <f t="shared" si="48"/>
        <v>0.05</v>
      </c>
      <c r="H337" s="666"/>
      <c r="I337" s="21">
        <f t="shared" si="49"/>
        <v>0.01</v>
      </c>
      <c r="J337" s="666"/>
      <c r="K337" s="21">
        <f t="shared" si="50"/>
        <v>0</v>
      </c>
      <c r="L337" s="666"/>
      <c r="M337" s="21">
        <f t="shared" si="51"/>
        <v>1</v>
      </c>
      <c r="N337" s="666"/>
      <c r="O337" s="21">
        <f t="shared" si="52"/>
        <v>1</v>
      </c>
      <c r="P337" s="666"/>
      <c r="Q337" s="21">
        <f t="shared" si="53"/>
        <v>0</v>
      </c>
      <c r="R337" s="662">
        <f t="shared" si="54"/>
        <v>0</v>
      </c>
      <c r="S337" s="316">
        <f t="shared" si="45"/>
        <v>0</v>
      </c>
    </row>
    <row r="338" spans="1:19">
      <c r="A338" s="150"/>
      <c r="B338" s="54"/>
      <c r="C338" s="21">
        <f t="shared" si="46"/>
        <v>1</v>
      </c>
      <c r="D338" s="666"/>
      <c r="E338" s="21">
        <f t="shared" si="47"/>
        <v>0.03</v>
      </c>
      <c r="F338" s="666"/>
      <c r="G338" s="21">
        <f t="shared" si="48"/>
        <v>0.05</v>
      </c>
      <c r="H338" s="666"/>
      <c r="I338" s="21">
        <f t="shared" si="49"/>
        <v>0.01</v>
      </c>
      <c r="J338" s="666"/>
      <c r="K338" s="21">
        <f t="shared" si="50"/>
        <v>0</v>
      </c>
      <c r="L338" s="666"/>
      <c r="M338" s="21">
        <f t="shared" si="51"/>
        <v>1</v>
      </c>
      <c r="N338" s="666"/>
      <c r="O338" s="21">
        <f t="shared" si="52"/>
        <v>1</v>
      </c>
      <c r="P338" s="666"/>
      <c r="Q338" s="21">
        <f t="shared" si="53"/>
        <v>0</v>
      </c>
      <c r="R338" s="662">
        <f t="shared" si="54"/>
        <v>0</v>
      </c>
      <c r="S338" s="316">
        <f t="shared" si="45"/>
        <v>0</v>
      </c>
    </row>
    <row r="339" spans="1:19">
      <c r="A339" s="150"/>
      <c r="B339" s="54"/>
      <c r="C339" s="21">
        <f t="shared" si="46"/>
        <v>1</v>
      </c>
      <c r="D339" s="666"/>
      <c r="E339" s="21">
        <f t="shared" si="47"/>
        <v>0.03</v>
      </c>
      <c r="F339" s="666"/>
      <c r="G339" s="21">
        <f t="shared" si="48"/>
        <v>0.05</v>
      </c>
      <c r="H339" s="666"/>
      <c r="I339" s="21">
        <f t="shared" si="49"/>
        <v>0.01</v>
      </c>
      <c r="J339" s="666"/>
      <c r="K339" s="21">
        <f t="shared" si="50"/>
        <v>0</v>
      </c>
      <c r="L339" s="666"/>
      <c r="M339" s="21">
        <f t="shared" si="51"/>
        <v>1</v>
      </c>
      <c r="N339" s="666"/>
      <c r="O339" s="21">
        <f t="shared" si="52"/>
        <v>1</v>
      </c>
      <c r="P339" s="666"/>
      <c r="Q339" s="21">
        <f t="shared" si="53"/>
        <v>0</v>
      </c>
      <c r="R339" s="662">
        <f t="shared" si="54"/>
        <v>0</v>
      </c>
      <c r="S339" s="316">
        <f t="shared" si="45"/>
        <v>0</v>
      </c>
    </row>
    <row r="340" spans="1:19">
      <c r="A340" s="150"/>
      <c r="B340" s="54"/>
      <c r="C340" s="21">
        <f t="shared" si="46"/>
        <v>1</v>
      </c>
      <c r="D340" s="666"/>
      <c r="E340" s="21">
        <f t="shared" si="47"/>
        <v>0.03</v>
      </c>
      <c r="F340" s="666"/>
      <c r="G340" s="21">
        <f t="shared" si="48"/>
        <v>0.05</v>
      </c>
      <c r="H340" s="666"/>
      <c r="I340" s="21">
        <f t="shared" si="49"/>
        <v>0.01</v>
      </c>
      <c r="J340" s="666"/>
      <c r="K340" s="21">
        <f t="shared" si="50"/>
        <v>0</v>
      </c>
      <c r="L340" s="666"/>
      <c r="M340" s="21">
        <f t="shared" si="51"/>
        <v>1</v>
      </c>
      <c r="N340" s="666"/>
      <c r="O340" s="21">
        <f t="shared" si="52"/>
        <v>1</v>
      </c>
      <c r="P340" s="666"/>
      <c r="Q340" s="21">
        <f t="shared" si="53"/>
        <v>0</v>
      </c>
      <c r="R340" s="662">
        <f t="shared" si="54"/>
        <v>0</v>
      </c>
      <c r="S340" s="316">
        <f t="shared" si="45"/>
        <v>0</v>
      </c>
    </row>
    <row r="341" spans="1:19">
      <c r="A341" s="150"/>
      <c r="B341" s="54"/>
      <c r="C341" s="21">
        <f t="shared" si="46"/>
        <v>1</v>
      </c>
      <c r="D341" s="666"/>
      <c r="E341" s="21">
        <f t="shared" si="47"/>
        <v>0.03</v>
      </c>
      <c r="F341" s="666"/>
      <c r="G341" s="21">
        <f t="shared" si="48"/>
        <v>0.05</v>
      </c>
      <c r="H341" s="666"/>
      <c r="I341" s="21">
        <f t="shared" si="49"/>
        <v>0.01</v>
      </c>
      <c r="J341" s="666"/>
      <c r="K341" s="21">
        <f t="shared" si="50"/>
        <v>0</v>
      </c>
      <c r="L341" s="666"/>
      <c r="M341" s="21">
        <f t="shared" si="51"/>
        <v>1</v>
      </c>
      <c r="N341" s="666"/>
      <c r="O341" s="21">
        <f t="shared" si="52"/>
        <v>1</v>
      </c>
      <c r="P341" s="666"/>
      <c r="Q341" s="21">
        <f t="shared" si="53"/>
        <v>0</v>
      </c>
      <c r="R341" s="662">
        <f t="shared" si="54"/>
        <v>0</v>
      </c>
      <c r="S341" s="316">
        <f t="shared" si="45"/>
        <v>0</v>
      </c>
    </row>
    <row r="342" spans="1:19">
      <c r="A342" s="150"/>
      <c r="B342" s="54"/>
      <c r="C342" s="21">
        <f t="shared" si="46"/>
        <v>1</v>
      </c>
      <c r="D342" s="666"/>
      <c r="E342" s="21">
        <f t="shared" si="47"/>
        <v>0.03</v>
      </c>
      <c r="F342" s="666"/>
      <c r="G342" s="21">
        <f t="shared" si="48"/>
        <v>0.05</v>
      </c>
      <c r="H342" s="666"/>
      <c r="I342" s="21">
        <f t="shared" si="49"/>
        <v>0.01</v>
      </c>
      <c r="J342" s="666"/>
      <c r="K342" s="21">
        <f t="shared" si="50"/>
        <v>0</v>
      </c>
      <c r="L342" s="666"/>
      <c r="M342" s="21">
        <f t="shared" si="51"/>
        <v>1</v>
      </c>
      <c r="N342" s="666"/>
      <c r="O342" s="21">
        <f t="shared" si="52"/>
        <v>1</v>
      </c>
      <c r="P342" s="666"/>
      <c r="Q342" s="21">
        <f t="shared" si="53"/>
        <v>0</v>
      </c>
      <c r="R342" s="662">
        <f t="shared" si="54"/>
        <v>0</v>
      </c>
      <c r="S342" s="316">
        <f t="shared" si="45"/>
        <v>0</v>
      </c>
    </row>
    <row r="343" spans="1:19">
      <c r="A343" s="150"/>
      <c r="B343" s="54"/>
      <c r="C343" s="21">
        <f t="shared" si="46"/>
        <v>1</v>
      </c>
      <c r="D343" s="666"/>
      <c r="E343" s="21">
        <f t="shared" si="47"/>
        <v>0.03</v>
      </c>
      <c r="F343" s="666"/>
      <c r="G343" s="21">
        <f t="shared" si="48"/>
        <v>0.05</v>
      </c>
      <c r="H343" s="666"/>
      <c r="I343" s="21">
        <f t="shared" si="49"/>
        <v>0.01</v>
      </c>
      <c r="J343" s="666"/>
      <c r="K343" s="21">
        <f t="shared" si="50"/>
        <v>0</v>
      </c>
      <c r="L343" s="666"/>
      <c r="M343" s="21">
        <f t="shared" si="51"/>
        <v>1</v>
      </c>
      <c r="N343" s="666"/>
      <c r="O343" s="21">
        <f t="shared" si="52"/>
        <v>1</v>
      </c>
      <c r="P343" s="666"/>
      <c r="Q343" s="21">
        <f t="shared" si="53"/>
        <v>0</v>
      </c>
      <c r="R343" s="662">
        <f t="shared" si="54"/>
        <v>0</v>
      </c>
      <c r="S343" s="316">
        <f t="shared" si="45"/>
        <v>0</v>
      </c>
    </row>
    <row r="344" spans="1:19">
      <c r="A344" s="150"/>
      <c r="B344" s="54"/>
      <c r="C344" s="21">
        <f t="shared" si="46"/>
        <v>1</v>
      </c>
      <c r="D344" s="666"/>
      <c r="E344" s="21">
        <f t="shared" si="47"/>
        <v>0.03</v>
      </c>
      <c r="F344" s="666"/>
      <c r="G344" s="21">
        <f t="shared" si="48"/>
        <v>0.05</v>
      </c>
      <c r="H344" s="666"/>
      <c r="I344" s="21">
        <f t="shared" si="49"/>
        <v>0.01</v>
      </c>
      <c r="J344" s="666"/>
      <c r="K344" s="21">
        <f t="shared" si="50"/>
        <v>0</v>
      </c>
      <c r="L344" s="666"/>
      <c r="M344" s="21">
        <f t="shared" si="51"/>
        <v>1</v>
      </c>
      <c r="N344" s="666"/>
      <c r="O344" s="21">
        <f t="shared" si="52"/>
        <v>1</v>
      </c>
      <c r="P344" s="666"/>
      <c r="Q344" s="21">
        <f t="shared" si="53"/>
        <v>0</v>
      </c>
      <c r="R344" s="662">
        <f t="shared" si="54"/>
        <v>0</v>
      </c>
      <c r="S344" s="316">
        <f t="shared" ref="S344:S407" si="55">ROUND(R344*B344/10000,0)</f>
        <v>0</v>
      </c>
    </row>
    <row r="345" spans="1:19">
      <c r="A345" s="150"/>
      <c r="B345" s="54"/>
      <c r="C345" s="21">
        <f t="shared" si="46"/>
        <v>1</v>
      </c>
      <c r="D345" s="666"/>
      <c r="E345" s="21">
        <f t="shared" si="47"/>
        <v>0.03</v>
      </c>
      <c r="F345" s="666"/>
      <c r="G345" s="21">
        <f t="shared" si="48"/>
        <v>0.05</v>
      </c>
      <c r="H345" s="666"/>
      <c r="I345" s="21">
        <f t="shared" si="49"/>
        <v>0.01</v>
      </c>
      <c r="J345" s="666"/>
      <c r="K345" s="21">
        <f t="shared" si="50"/>
        <v>0</v>
      </c>
      <c r="L345" s="666"/>
      <c r="M345" s="21">
        <f t="shared" si="51"/>
        <v>1</v>
      </c>
      <c r="N345" s="666"/>
      <c r="O345" s="21">
        <f t="shared" si="52"/>
        <v>1</v>
      </c>
      <c r="P345" s="666"/>
      <c r="Q345" s="21">
        <f t="shared" si="53"/>
        <v>0</v>
      </c>
      <c r="R345" s="662">
        <f t="shared" si="54"/>
        <v>0</v>
      </c>
      <c r="S345" s="316">
        <f t="shared" si="55"/>
        <v>0</v>
      </c>
    </row>
    <row r="346" spans="1:19">
      <c r="A346" s="150"/>
      <c r="B346" s="54"/>
      <c r="C346" s="21">
        <f t="shared" ref="C346:C409" si="56">IF(B346="",1,(LOOKUP(B346,$3:$3,$4:$4)-LOOKUP($B$24,$3:$3,$4:$4)+100)/100)</f>
        <v>1</v>
      </c>
      <c r="D346" s="666"/>
      <c r="E346" s="21">
        <f t="shared" ref="E346:E409" si="57">(SUMIF($5:$5,D346,$6:$6)-SUMIF($5:$5,$D$24,$6:$6)+100)/100</f>
        <v>0.03</v>
      </c>
      <c r="F346" s="666"/>
      <c r="G346" s="21">
        <f t="shared" ref="G346:G409" si="58">(SUMIF($7:$7,F346,$8:$8)-SUMIF($7:$7,$F$24,$8:$8)+100)/100</f>
        <v>0.05</v>
      </c>
      <c r="H346" s="666"/>
      <c r="I346" s="21">
        <f t="shared" ref="I346:I409" si="59">(SUMIF($9:$9,H346,$10:$10)-SUMIF($9:$9,$H$24,$10:$10)+100)/100</f>
        <v>0.01</v>
      </c>
      <c r="J346" s="666"/>
      <c r="K346" s="21">
        <f t="shared" ref="K346:K409" si="60">(SUMIF($11:$11,J346,$12:$12)-SUMIF($11:$11,$J$24,$12:$12)+100)/100</f>
        <v>0</v>
      </c>
      <c r="L346" s="666"/>
      <c r="M346" s="21">
        <f t="shared" ref="M346:M409" si="61">(SUMIF($13:$13,L346,$14:$14)-SUMIF($13:$13,$L$24,$14:$14)+100)/100</f>
        <v>1</v>
      </c>
      <c r="N346" s="666"/>
      <c r="O346" s="21">
        <f t="shared" ref="O346:O409" si="62">(SUMIF($15:$15,N346,$16:$16)-SUMIF($15:$15,$N$24,$16:$16)+100)/100</f>
        <v>1</v>
      </c>
      <c r="P346" s="666"/>
      <c r="Q346" s="21">
        <f t="shared" ref="Q346:Q409" si="63">(SUMIF($17:$17,P346,$18:$18)-SUMIF($17:$17,$P$24,$18:$18)+100)/100</f>
        <v>0</v>
      </c>
      <c r="R346" s="662">
        <f t="shared" ref="R346:R409" si="64">IF(B346="",0,ROUND($R$24*C346*E346*G346*I346*K346*M346*O346*Q346,0))</f>
        <v>0</v>
      </c>
      <c r="S346" s="316">
        <f t="shared" si="55"/>
        <v>0</v>
      </c>
    </row>
    <row r="347" spans="1:19">
      <c r="A347" s="150"/>
      <c r="B347" s="54"/>
      <c r="C347" s="21">
        <f t="shared" si="56"/>
        <v>1</v>
      </c>
      <c r="D347" s="666"/>
      <c r="E347" s="21">
        <f t="shared" si="57"/>
        <v>0.03</v>
      </c>
      <c r="F347" s="666"/>
      <c r="G347" s="21">
        <f t="shared" si="58"/>
        <v>0.05</v>
      </c>
      <c r="H347" s="666"/>
      <c r="I347" s="21">
        <f t="shared" si="59"/>
        <v>0.01</v>
      </c>
      <c r="J347" s="666"/>
      <c r="K347" s="21">
        <f t="shared" si="60"/>
        <v>0</v>
      </c>
      <c r="L347" s="666"/>
      <c r="M347" s="21">
        <f t="shared" si="61"/>
        <v>1</v>
      </c>
      <c r="N347" s="666"/>
      <c r="O347" s="21">
        <f t="shared" si="62"/>
        <v>1</v>
      </c>
      <c r="P347" s="666"/>
      <c r="Q347" s="21">
        <f t="shared" si="63"/>
        <v>0</v>
      </c>
      <c r="R347" s="662">
        <f t="shared" si="64"/>
        <v>0</v>
      </c>
      <c r="S347" s="316">
        <f t="shared" si="55"/>
        <v>0</v>
      </c>
    </row>
    <row r="348" spans="1:19">
      <c r="A348" s="150"/>
      <c r="B348" s="54"/>
      <c r="C348" s="21">
        <f t="shared" si="56"/>
        <v>1</v>
      </c>
      <c r="D348" s="666"/>
      <c r="E348" s="21">
        <f t="shared" si="57"/>
        <v>0.03</v>
      </c>
      <c r="F348" s="666"/>
      <c r="G348" s="21">
        <f t="shared" si="58"/>
        <v>0.05</v>
      </c>
      <c r="H348" s="666"/>
      <c r="I348" s="21">
        <f t="shared" si="59"/>
        <v>0.01</v>
      </c>
      <c r="J348" s="666"/>
      <c r="K348" s="21">
        <f t="shared" si="60"/>
        <v>0</v>
      </c>
      <c r="L348" s="666"/>
      <c r="M348" s="21">
        <f t="shared" si="61"/>
        <v>1</v>
      </c>
      <c r="N348" s="666"/>
      <c r="O348" s="21">
        <f t="shared" si="62"/>
        <v>1</v>
      </c>
      <c r="P348" s="666"/>
      <c r="Q348" s="21">
        <f t="shared" si="63"/>
        <v>0</v>
      </c>
      <c r="R348" s="662">
        <f t="shared" si="64"/>
        <v>0</v>
      </c>
      <c r="S348" s="316">
        <f t="shared" si="55"/>
        <v>0</v>
      </c>
    </row>
    <row r="349" spans="1:19">
      <c r="A349" s="150"/>
      <c r="B349" s="54"/>
      <c r="C349" s="21">
        <f t="shared" si="56"/>
        <v>1</v>
      </c>
      <c r="D349" s="666"/>
      <c r="E349" s="21">
        <f t="shared" si="57"/>
        <v>0.03</v>
      </c>
      <c r="F349" s="666"/>
      <c r="G349" s="21">
        <f t="shared" si="58"/>
        <v>0.05</v>
      </c>
      <c r="H349" s="666"/>
      <c r="I349" s="21">
        <f t="shared" si="59"/>
        <v>0.01</v>
      </c>
      <c r="J349" s="666"/>
      <c r="K349" s="21">
        <f t="shared" si="60"/>
        <v>0</v>
      </c>
      <c r="L349" s="666"/>
      <c r="M349" s="21">
        <f t="shared" si="61"/>
        <v>1</v>
      </c>
      <c r="N349" s="666"/>
      <c r="O349" s="21">
        <f t="shared" si="62"/>
        <v>1</v>
      </c>
      <c r="P349" s="666"/>
      <c r="Q349" s="21">
        <f t="shared" si="63"/>
        <v>0</v>
      </c>
      <c r="R349" s="662">
        <f t="shared" si="64"/>
        <v>0</v>
      </c>
      <c r="S349" s="316">
        <f t="shared" si="55"/>
        <v>0</v>
      </c>
    </row>
    <row r="350" spans="1:19">
      <c r="A350" s="150"/>
      <c r="B350" s="54"/>
      <c r="C350" s="21">
        <f t="shared" si="56"/>
        <v>1</v>
      </c>
      <c r="D350" s="666"/>
      <c r="E350" s="21">
        <f t="shared" si="57"/>
        <v>0.03</v>
      </c>
      <c r="F350" s="666"/>
      <c r="G350" s="21">
        <f t="shared" si="58"/>
        <v>0.05</v>
      </c>
      <c r="H350" s="666"/>
      <c r="I350" s="21">
        <f t="shared" si="59"/>
        <v>0.01</v>
      </c>
      <c r="J350" s="666"/>
      <c r="K350" s="21">
        <f t="shared" si="60"/>
        <v>0</v>
      </c>
      <c r="L350" s="666"/>
      <c r="M350" s="21">
        <f t="shared" si="61"/>
        <v>1</v>
      </c>
      <c r="N350" s="666"/>
      <c r="O350" s="21">
        <f t="shared" si="62"/>
        <v>1</v>
      </c>
      <c r="P350" s="666"/>
      <c r="Q350" s="21">
        <f t="shared" si="63"/>
        <v>0</v>
      </c>
      <c r="R350" s="662">
        <f t="shared" si="64"/>
        <v>0</v>
      </c>
      <c r="S350" s="316">
        <f t="shared" si="55"/>
        <v>0</v>
      </c>
    </row>
    <row r="351" spans="1:19">
      <c r="A351" s="150"/>
      <c r="B351" s="54"/>
      <c r="C351" s="21">
        <f t="shared" si="56"/>
        <v>1</v>
      </c>
      <c r="D351" s="666"/>
      <c r="E351" s="21">
        <f t="shared" si="57"/>
        <v>0.03</v>
      </c>
      <c r="F351" s="666"/>
      <c r="G351" s="21">
        <f t="shared" si="58"/>
        <v>0.05</v>
      </c>
      <c r="H351" s="666"/>
      <c r="I351" s="21">
        <f t="shared" si="59"/>
        <v>0.01</v>
      </c>
      <c r="J351" s="666"/>
      <c r="K351" s="21">
        <f t="shared" si="60"/>
        <v>0</v>
      </c>
      <c r="L351" s="666"/>
      <c r="M351" s="21">
        <f t="shared" si="61"/>
        <v>1</v>
      </c>
      <c r="N351" s="666"/>
      <c r="O351" s="21">
        <f t="shared" si="62"/>
        <v>1</v>
      </c>
      <c r="P351" s="666"/>
      <c r="Q351" s="21">
        <f t="shared" si="63"/>
        <v>0</v>
      </c>
      <c r="R351" s="662">
        <f t="shared" si="64"/>
        <v>0</v>
      </c>
      <c r="S351" s="316">
        <f t="shared" si="55"/>
        <v>0</v>
      </c>
    </row>
    <row r="352" spans="1:19">
      <c r="A352" s="150"/>
      <c r="B352" s="54"/>
      <c r="C352" s="21">
        <f t="shared" si="56"/>
        <v>1</v>
      </c>
      <c r="D352" s="666"/>
      <c r="E352" s="21">
        <f t="shared" si="57"/>
        <v>0.03</v>
      </c>
      <c r="F352" s="666"/>
      <c r="G352" s="21">
        <f t="shared" si="58"/>
        <v>0.05</v>
      </c>
      <c r="H352" s="666"/>
      <c r="I352" s="21">
        <f t="shared" si="59"/>
        <v>0.01</v>
      </c>
      <c r="J352" s="666"/>
      <c r="K352" s="21">
        <f t="shared" si="60"/>
        <v>0</v>
      </c>
      <c r="L352" s="666"/>
      <c r="M352" s="21">
        <f t="shared" si="61"/>
        <v>1</v>
      </c>
      <c r="N352" s="666"/>
      <c r="O352" s="21">
        <f t="shared" si="62"/>
        <v>1</v>
      </c>
      <c r="P352" s="666"/>
      <c r="Q352" s="21">
        <f t="shared" si="63"/>
        <v>0</v>
      </c>
      <c r="R352" s="662">
        <f t="shared" si="64"/>
        <v>0</v>
      </c>
      <c r="S352" s="316">
        <f t="shared" si="55"/>
        <v>0</v>
      </c>
    </row>
    <row r="353" spans="1:19">
      <c r="A353" s="150"/>
      <c r="B353" s="54"/>
      <c r="C353" s="21">
        <f t="shared" si="56"/>
        <v>1</v>
      </c>
      <c r="D353" s="666"/>
      <c r="E353" s="21">
        <f t="shared" si="57"/>
        <v>0.03</v>
      </c>
      <c r="F353" s="666"/>
      <c r="G353" s="21">
        <f t="shared" si="58"/>
        <v>0.05</v>
      </c>
      <c r="H353" s="666"/>
      <c r="I353" s="21">
        <f t="shared" si="59"/>
        <v>0.01</v>
      </c>
      <c r="J353" s="666"/>
      <c r="K353" s="21">
        <f t="shared" si="60"/>
        <v>0</v>
      </c>
      <c r="L353" s="666"/>
      <c r="M353" s="21">
        <f t="shared" si="61"/>
        <v>1</v>
      </c>
      <c r="N353" s="666"/>
      <c r="O353" s="21">
        <f t="shared" si="62"/>
        <v>1</v>
      </c>
      <c r="P353" s="666"/>
      <c r="Q353" s="21">
        <f t="shared" si="63"/>
        <v>0</v>
      </c>
      <c r="R353" s="662">
        <f t="shared" si="64"/>
        <v>0</v>
      </c>
      <c r="S353" s="316">
        <f t="shared" si="55"/>
        <v>0</v>
      </c>
    </row>
    <row r="354" spans="1:19">
      <c r="A354" s="150"/>
      <c r="B354" s="54"/>
      <c r="C354" s="21">
        <f t="shared" si="56"/>
        <v>1</v>
      </c>
      <c r="D354" s="666"/>
      <c r="E354" s="21">
        <f t="shared" si="57"/>
        <v>0.03</v>
      </c>
      <c r="F354" s="666"/>
      <c r="G354" s="21">
        <f t="shared" si="58"/>
        <v>0.05</v>
      </c>
      <c r="H354" s="666"/>
      <c r="I354" s="21">
        <f t="shared" si="59"/>
        <v>0.01</v>
      </c>
      <c r="J354" s="666"/>
      <c r="K354" s="21">
        <f t="shared" si="60"/>
        <v>0</v>
      </c>
      <c r="L354" s="666"/>
      <c r="M354" s="21">
        <f t="shared" si="61"/>
        <v>1</v>
      </c>
      <c r="N354" s="666"/>
      <c r="O354" s="21">
        <f t="shared" si="62"/>
        <v>1</v>
      </c>
      <c r="P354" s="666"/>
      <c r="Q354" s="21">
        <f t="shared" si="63"/>
        <v>0</v>
      </c>
      <c r="R354" s="662">
        <f t="shared" si="64"/>
        <v>0</v>
      </c>
      <c r="S354" s="316">
        <f t="shared" si="55"/>
        <v>0</v>
      </c>
    </row>
    <row r="355" spans="1:19">
      <c r="A355" s="150"/>
      <c r="B355" s="54"/>
      <c r="C355" s="21">
        <f t="shared" si="56"/>
        <v>1</v>
      </c>
      <c r="D355" s="666"/>
      <c r="E355" s="21">
        <f t="shared" si="57"/>
        <v>0.03</v>
      </c>
      <c r="F355" s="666"/>
      <c r="G355" s="21">
        <f t="shared" si="58"/>
        <v>0.05</v>
      </c>
      <c r="H355" s="666"/>
      <c r="I355" s="21">
        <f t="shared" si="59"/>
        <v>0.01</v>
      </c>
      <c r="J355" s="666"/>
      <c r="K355" s="21">
        <f t="shared" si="60"/>
        <v>0</v>
      </c>
      <c r="L355" s="666"/>
      <c r="M355" s="21">
        <f t="shared" si="61"/>
        <v>1</v>
      </c>
      <c r="N355" s="666"/>
      <c r="O355" s="21">
        <f t="shared" si="62"/>
        <v>1</v>
      </c>
      <c r="P355" s="666"/>
      <c r="Q355" s="21">
        <f t="shared" si="63"/>
        <v>0</v>
      </c>
      <c r="R355" s="662">
        <f t="shared" si="64"/>
        <v>0</v>
      </c>
      <c r="S355" s="316">
        <f t="shared" si="55"/>
        <v>0</v>
      </c>
    </row>
    <row r="356" spans="1:19">
      <c r="A356" s="150"/>
      <c r="B356" s="54"/>
      <c r="C356" s="21">
        <f t="shared" si="56"/>
        <v>1</v>
      </c>
      <c r="D356" s="666"/>
      <c r="E356" s="21">
        <f t="shared" si="57"/>
        <v>0.03</v>
      </c>
      <c r="F356" s="666"/>
      <c r="G356" s="21">
        <f t="shared" si="58"/>
        <v>0.05</v>
      </c>
      <c r="H356" s="666"/>
      <c r="I356" s="21">
        <f t="shared" si="59"/>
        <v>0.01</v>
      </c>
      <c r="J356" s="666"/>
      <c r="K356" s="21">
        <f t="shared" si="60"/>
        <v>0</v>
      </c>
      <c r="L356" s="666"/>
      <c r="M356" s="21">
        <f t="shared" si="61"/>
        <v>1</v>
      </c>
      <c r="N356" s="666"/>
      <c r="O356" s="21">
        <f t="shared" si="62"/>
        <v>1</v>
      </c>
      <c r="P356" s="666"/>
      <c r="Q356" s="21">
        <f t="shared" si="63"/>
        <v>0</v>
      </c>
      <c r="R356" s="662">
        <f t="shared" si="64"/>
        <v>0</v>
      </c>
      <c r="S356" s="316">
        <f t="shared" si="55"/>
        <v>0</v>
      </c>
    </row>
    <row r="357" spans="1:19">
      <c r="A357" s="150"/>
      <c r="B357" s="54"/>
      <c r="C357" s="21">
        <f t="shared" si="56"/>
        <v>1</v>
      </c>
      <c r="D357" s="666"/>
      <c r="E357" s="21">
        <f t="shared" si="57"/>
        <v>0.03</v>
      </c>
      <c r="F357" s="666"/>
      <c r="G357" s="21">
        <f t="shared" si="58"/>
        <v>0.05</v>
      </c>
      <c r="H357" s="666"/>
      <c r="I357" s="21">
        <f t="shared" si="59"/>
        <v>0.01</v>
      </c>
      <c r="J357" s="666"/>
      <c r="K357" s="21">
        <f t="shared" si="60"/>
        <v>0</v>
      </c>
      <c r="L357" s="666"/>
      <c r="M357" s="21">
        <f t="shared" si="61"/>
        <v>1</v>
      </c>
      <c r="N357" s="666"/>
      <c r="O357" s="21">
        <f t="shared" si="62"/>
        <v>1</v>
      </c>
      <c r="P357" s="666"/>
      <c r="Q357" s="21">
        <f t="shared" si="63"/>
        <v>0</v>
      </c>
      <c r="R357" s="662">
        <f t="shared" si="64"/>
        <v>0</v>
      </c>
      <c r="S357" s="316">
        <f t="shared" si="55"/>
        <v>0</v>
      </c>
    </row>
    <row r="358" spans="1:19">
      <c r="A358" s="150"/>
      <c r="B358" s="54"/>
      <c r="C358" s="21">
        <f t="shared" si="56"/>
        <v>1</v>
      </c>
      <c r="D358" s="666"/>
      <c r="E358" s="21">
        <f t="shared" si="57"/>
        <v>0.03</v>
      </c>
      <c r="F358" s="666"/>
      <c r="G358" s="21">
        <f t="shared" si="58"/>
        <v>0.05</v>
      </c>
      <c r="H358" s="666"/>
      <c r="I358" s="21">
        <f t="shared" si="59"/>
        <v>0.01</v>
      </c>
      <c r="J358" s="666"/>
      <c r="K358" s="21">
        <f t="shared" si="60"/>
        <v>0</v>
      </c>
      <c r="L358" s="666"/>
      <c r="M358" s="21">
        <f t="shared" si="61"/>
        <v>1</v>
      </c>
      <c r="N358" s="666"/>
      <c r="O358" s="21">
        <f t="shared" si="62"/>
        <v>1</v>
      </c>
      <c r="P358" s="666"/>
      <c r="Q358" s="21">
        <f t="shared" si="63"/>
        <v>0</v>
      </c>
      <c r="R358" s="662">
        <f t="shared" si="64"/>
        <v>0</v>
      </c>
      <c r="S358" s="316">
        <f t="shared" si="55"/>
        <v>0</v>
      </c>
    </row>
    <row r="359" spans="1:19">
      <c r="A359" s="150"/>
      <c r="B359" s="54"/>
      <c r="C359" s="21">
        <f t="shared" si="56"/>
        <v>1</v>
      </c>
      <c r="D359" s="666"/>
      <c r="E359" s="21">
        <f t="shared" si="57"/>
        <v>0.03</v>
      </c>
      <c r="F359" s="666"/>
      <c r="G359" s="21">
        <f t="shared" si="58"/>
        <v>0.05</v>
      </c>
      <c r="H359" s="666"/>
      <c r="I359" s="21">
        <f t="shared" si="59"/>
        <v>0.01</v>
      </c>
      <c r="J359" s="666"/>
      <c r="K359" s="21">
        <f t="shared" si="60"/>
        <v>0</v>
      </c>
      <c r="L359" s="666"/>
      <c r="M359" s="21">
        <f t="shared" si="61"/>
        <v>1</v>
      </c>
      <c r="N359" s="666"/>
      <c r="O359" s="21">
        <f t="shared" si="62"/>
        <v>1</v>
      </c>
      <c r="P359" s="666"/>
      <c r="Q359" s="21">
        <f t="shared" si="63"/>
        <v>0</v>
      </c>
      <c r="R359" s="662">
        <f t="shared" si="64"/>
        <v>0</v>
      </c>
      <c r="S359" s="316">
        <f t="shared" si="55"/>
        <v>0</v>
      </c>
    </row>
    <row r="360" spans="1:19">
      <c r="A360" s="150"/>
      <c r="B360" s="54"/>
      <c r="C360" s="21">
        <f t="shared" si="56"/>
        <v>1</v>
      </c>
      <c r="D360" s="666"/>
      <c r="E360" s="21">
        <f t="shared" si="57"/>
        <v>0.03</v>
      </c>
      <c r="F360" s="666"/>
      <c r="G360" s="21">
        <f t="shared" si="58"/>
        <v>0.05</v>
      </c>
      <c r="H360" s="666"/>
      <c r="I360" s="21">
        <f t="shared" si="59"/>
        <v>0.01</v>
      </c>
      <c r="J360" s="666"/>
      <c r="K360" s="21">
        <f t="shared" si="60"/>
        <v>0</v>
      </c>
      <c r="L360" s="666"/>
      <c r="M360" s="21">
        <f t="shared" si="61"/>
        <v>1</v>
      </c>
      <c r="N360" s="666"/>
      <c r="O360" s="21">
        <f t="shared" si="62"/>
        <v>1</v>
      </c>
      <c r="P360" s="666"/>
      <c r="Q360" s="21">
        <f t="shared" si="63"/>
        <v>0</v>
      </c>
      <c r="R360" s="662">
        <f t="shared" si="64"/>
        <v>0</v>
      </c>
      <c r="S360" s="316">
        <f t="shared" si="55"/>
        <v>0</v>
      </c>
    </row>
    <row r="361" spans="1:19">
      <c r="A361" s="150"/>
      <c r="B361" s="54"/>
      <c r="C361" s="21">
        <f t="shared" si="56"/>
        <v>1</v>
      </c>
      <c r="D361" s="666"/>
      <c r="E361" s="21">
        <f t="shared" si="57"/>
        <v>0.03</v>
      </c>
      <c r="F361" s="666"/>
      <c r="G361" s="21">
        <f t="shared" si="58"/>
        <v>0.05</v>
      </c>
      <c r="H361" s="666"/>
      <c r="I361" s="21">
        <f t="shared" si="59"/>
        <v>0.01</v>
      </c>
      <c r="J361" s="666"/>
      <c r="K361" s="21">
        <f t="shared" si="60"/>
        <v>0</v>
      </c>
      <c r="L361" s="666"/>
      <c r="M361" s="21">
        <f t="shared" si="61"/>
        <v>1</v>
      </c>
      <c r="N361" s="666"/>
      <c r="O361" s="21">
        <f t="shared" si="62"/>
        <v>1</v>
      </c>
      <c r="P361" s="666"/>
      <c r="Q361" s="21">
        <f t="shared" si="63"/>
        <v>0</v>
      </c>
      <c r="R361" s="662">
        <f t="shared" si="64"/>
        <v>0</v>
      </c>
      <c r="S361" s="316">
        <f t="shared" si="55"/>
        <v>0</v>
      </c>
    </row>
    <row r="362" spans="1:19">
      <c r="A362" s="150"/>
      <c r="B362" s="54"/>
      <c r="C362" s="21">
        <f t="shared" si="56"/>
        <v>1</v>
      </c>
      <c r="D362" s="666"/>
      <c r="E362" s="21">
        <f t="shared" si="57"/>
        <v>0.03</v>
      </c>
      <c r="F362" s="666"/>
      <c r="G362" s="21">
        <f t="shared" si="58"/>
        <v>0.05</v>
      </c>
      <c r="H362" s="666"/>
      <c r="I362" s="21">
        <f t="shared" si="59"/>
        <v>0.01</v>
      </c>
      <c r="J362" s="666"/>
      <c r="K362" s="21">
        <f t="shared" si="60"/>
        <v>0</v>
      </c>
      <c r="L362" s="666"/>
      <c r="M362" s="21">
        <f t="shared" si="61"/>
        <v>1</v>
      </c>
      <c r="N362" s="666"/>
      <c r="O362" s="21">
        <f t="shared" si="62"/>
        <v>1</v>
      </c>
      <c r="P362" s="666"/>
      <c r="Q362" s="21">
        <f t="shared" si="63"/>
        <v>0</v>
      </c>
      <c r="R362" s="662">
        <f t="shared" si="64"/>
        <v>0</v>
      </c>
      <c r="S362" s="316">
        <f t="shared" si="55"/>
        <v>0</v>
      </c>
    </row>
    <row r="363" spans="1:19">
      <c r="A363" s="150"/>
      <c r="B363" s="54"/>
      <c r="C363" s="21">
        <f t="shared" si="56"/>
        <v>1</v>
      </c>
      <c r="D363" s="666"/>
      <c r="E363" s="21">
        <f t="shared" si="57"/>
        <v>0.03</v>
      </c>
      <c r="F363" s="666"/>
      <c r="G363" s="21">
        <f t="shared" si="58"/>
        <v>0.05</v>
      </c>
      <c r="H363" s="666"/>
      <c r="I363" s="21">
        <f t="shared" si="59"/>
        <v>0.01</v>
      </c>
      <c r="J363" s="666"/>
      <c r="K363" s="21">
        <f t="shared" si="60"/>
        <v>0</v>
      </c>
      <c r="L363" s="666"/>
      <c r="M363" s="21">
        <f t="shared" si="61"/>
        <v>1</v>
      </c>
      <c r="N363" s="666"/>
      <c r="O363" s="21">
        <f t="shared" si="62"/>
        <v>1</v>
      </c>
      <c r="P363" s="666"/>
      <c r="Q363" s="21">
        <f t="shared" si="63"/>
        <v>0</v>
      </c>
      <c r="R363" s="662">
        <f t="shared" si="64"/>
        <v>0</v>
      </c>
      <c r="S363" s="316">
        <f t="shared" si="55"/>
        <v>0</v>
      </c>
    </row>
    <row r="364" spans="1:19">
      <c r="A364" s="150"/>
      <c r="B364" s="54"/>
      <c r="C364" s="21">
        <f t="shared" si="56"/>
        <v>1</v>
      </c>
      <c r="D364" s="666"/>
      <c r="E364" s="21">
        <f t="shared" si="57"/>
        <v>0.03</v>
      </c>
      <c r="F364" s="666"/>
      <c r="G364" s="21">
        <f t="shared" si="58"/>
        <v>0.05</v>
      </c>
      <c r="H364" s="666"/>
      <c r="I364" s="21">
        <f t="shared" si="59"/>
        <v>0.01</v>
      </c>
      <c r="J364" s="666"/>
      <c r="K364" s="21">
        <f t="shared" si="60"/>
        <v>0</v>
      </c>
      <c r="L364" s="666"/>
      <c r="M364" s="21">
        <f t="shared" si="61"/>
        <v>1</v>
      </c>
      <c r="N364" s="666"/>
      <c r="O364" s="21">
        <f t="shared" si="62"/>
        <v>1</v>
      </c>
      <c r="P364" s="666"/>
      <c r="Q364" s="21">
        <f t="shared" si="63"/>
        <v>0</v>
      </c>
      <c r="R364" s="662">
        <f t="shared" si="64"/>
        <v>0</v>
      </c>
      <c r="S364" s="316">
        <f t="shared" si="55"/>
        <v>0</v>
      </c>
    </row>
    <row r="365" spans="1:19">
      <c r="A365" s="150"/>
      <c r="B365" s="54"/>
      <c r="C365" s="21">
        <f t="shared" si="56"/>
        <v>1</v>
      </c>
      <c r="D365" s="666"/>
      <c r="E365" s="21">
        <f t="shared" si="57"/>
        <v>0.03</v>
      </c>
      <c r="F365" s="666"/>
      <c r="G365" s="21">
        <f t="shared" si="58"/>
        <v>0.05</v>
      </c>
      <c r="H365" s="666"/>
      <c r="I365" s="21">
        <f t="shared" si="59"/>
        <v>0.01</v>
      </c>
      <c r="J365" s="666"/>
      <c r="K365" s="21">
        <f t="shared" si="60"/>
        <v>0</v>
      </c>
      <c r="L365" s="666"/>
      <c r="M365" s="21">
        <f t="shared" si="61"/>
        <v>1</v>
      </c>
      <c r="N365" s="666"/>
      <c r="O365" s="21">
        <f t="shared" si="62"/>
        <v>1</v>
      </c>
      <c r="P365" s="666"/>
      <c r="Q365" s="21">
        <f t="shared" si="63"/>
        <v>0</v>
      </c>
      <c r="R365" s="662">
        <f t="shared" si="64"/>
        <v>0</v>
      </c>
      <c r="S365" s="316">
        <f t="shared" si="55"/>
        <v>0</v>
      </c>
    </row>
    <row r="366" spans="1:19">
      <c r="A366" s="150"/>
      <c r="B366" s="54"/>
      <c r="C366" s="21">
        <f t="shared" si="56"/>
        <v>1</v>
      </c>
      <c r="D366" s="666"/>
      <c r="E366" s="21">
        <f t="shared" si="57"/>
        <v>0.03</v>
      </c>
      <c r="F366" s="666"/>
      <c r="G366" s="21">
        <f t="shared" si="58"/>
        <v>0.05</v>
      </c>
      <c r="H366" s="666"/>
      <c r="I366" s="21">
        <f t="shared" si="59"/>
        <v>0.01</v>
      </c>
      <c r="J366" s="666"/>
      <c r="K366" s="21">
        <f t="shared" si="60"/>
        <v>0</v>
      </c>
      <c r="L366" s="666"/>
      <c r="M366" s="21">
        <f t="shared" si="61"/>
        <v>1</v>
      </c>
      <c r="N366" s="666"/>
      <c r="O366" s="21">
        <f t="shared" si="62"/>
        <v>1</v>
      </c>
      <c r="P366" s="666"/>
      <c r="Q366" s="21">
        <f t="shared" si="63"/>
        <v>0</v>
      </c>
      <c r="R366" s="662">
        <f t="shared" si="64"/>
        <v>0</v>
      </c>
      <c r="S366" s="316">
        <f t="shared" si="55"/>
        <v>0</v>
      </c>
    </row>
    <row r="367" spans="1:19">
      <c r="A367" s="150"/>
      <c r="B367" s="54"/>
      <c r="C367" s="21">
        <f t="shared" si="56"/>
        <v>1</v>
      </c>
      <c r="D367" s="666"/>
      <c r="E367" s="21">
        <f t="shared" si="57"/>
        <v>0.03</v>
      </c>
      <c r="F367" s="666"/>
      <c r="G367" s="21">
        <f t="shared" si="58"/>
        <v>0.05</v>
      </c>
      <c r="H367" s="666"/>
      <c r="I367" s="21">
        <f t="shared" si="59"/>
        <v>0.01</v>
      </c>
      <c r="J367" s="666"/>
      <c r="K367" s="21">
        <f t="shared" si="60"/>
        <v>0</v>
      </c>
      <c r="L367" s="666"/>
      <c r="M367" s="21">
        <f t="shared" si="61"/>
        <v>1</v>
      </c>
      <c r="N367" s="666"/>
      <c r="O367" s="21">
        <f t="shared" si="62"/>
        <v>1</v>
      </c>
      <c r="P367" s="666"/>
      <c r="Q367" s="21">
        <f t="shared" si="63"/>
        <v>0</v>
      </c>
      <c r="R367" s="662">
        <f t="shared" si="64"/>
        <v>0</v>
      </c>
      <c r="S367" s="316">
        <f t="shared" si="55"/>
        <v>0</v>
      </c>
    </row>
    <row r="368" spans="1:19">
      <c r="A368" s="150"/>
      <c r="B368" s="54"/>
      <c r="C368" s="21">
        <f t="shared" si="56"/>
        <v>1</v>
      </c>
      <c r="D368" s="666"/>
      <c r="E368" s="21">
        <f t="shared" si="57"/>
        <v>0.03</v>
      </c>
      <c r="F368" s="666"/>
      <c r="G368" s="21">
        <f t="shared" si="58"/>
        <v>0.05</v>
      </c>
      <c r="H368" s="666"/>
      <c r="I368" s="21">
        <f t="shared" si="59"/>
        <v>0.01</v>
      </c>
      <c r="J368" s="666"/>
      <c r="K368" s="21">
        <f t="shared" si="60"/>
        <v>0</v>
      </c>
      <c r="L368" s="666"/>
      <c r="M368" s="21">
        <f t="shared" si="61"/>
        <v>1</v>
      </c>
      <c r="N368" s="666"/>
      <c r="O368" s="21">
        <f t="shared" si="62"/>
        <v>1</v>
      </c>
      <c r="P368" s="666"/>
      <c r="Q368" s="21">
        <f t="shared" si="63"/>
        <v>0</v>
      </c>
      <c r="R368" s="662">
        <f t="shared" si="64"/>
        <v>0</v>
      </c>
      <c r="S368" s="316">
        <f t="shared" si="55"/>
        <v>0</v>
      </c>
    </row>
    <row r="369" spans="1:19">
      <c r="A369" s="150"/>
      <c r="B369" s="54"/>
      <c r="C369" s="21">
        <f t="shared" si="56"/>
        <v>1</v>
      </c>
      <c r="D369" s="666"/>
      <c r="E369" s="21">
        <f t="shared" si="57"/>
        <v>0.03</v>
      </c>
      <c r="F369" s="666"/>
      <c r="G369" s="21">
        <f t="shared" si="58"/>
        <v>0.05</v>
      </c>
      <c r="H369" s="666"/>
      <c r="I369" s="21">
        <f t="shared" si="59"/>
        <v>0.01</v>
      </c>
      <c r="J369" s="666"/>
      <c r="K369" s="21">
        <f t="shared" si="60"/>
        <v>0</v>
      </c>
      <c r="L369" s="666"/>
      <c r="M369" s="21">
        <f t="shared" si="61"/>
        <v>1</v>
      </c>
      <c r="N369" s="666"/>
      <c r="O369" s="21">
        <f t="shared" si="62"/>
        <v>1</v>
      </c>
      <c r="P369" s="666"/>
      <c r="Q369" s="21">
        <f t="shared" si="63"/>
        <v>0</v>
      </c>
      <c r="R369" s="662">
        <f t="shared" si="64"/>
        <v>0</v>
      </c>
      <c r="S369" s="316">
        <f t="shared" si="55"/>
        <v>0</v>
      </c>
    </row>
    <row r="370" spans="1:19">
      <c r="A370" s="150"/>
      <c r="B370" s="54"/>
      <c r="C370" s="21">
        <f t="shared" si="56"/>
        <v>1</v>
      </c>
      <c r="D370" s="666"/>
      <c r="E370" s="21">
        <f t="shared" si="57"/>
        <v>0.03</v>
      </c>
      <c r="F370" s="666"/>
      <c r="G370" s="21">
        <f t="shared" si="58"/>
        <v>0.05</v>
      </c>
      <c r="H370" s="666"/>
      <c r="I370" s="21">
        <f t="shared" si="59"/>
        <v>0.01</v>
      </c>
      <c r="J370" s="666"/>
      <c r="K370" s="21">
        <f t="shared" si="60"/>
        <v>0</v>
      </c>
      <c r="L370" s="666"/>
      <c r="M370" s="21">
        <f t="shared" si="61"/>
        <v>1</v>
      </c>
      <c r="N370" s="666"/>
      <c r="O370" s="21">
        <f t="shared" si="62"/>
        <v>1</v>
      </c>
      <c r="P370" s="666"/>
      <c r="Q370" s="21">
        <f t="shared" si="63"/>
        <v>0</v>
      </c>
      <c r="R370" s="662">
        <f t="shared" si="64"/>
        <v>0</v>
      </c>
      <c r="S370" s="316">
        <f t="shared" si="55"/>
        <v>0</v>
      </c>
    </row>
    <row r="371" spans="1:19">
      <c r="A371" s="150"/>
      <c r="B371" s="54"/>
      <c r="C371" s="21">
        <f t="shared" si="56"/>
        <v>1</v>
      </c>
      <c r="D371" s="666"/>
      <c r="E371" s="21">
        <f t="shared" si="57"/>
        <v>0.03</v>
      </c>
      <c r="F371" s="666"/>
      <c r="G371" s="21">
        <f t="shared" si="58"/>
        <v>0.05</v>
      </c>
      <c r="H371" s="666"/>
      <c r="I371" s="21">
        <f t="shared" si="59"/>
        <v>0.01</v>
      </c>
      <c r="J371" s="666"/>
      <c r="K371" s="21">
        <f t="shared" si="60"/>
        <v>0</v>
      </c>
      <c r="L371" s="666"/>
      <c r="M371" s="21">
        <f t="shared" si="61"/>
        <v>1</v>
      </c>
      <c r="N371" s="666"/>
      <c r="O371" s="21">
        <f t="shared" si="62"/>
        <v>1</v>
      </c>
      <c r="P371" s="666"/>
      <c r="Q371" s="21">
        <f t="shared" si="63"/>
        <v>0</v>
      </c>
      <c r="R371" s="662">
        <f t="shared" si="64"/>
        <v>0</v>
      </c>
      <c r="S371" s="316">
        <f t="shared" si="55"/>
        <v>0</v>
      </c>
    </row>
    <row r="372" spans="1:19">
      <c r="A372" s="150"/>
      <c r="B372" s="54"/>
      <c r="C372" s="21">
        <f t="shared" si="56"/>
        <v>1</v>
      </c>
      <c r="D372" s="666"/>
      <c r="E372" s="21">
        <f t="shared" si="57"/>
        <v>0.03</v>
      </c>
      <c r="F372" s="666"/>
      <c r="G372" s="21">
        <f t="shared" si="58"/>
        <v>0.05</v>
      </c>
      <c r="H372" s="666"/>
      <c r="I372" s="21">
        <f t="shared" si="59"/>
        <v>0.01</v>
      </c>
      <c r="J372" s="666"/>
      <c r="K372" s="21">
        <f t="shared" si="60"/>
        <v>0</v>
      </c>
      <c r="L372" s="666"/>
      <c r="M372" s="21">
        <f t="shared" si="61"/>
        <v>1</v>
      </c>
      <c r="N372" s="666"/>
      <c r="O372" s="21">
        <f t="shared" si="62"/>
        <v>1</v>
      </c>
      <c r="P372" s="666"/>
      <c r="Q372" s="21">
        <f t="shared" si="63"/>
        <v>0</v>
      </c>
      <c r="R372" s="662">
        <f t="shared" si="64"/>
        <v>0</v>
      </c>
      <c r="S372" s="316">
        <f t="shared" si="55"/>
        <v>0</v>
      </c>
    </row>
    <row r="373" spans="1:19">
      <c r="A373" s="150"/>
      <c r="B373" s="54"/>
      <c r="C373" s="21">
        <f t="shared" si="56"/>
        <v>1</v>
      </c>
      <c r="D373" s="666"/>
      <c r="E373" s="21">
        <f t="shared" si="57"/>
        <v>0.03</v>
      </c>
      <c r="F373" s="666"/>
      <c r="G373" s="21">
        <f t="shared" si="58"/>
        <v>0.05</v>
      </c>
      <c r="H373" s="666"/>
      <c r="I373" s="21">
        <f t="shared" si="59"/>
        <v>0.01</v>
      </c>
      <c r="J373" s="666"/>
      <c r="K373" s="21">
        <f t="shared" si="60"/>
        <v>0</v>
      </c>
      <c r="L373" s="666"/>
      <c r="M373" s="21">
        <f t="shared" si="61"/>
        <v>1</v>
      </c>
      <c r="N373" s="666"/>
      <c r="O373" s="21">
        <f t="shared" si="62"/>
        <v>1</v>
      </c>
      <c r="P373" s="666"/>
      <c r="Q373" s="21">
        <f t="shared" si="63"/>
        <v>0</v>
      </c>
      <c r="R373" s="662">
        <f t="shared" si="64"/>
        <v>0</v>
      </c>
      <c r="S373" s="316">
        <f t="shared" si="55"/>
        <v>0</v>
      </c>
    </row>
    <row r="374" spans="1:19">
      <c r="A374" s="150"/>
      <c r="B374" s="54"/>
      <c r="C374" s="21">
        <f t="shared" si="56"/>
        <v>1</v>
      </c>
      <c r="D374" s="666"/>
      <c r="E374" s="21">
        <f t="shared" si="57"/>
        <v>0.03</v>
      </c>
      <c r="F374" s="666"/>
      <c r="G374" s="21">
        <f t="shared" si="58"/>
        <v>0.05</v>
      </c>
      <c r="H374" s="666"/>
      <c r="I374" s="21">
        <f t="shared" si="59"/>
        <v>0.01</v>
      </c>
      <c r="J374" s="666"/>
      <c r="K374" s="21">
        <f t="shared" si="60"/>
        <v>0</v>
      </c>
      <c r="L374" s="666"/>
      <c r="M374" s="21">
        <f t="shared" si="61"/>
        <v>1</v>
      </c>
      <c r="N374" s="666"/>
      <c r="O374" s="21">
        <f t="shared" si="62"/>
        <v>1</v>
      </c>
      <c r="P374" s="666"/>
      <c r="Q374" s="21">
        <f t="shared" si="63"/>
        <v>0</v>
      </c>
      <c r="R374" s="662">
        <f t="shared" si="64"/>
        <v>0</v>
      </c>
      <c r="S374" s="316">
        <f t="shared" si="55"/>
        <v>0</v>
      </c>
    </row>
    <row r="375" spans="1:19">
      <c r="A375" s="150"/>
      <c r="B375" s="54"/>
      <c r="C375" s="21">
        <f t="shared" si="56"/>
        <v>1</v>
      </c>
      <c r="D375" s="666"/>
      <c r="E375" s="21">
        <f t="shared" si="57"/>
        <v>0.03</v>
      </c>
      <c r="F375" s="666"/>
      <c r="G375" s="21">
        <f t="shared" si="58"/>
        <v>0.05</v>
      </c>
      <c r="H375" s="666"/>
      <c r="I375" s="21">
        <f t="shared" si="59"/>
        <v>0.01</v>
      </c>
      <c r="J375" s="666"/>
      <c r="K375" s="21">
        <f t="shared" si="60"/>
        <v>0</v>
      </c>
      <c r="L375" s="666"/>
      <c r="M375" s="21">
        <f t="shared" si="61"/>
        <v>1</v>
      </c>
      <c r="N375" s="666"/>
      <c r="O375" s="21">
        <f t="shared" si="62"/>
        <v>1</v>
      </c>
      <c r="P375" s="666"/>
      <c r="Q375" s="21">
        <f t="shared" si="63"/>
        <v>0</v>
      </c>
      <c r="R375" s="662">
        <f t="shared" si="64"/>
        <v>0</v>
      </c>
      <c r="S375" s="316">
        <f t="shared" si="55"/>
        <v>0</v>
      </c>
    </row>
    <row r="376" spans="1:19">
      <c r="A376" s="150"/>
      <c r="B376" s="54"/>
      <c r="C376" s="21">
        <f t="shared" si="56"/>
        <v>1</v>
      </c>
      <c r="D376" s="666"/>
      <c r="E376" s="21">
        <f t="shared" si="57"/>
        <v>0.03</v>
      </c>
      <c r="F376" s="666"/>
      <c r="G376" s="21">
        <f t="shared" si="58"/>
        <v>0.05</v>
      </c>
      <c r="H376" s="666"/>
      <c r="I376" s="21">
        <f t="shared" si="59"/>
        <v>0.01</v>
      </c>
      <c r="J376" s="666"/>
      <c r="K376" s="21">
        <f t="shared" si="60"/>
        <v>0</v>
      </c>
      <c r="L376" s="666"/>
      <c r="M376" s="21">
        <f t="shared" si="61"/>
        <v>1</v>
      </c>
      <c r="N376" s="666"/>
      <c r="O376" s="21">
        <f t="shared" si="62"/>
        <v>1</v>
      </c>
      <c r="P376" s="666"/>
      <c r="Q376" s="21">
        <f t="shared" si="63"/>
        <v>0</v>
      </c>
      <c r="R376" s="662">
        <f t="shared" si="64"/>
        <v>0</v>
      </c>
      <c r="S376" s="316">
        <f t="shared" si="55"/>
        <v>0</v>
      </c>
    </row>
    <row r="377" spans="1:19">
      <c r="A377" s="150"/>
      <c r="B377" s="54"/>
      <c r="C377" s="21">
        <f t="shared" si="56"/>
        <v>1</v>
      </c>
      <c r="D377" s="666"/>
      <c r="E377" s="21">
        <f t="shared" si="57"/>
        <v>0.03</v>
      </c>
      <c r="F377" s="666"/>
      <c r="G377" s="21">
        <f t="shared" si="58"/>
        <v>0.05</v>
      </c>
      <c r="H377" s="666"/>
      <c r="I377" s="21">
        <f t="shared" si="59"/>
        <v>0.01</v>
      </c>
      <c r="J377" s="666"/>
      <c r="K377" s="21">
        <f t="shared" si="60"/>
        <v>0</v>
      </c>
      <c r="L377" s="666"/>
      <c r="M377" s="21">
        <f t="shared" si="61"/>
        <v>1</v>
      </c>
      <c r="N377" s="666"/>
      <c r="O377" s="21">
        <f t="shared" si="62"/>
        <v>1</v>
      </c>
      <c r="P377" s="666"/>
      <c r="Q377" s="21">
        <f t="shared" si="63"/>
        <v>0</v>
      </c>
      <c r="R377" s="662">
        <f t="shared" si="64"/>
        <v>0</v>
      </c>
      <c r="S377" s="316">
        <f t="shared" si="55"/>
        <v>0</v>
      </c>
    </row>
    <row r="378" spans="1:19">
      <c r="A378" s="150"/>
      <c r="B378" s="54"/>
      <c r="C378" s="21">
        <f t="shared" si="56"/>
        <v>1</v>
      </c>
      <c r="D378" s="666"/>
      <c r="E378" s="21">
        <f t="shared" si="57"/>
        <v>0.03</v>
      </c>
      <c r="F378" s="666"/>
      <c r="G378" s="21">
        <f t="shared" si="58"/>
        <v>0.05</v>
      </c>
      <c r="H378" s="666"/>
      <c r="I378" s="21">
        <f t="shared" si="59"/>
        <v>0.01</v>
      </c>
      <c r="J378" s="666"/>
      <c r="K378" s="21">
        <f t="shared" si="60"/>
        <v>0</v>
      </c>
      <c r="L378" s="666"/>
      <c r="M378" s="21">
        <f t="shared" si="61"/>
        <v>1</v>
      </c>
      <c r="N378" s="666"/>
      <c r="O378" s="21">
        <f t="shared" si="62"/>
        <v>1</v>
      </c>
      <c r="P378" s="666"/>
      <c r="Q378" s="21">
        <f t="shared" si="63"/>
        <v>0</v>
      </c>
      <c r="R378" s="662">
        <f t="shared" si="64"/>
        <v>0</v>
      </c>
      <c r="S378" s="316">
        <f t="shared" si="55"/>
        <v>0</v>
      </c>
    </row>
    <row r="379" spans="1:19">
      <c r="A379" s="150"/>
      <c r="B379" s="54"/>
      <c r="C379" s="21">
        <f t="shared" si="56"/>
        <v>1</v>
      </c>
      <c r="D379" s="666"/>
      <c r="E379" s="21">
        <f t="shared" si="57"/>
        <v>0.03</v>
      </c>
      <c r="F379" s="666"/>
      <c r="G379" s="21">
        <f t="shared" si="58"/>
        <v>0.05</v>
      </c>
      <c r="H379" s="666"/>
      <c r="I379" s="21">
        <f t="shared" si="59"/>
        <v>0.01</v>
      </c>
      <c r="J379" s="666"/>
      <c r="K379" s="21">
        <f t="shared" si="60"/>
        <v>0</v>
      </c>
      <c r="L379" s="666"/>
      <c r="M379" s="21">
        <f t="shared" si="61"/>
        <v>1</v>
      </c>
      <c r="N379" s="666"/>
      <c r="O379" s="21">
        <f t="shared" si="62"/>
        <v>1</v>
      </c>
      <c r="P379" s="666"/>
      <c r="Q379" s="21">
        <f t="shared" si="63"/>
        <v>0</v>
      </c>
      <c r="R379" s="662">
        <f t="shared" si="64"/>
        <v>0</v>
      </c>
      <c r="S379" s="316">
        <f t="shared" si="55"/>
        <v>0</v>
      </c>
    </row>
    <row r="380" spans="1:19">
      <c r="A380" s="150"/>
      <c r="B380" s="54"/>
      <c r="C380" s="21">
        <f t="shared" si="56"/>
        <v>1</v>
      </c>
      <c r="D380" s="666"/>
      <c r="E380" s="21">
        <f t="shared" si="57"/>
        <v>0.03</v>
      </c>
      <c r="F380" s="666"/>
      <c r="G380" s="21">
        <f t="shared" si="58"/>
        <v>0.05</v>
      </c>
      <c r="H380" s="666"/>
      <c r="I380" s="21">
        <f t="shared" si="59"/>
        <v>0.01</v>
      </c>
      <c r="J380" s="666"/>
      <c r="K380" s="21">
        <f t="shared" si="60"/>
        <v>0</v>
      </c>
      <c r="L380" s="666"/>
      <c r="M380" s="21">
        <f t="shared" si="61"/>
        <v>1</v>
      </c>
      <c r="N380" s="666"/>
      <c r="O380" s="21">
        <f t="shared" si="62"/>
        <v>1</v>
      </c>
      <c r="P380" s="666"/>
      <c r="Q380" s="21">
        <f t="shared" si="63"/>
        <v>0</v>
      </c>
      <c r="R380" s="662">
        <f t="shared" si="64"/>
        <v>0</v>
      </c>
      <c r="S380" s="316">
        <f t="shared" si="55"/>
        <v>0</v>
      </c>
    </row>
    <row r="381" spans="1:19">
      <c r="A381" s="150"/>
      <c r="B381" s="54"/>
      <c r="C381" s="21">
        <f t="shared" si="56"/>
        <v>1</v>
      </c>
      <c r="D381" s="666"/>
      <c r="E381" s="21">
        <f t="shared" si="57"/>
        <v>0.03</v>
      </c>
      <c r="F381" s="666"/>
      <c r="G381" s="21">
        <f t="shared" si="58"/>
        <v>0.05</v>
      </c>
      <c r="H381" s="666"/>
      <c r="I381" s="21">
        <f t="shared" si="59"/>
        <v>0.01</v>
      </c>
      <c r="J381" s="666"/>
      <c r="K381" s="21">
        <f t="shared" si="60"/>
        <v>0</v>
      </c>
      <c r="L381" s="666"/>
      <c r="M381" s="21">
        <f t="shared" si="61"/>
        <v>1</v>
      </c>
      <c r="N381" s="666"/>
      <c r="O381" s="21">
        <f t="shared" si="62"/>
        <v>1</v>
      </c>
      <c r="P381" s="666"/>
      <c r="Q381" s="21">
        <f t="shared" si="63"/>
        <v>0</v>
      </c>
      <c r="R381" s="662">
        <f t="shared" si="64"/>
        <v>0</v>
      </c>
      <c r="S381" s="316">
        <f t="shared" si="55"/>
        <v>0</v>
      </c>
    </row>
    <row r="382" spans="1:19">
      <c r="A382" s="150"/>
      <c r="B382" s="54"/>
      <c r="C382" s="21">
        <f t="shared" si="56"/>
        <v>1</v>
      </c>
      <c r="D382" s="666"/>
      <c r="E382" s="21">
        <f t="shared" si="57"/>
        <v>0.03</v>
      </c>
      <c r="F382" s="666"/>
      <c r="G382" s="21">
        <f t="shared" si="58"/>
        <v>0.05</v>
      </c>
      <c r="H382" s="666"/>
      <c r="I382" s="21">
        <f t="shared" si="59"/>
        <v>0.01</v>
      </c>
      <c r="J382" s="666"/>
      <c r="K382" s="21">
        <f t="shared" si="60"/>
        <v>0</v>
      </c>
      <c r="L382" s="666"/>
      <c r="M382" s="21">
        <f t="shared" si="61"/>
        <v>1</v>
      </c>
      <c r="N382" s="666"/>
      <c r="O382" s="21">
        <f t="shared" si="62"/>
        <v>1</v>
      </c>
      <c r="P382" s="666"/>
      <c r="Q382" s="21">
        <f t="shared" si="63"/>
        <v>0</v>
      </c>
      <c r="R382" s="662">
        <f t="shared" si="64"/>
        <v>0</v>
      </c>
      <c r="S382" s="316">
        <f t="shared" si="55"/>
        <v>0</v>
      </c>
    </row>
    <row r="383" spans="1:19">
      <c r="A383" s="150"/>
      <c r="B383" s="54"/>
      <c r="C383" s="21">
        <f t="shared" si="56"/>
        <v>1</v>
      </c>
      <c r="D383" s="666"/>
      <c r="E383" s="21">
        <f t="shared" si="57"/>
        <v>0.03</v>
      </c>
      <c r="F383" s="666"/>
      <c r="G383" s="21">
        <f t="shared" si="58"/>
        <v>0.05</v>
      </c>
      <c r="H383" s="666"/>
      <c r="I383" s="21">
        <f t="shared" si="59"/>
        <v>0.01</v>
      </c>
      <c r="J383" s="666"/>
      <c r="K383" s="21">
        <f t="shared" si="60"/>
        <v>0</v>
      </c>
      <c r="L383" s="666"/>
      <c r="M383" s="21">
        <f t="shared" si="61"/>
        <v>1</v>
      </c>
      <c r="N383" s="666"/>
      <c r="O383" s="21">
        <f t="shared" si="62"/>
        <v>1</v>
      </c>
      <c r="P383" s="666"/>
      <c r="Q383" s="21">
        <f t="shared" si="63"/>
        <v>0</v>
      </c>
      <c r="R383" s="662">
        <f t="shared" si="64"/>
        <v>0</v>
      </c>
      <c r="S383" s="316">
        <f t="shared" si="55"/>
        <v>0</v>
      </c>
    </row>
    <row r="384" spans="1:19">
      <c r="A384" s="150"/>
      <c r="B384" s="54"/>
      <c r="C384" s="21">
        <f t="shared" si="56"/>
        <v>1</v>
      </c>
      <c r="D384" s="666"/>
      <c r="E384" s="21">
        <f t="shared" si="57"/>
        <v>0.03</v>
      </c>
      <c r="F384" s="666"/>
      <c r="G384" s="21">
        <f t="shared" si="58"/>
        <v>0.05</v>
      </c>
      <c r="H384" s="666"/>
      <c r="I384" s="21">
        <f t="shared" si="59"/>
        <v>0.01</v>
      </c>
      <c r="J384" s="666"/>
      <c r="K384" s="21">
        <f t="shared" si="60"/>
        <v>0</v>
      </c>
      <c r="L384" s="666"/>
      <c r="M384" s="21">
        <f t="shared" si="61"/>
        <v>1</v>
      </c>
      <c r="N384" s="666"/>
      <c r="O384" s="21">
        <f t="shared" si="62"/>
        <v>1</v>
      </c>
      <c r="P384" s="666"/>
      <c r="Q384" s="21">
        <f t="shared" si="63"/>
        <v>0</v>
      </c>
      <c r="R384" s="662">
        <f t="shared" si="64"/>
        <v>0</v>
      </c>
      <c r="S384" s="316">
        <f t="shared" si="55"/>
        <v>0</v>
      </c>
    </row>
    <row r="385" spans="1:19">
      <c r="A385" s="150"/>
      <c r="B385" s="54"/>
      <c r="C385" s="21">
        <f t="shared" si="56"/>
        <v>1</v>
      </c>
      <c r="D385" s="666"/>
      <c r="E385" s="21">
        <f t="shared" si="57"/>
        <v>0.03</v>
      </c>
      <c r="F385" s="666"/>
      <c r="G385" s="21">
        <f t="shared" si="58"/>
        <v>0.05</v>
      </c>
      <c r="H385" s="666"/>
      <c r="I385" s="21">
        <f t="shared" si="59"/>
        <v>0.01</v>
      </c>
      <c r="J385" s="666"/>
      <c r="K385" s="21">
        <f t="shared" si="60"/>
        <v>0</v>
      </c>
      <c r="L385" s="666"/>
      <c r="M385" s="21">
        <f t="shared" si="61"/>
        <v>1</v>
      </c>
      <c r="N385" s="666"/>
      <c r="O385" s="21">
        <f t="shared" si="62"/>
        <v>1</v>
      </c>
      <c r="P385" s="666"/>
      <c r="Q385" s="21">
        <f t="shared" si="63"/>
        <v>0</v>
      </c>
      <c r="R385" s="662">
        <f t="shared" si="64"/>
        <v>0</v>
      </c>
      <c r="S385" s="316">
        <f t="shared" si="55"/>
        <v>0</v>
      </c>
    </row>
    <row r="386" spans="1:19">
      <c r="A386" s="150"/>
      <c r="B386" s="54"/>
      <c r="C386" s="21">
        <f t="shared" si="56"/>
        <v>1</v>
      </c>
      <c r="D386" s="666"/>
      <c r="E386" s="21">
        <f t="shared" si="57"/>
        <v>0.03</v>
      </c>
      <c r="F386" s="666"/>
      <c r="G386" s="21">
        <f t="shared" si="58"/>
        <v>0.05</v>
      </c>
      <c r="H386" s="666"/>
      <c r="I386" s="21">
        <f t="shared" si="59"/>
        <v>0.01</v>
      </c>
      <c r="J386" s="666"/>
      <c r="K386" s="21">
        <f t="shared" si="60"/>
        <v>0</v>
      </c>
      <c r="L386" s="666"/>
      <c r="M386" s="21">
        <f t="shared" si="61"/>
        <v>1</v>
      </c>
      <c r="N386" s="666"/>
      <c r="O386" s="21">
        <f t="shared" si="62"/>
        <v>1</v>
      </c>
      <c r="P386" s="666"/>
      <c r="Q386" s="21">
        <f t="shared" si="63"/>
        <v>0</v>
      </c>
      <c r="R386" s="662">
        <f t="shared" si="64"/>
        <v>0</v>
      </c>
      <c r="S386" s="316">
        <f t="shared" si="55"/>
        <v>0</v>
      </c>
    </row>
    <row r="387" spans="1:19">
      <c r="A387" s="150"/>
      <c r="B387" s="54"/>
      <c r="C387" s="21">
        <f t="shared" si="56"/>
        <v>1</v>
      </c>
      <c r="D387" s="666"/>
      <c r="E387" s="21">
        <f t="shared" si="57"/>
        <v>0.03</v>
      </c>
      <c r="F387" s="666"/>
      <c r="G387" s="21">
        <f t="shared" si="58"/>
        <v>0.05</v>
      </c>
      <c r="H387" s="666"/>
      <c r="I387" s="21">
        <f t="shared" si="59"/>
        <v>0.01</v>
      </c>
      <c r="J387" s="666"/>
      <c r="K387" s="21">
        <f t="shared" si="60"/>
        <v>0</v>
      </c>
      <c r="L387" s="666"/>
      <c r="M387" s="21">
        <f t="shared" si="61"/>
        <v>1</v>
      </c>
      <c r="N387" s="666"/>
      <c r="O387" s="21">
        <f t="shared" si="62"/>
        <v>1</v>
      </c>
      <c r="P387" s="666"/>
      <c r="Q387" s="21">
        <f t="shared" si="63"/>
        <v>0</v>
      </c>
      <c r="R387" s="662">
        <f t="shared" si="64"/>
        <v>0</v>
      </c>
      <c r="S387" s="316">
        <f t="shared" si="55"/>
        <v>0</v>
      </c>
    </row>
    <row r="388" spans="1:19">
      <c r="A388" s="150"/>
      <c r="B388" s="54"/>
      <c r="C388" s="21">
        <f t="shared" si="56"/>
        <v>1</v>
      </c>
      <c r="D388" s="666"/>
      <c r="E388" s="21">
        <f t="shared" si="57"/>
        <v>0.03</v>
      </c>
      <c r="F388" s="666"/>
      <c r="G388" s="21">
        <f t="shared" si="58"/>
        <v>0.05</v>
      </c>
      <c r="H388" s="666"/>
      <c r="I388" s="21">
        <f t="shared" si="59"/>
        <v>0.01</v>
      </c>
      <c r="J388" s="666"/>
      <c r="K388" s="21">
        <f t="shared" si="60"/>
        <v>0</v>
      </c>
      <c r="L388" s="666"/>
      <c r="M388" s="21">
        <f t="shared" si="61"/>
        <v>1</v>
      </c>
      <c r="N388" s="666"/>
      <c r="O388" s="21">
        <f t="shared" si="62"/>
        <v>1</v>
      </c>
      <c r="P388" s="666"/>
      <c r="Q388" s="21">
        <f t="shared" si="63"/>
        <v>0</v>
      </c>
      <c r="R388" s="662">
        <f t="shared" si="64"/>
        <v>0</v>
      </c>
      <c r="S388" s="316">
        <f t="shared" si="55"/>
        <v>0</v>
      </c>
    </row>
    <row r="389" spans="1:19">
      <c r="A389" s="150"/>
      <c r="B389" s="54"/>
      <c r="C389" s="21">
        <f t="shared" si="56"/>
        <v>1</v>
      </c>
      <c r="D389" s="666"/>
      <c r="E389" s="21">
        <f t="shared" si="57"/>
        <v>0.03</v>
      </c>
      <c r="F389" s="666"/>
      <c r="G389" s="21">
        <f t="shared" si="58"/>
        <v>0.05</v>
      </c>
      <c r="H389" s="666"/>
      <c r="I389" s="21">
        <f t="shared" si="59"/>
        <v>0.01</v>
      </c>
      <c r="J389" s="666"/>
      <c r="K389" s="21">
        <f t="shared" si="60"/>
        <v>0</v>
      </c>
      <c r="L389" s="666"/>
      <c r="M389" s="21">
        <f t="shared" si="61"/>
        <v>1</v>
      </c>
      <c r="N389" s="666"/>
      <c r="O389" s="21">
        <f t="shared" si="62"/>
        <v>1</v>
      </c>
      <c r="P389" s="666"/>
      <c r="Q389" s="21">
        <f t="shared" si="63"/>
        <v>0</v>
      </c>
      <c r="R389" s="662">
        <f t="shared" si="64"/>
        <v>0</v>
      </c>
      <c r="S389" s="316">
        <f t="shared" si="55"/>
        <v>0</v>
      </c>
    </row>
    <row r="390" spans="1:19">
      <c r="A390" s="150"/>
      <c r="B390" s="54"/>
      <c r="C390" s="21">
        <f t="shared" si="56"/>
        <v>1</v>
      </c>
      <c r="D390" s="666"/>
      <c r="E390" s="21">
        <f t="shared" si="57"/>
        <v>0.03</v>
      </c>
      <c r="F390" s="666"/>
      <c r="G390" s="21">
        <f t="shared" si="58"/>
        <v>0.05</v>
      </c>
      <c r="H390" s="666"/>
      <c r="I390" s="21">
        <f t="shared" si="59"/>
        <v>0.01</v>
      </c>
      <c r="J390" s="666"/>
      <c r="K390" s="21">
        <f t="shared" si="60"/>
        <v>0</v>
      </c>
      <c r="L390" s="666"/>
      <c r="M390" s="21">
        <f t="shared" si="61"/>
        <v>1</v>
      </c>
      <c r="N390" s="666"/>
      <c r="O390" s="21">
        <f t="shared" si="62"/>
        <v>1</v>
      </c>
      <c r="P390" s="666"/>
      <c r="Q390" s="21">
        <f t="shared" si="63"/>
        <v>0</v>
      </c>
      <c r="R390" s="662">
        <f t="shared" si="64"/>
        <v>0</v>
      </c>
      <c r="S390" s="316">
        <f t="shared" si="55"/>
        <v>0</v>
      </c>
    </row>
    <row r="391" spans="1:19">
      <c r="A391" s="150"/>
      <c r="B391" s="54"/>
      <c r="C391" s="21">
        <f t="shared" si="56"/>
        <v>1</v>
      </c>
      <c r="D391" s="666"/>
      <c r="E391" s="21">
        <f t="shared" si="57"/>
        <v>0.03</v>
      </c>
      <c r="F391" s="666"/>
      <c r="G391" s="21">
        <f t="shared" si="58"/>
        <v>0.05</v>
      </c>
      <c r="H391" s="666"/>
      <c r="I391" s="21">
        <f t="shared" si="59"/>
        <v>0.01</v>
      </c>
      <c r="J391" s="666"/>
      <c r="K391" s="21">
        <f t="shared" si="60"/>
        <v>0</v>
      </c>
      <c r="L391" s="666"/>
      <c r="M391" s="21">
        <f t="shared" si="61"/>
        <v>1</v>
      </c>
      <c r="N391" s="666"/>
      <c r="O391" s="21">
        <f t="shared" si="62"/>
        <v>1</v>
      </c>
      <c r="P391" s="666"/>
      <c r="Q391" s="21">
        <f t="shared" si="63"/>
        <v>0</v>
      </c>
      <c r="R391" s="662">
        <f t="shared" si="64"/>
        <v>0</v>
      </c>
      <c r="S391" s="316">
        <f t="shared" si="55"/>
        <v>0</v>
      </c>
    </row>
    <row r="392" spans="1:19">
      <c r="A392" s="150"/>
      <c r="B392" s="54"/>
      <c r="C392" s="21">
        <f t="shared" si="56"/>
        <v>1</v>
      </c>
      <c r="D392" s="666"/>
      <c r="E392" s="21">
        <f t="shared" si="57"/>
        <v>0.03</v>
      </c>
      <c r="F392" s="666"/>
      <c r="G392" s="21">
        <f t="shared" si="58"/>
        <v>0.05</v>
      </c>
      <c r="H392" s="666"/>
      <c r="I392" s="21">
        <f t="shared" si="59"/>
        <v>0.01</v>
      </c>
      <c r="J392" s="666"/>
      <c r="K392" s="21">
        <f t="shared" si="60"/>
        <v>0</v>
      </c>
      <c r="L392" s="666"/>
      <c r="M392" s="21">
        <f t="shared" si="61"/>
        <v>1</v>
      </c>
      <c r="N392" s="666"/>
      <c r="O392" s="21">
        <f t="shared" si="62"/>
        <v>1</v>
      </c>
      <c r="P392" s="666"/>
      <c r="Q392" s="21">
        <f t="shared" si="63"/>
        <v>0</v>
      </c>
      <c r="R392" s="662">
        <f t="shared" si="64"/>
        <v>0</v>
      </c>
      <c r="S392" s="316">
        <f t="shared" si="55"/>
        <v>0</v>
      </c>
    </row>
    <row r="393" spans="1:19">
      <c r="A393" s="150"/>
      <c r="B393" s="54"/>
      <c r="C393" s="21">
        <f t="shared" si="56"/>
        <v>1</v>
      </c>
      <c r="D393" s="666"/>
      <c r="E393" s="21">
        <f t="shared" si="57"/>
        <v>0.03</v>
      </c>
      <c r="F393" s="666"/>
      <c r="G393" s="21">
        <f t="shared" si="58"/>
        <v>0.05</v>
      </c>
      <c r="H393" s="666"/>
      <c r="I393" s="21">
        <f t="shared" si="59"/>
        <v>0.01</v>
      </c>
      <c r="J393" s="666"/>
      <c r="K393" s="21">
        <f t="shared" si="60"/>
        <v>0</v>
      </c>
      <c r="L393" s="666"/>
      <c r="M393" s="21">
        <f t="shared" si="61"/>
        <v>1</v>
      </c>
      <c r="N393" s="666"/>
      <c r="O393" s="21">
        <f t="shared" si="62"/>
        <v>1</v>
      </c>
      <c r="P393" s="666"/>
      <c r="Q393" s="21">
        <f t="shared" si="63"/>
        <v>0</v>
      </c>
      <c r="R393" s="662">
        <f t="shared" si="64"/>
        <v>0</v>
      </c>
      <c r="S393" s="316">
        <f t="shared" si="55"/>
        <v>0</v>
      </c>
    </row>
    <row r="394" spans="1:19">
      <c r="A394" s="150"/>
      <c r="B394" s="54"/>
      <c r="C394" s="21">
        <f t="shared" si="56"/>
        <v>1</v>
      </c>
      <c r="D394" s="666"/>
      <c r="E394" s="21">
        <f t="shared" si="57"/>
        <v>0.03</v>
      </c>
      <c r="F394" s="666"/>
      <c r="G394" s="21">
        <f t="shared" si="58"/>
        <v>0.05</v>
      </c>
      <c r="H394" s="666"/>
      <c r="I394" s="21">
        <f t="shared" si="59"/>
        <v>0.01</v>
      </c>
      <c r="J394" s="666"/>
      <c r="K394" s="21">
        <f t="shared" si="60"/>
        <v>0</v>
      </c>
      <c r="L394" s="666"/>
      <c r="M394" s="21">
        <f t="shared" si="61"/>
        <v>1</v>
      </c>
      <c r="N394" s="666"/>
      <c r="O394" s="21">
        <f t="shared" si="62"/>
        <v>1</v>
      </c>
      <c r="P394" s="666"/>
      <c r="Q394" s="21">
        <f t="shared" si="63"/>
        <v>0</v>
      </c>
      <c r="R394" s="662">
        <f t="shared" si="64"/>
        <v>0</v>
      </c>
      <c r="S394" s="316">
        <f t="shared" si="55"/>
        <v>0</v>
      </c>
    </row>
    <row r="395" spans="1:19">
      <c r="A395" s="150"/>
      <c r="B395" s="54"/>
      <c r="C395" s="21">
        <f t="shared" si="56"/>
        <v>1</v>
      </c>
      <c r="D395" s="666"/>
      <c r="E395" s="21">
        <f t="shared" si="57"/>
        <v>0.03</v>
      </c>
      <c r="F395" s="666"/>
      <c r="G395" s="21">
        <f t="shared" si="58"/>
        <v>0.05</v>
      </c>
      <c r="H395" s="666"/>
      <c r="I395" s="21">
        <f t="shared" si="59"/>
        <v>0.01</v>
      </c>
      <c r="J395" s="666"/>
      <c r="K395" s="21">
        <f t="shared" si="60"/>
        <v>0</v>
      </c>
      <c r="L395" s="666"/>
      <c r="M395" s="21">
        <f t="shared" si="61"/>
        <v>1</v>
      </c>
      <c r="N395" s="666"/>
      <c r="O395" s="21">
        <f t="shared" si="62"/>
        <v>1</v>
      </c>
      <c r="P395" s="666"/>
      <c r="Q395" s="21">
        <f t="shared" si="63"/>
        <v>0</v>
      </c>
      <c r="R395" s="662">
        <f t="shared" si="64"/>
        <v>0</v>
      </c>
      <c r="S395" s="316">
        <f t="shared" si="55"/>
        <v>0</v>
      </c>
    </row>
    <row r="396" spans="1:19">
      <c r="A396" s="150"/>
      <c r="B396" s="54"/>
      <c r="C396" s="21">
        <f t="shared" si="56"/>
        <v>1</v>
      </c>
      <c r="D396" s="666"/>
      <c r="E396" s="21">
        <f t="shared" si="57"/>
        <v>0.03</v>
      </c>
      <c r="F396" s="666"/>
      <c r="G396" s="21">
        <f t="shared" si="58"/>
        <v>0.05</v>
      </c>
      <c r="H396" s="666"/>
      <c r="I396" s="21">
        <f t="shared" si="59"/>
        <v>0.01</v>
      </c>
      <c r="J396" s="666"/>
      <c r="K396" s="21">
        <f t="shared" si="60"/>
        <v>0</v>
      </c>
      <c r="L396" s="666"/>
      <c r="M396" s="21">
        <f t="shared" si="61"/>
        <v>1</v>
      </c>
      <c r="N396" s="666"/>
      <c r="O396" s="21">
        <f t="shared" si="62"/>
        <v>1</v>
      </c>
      <c r="P396" s="666"/>
      <c r="Q396" s="21">
        <f t="shared" si="63"/>
        <v>0</v>
      </c>
      <c r="R396" s="662">
        <f t="shared" si="64"/>
        <v>0</v>
      </c>
      <c r="S396" s="316">
        <f t="shared" si="55"/>
        <v>0</v>
      </c>
    </row>
    <row r="397" spans="1:19">
      <c r="A397" s="150"/>
      <c r="B397" s="54"/>
      <c r="C397" s="21">
        <f t="shared" si="56"/>
        <v>1</v>
      </c>
      <c r="D397" s="666"/>
      <c r="E397" s="21">
        <f t="shared" si="57"/>
        <v>0.03</v>
      </c>
      <c r="F397" s="666"/>
      <c r="G397" s="21">
        <f t="shared" si="58"/>
        <v>0.05</v>
      </c>
      <c r="H397" s="666"/>
      <c r="I397" s="21">
        <f t="shared" si="59"/>
        <v>0.01</v>
      </c>
      <c r="J397" s="666"/>
      <c r="K397" s="21">
        <f t="shared" si="60"/>
        <v>0</v>
      </c>
      <c r="L397" s="666"/>
      <c r="M397" s="21">
        <f t="shared" si="61"/>
        <v>1</v>
      </c>
      <c r="N397" s="666"/>
      <c r="O397" s="21">
        <f t="shared" si="62"/>
        <v>1</v>
      </c>
      <c r="P397" s="666"/>
      <c r="Q397" s="21">
        <f t="shared" si="63"/>
        <v>0</v>
      </c>
      <c r="R397" s="662">
        <f t="shared" si="64"/>
        <v>0</v>
      </c>
      <c r="S397" s="316">
        <f t="shared" si="55"/>
        <v>0</v>
      </c>
    </row>
    <row r="398" spans="1:19">
      <c r="A398" s="150"/>
      <c r="B398" s="54"/>
      <c r="C398" s="21">
        <f t="shared" si="56"/>
        <v>1</v>
      </c>
      <c r="D398" s="666"/>
      <c r="E398" s="21">
        <f t="shared" si="57"/>
        <v>0.03</v>
      </c>
      <c r="F398" s="666"/>
      <c r="G398" s="21">
        <f t="shared" si="58"/>
        <v>0.05</v>
      </c>
      <c r="H398" s="666"/>
      <c r="I398" s="21">
        <f t="shared" si="59"/>
        <v>0.01</v>
      </c>
      <c r="J398" s="666"/>
      <c r="K398" s="21">
        <f t="shared" si="60"/>
        <v>0</v>
      </c>
      <c r="L398" s="666"/>
      <c r="M398" s="21">
        <f t="shared" si="61"/>
        <v>1</v>
      </c>
      <c r="N398" s="666"/>
      <c r="O398" s="21">
        <f t="shared" si="62"/>
        <v>1</v>
      </c>
      <c r="P398" s="666"/>
      <c r="Q398" s="21">
        <f t="shared" si="63"/>
        <v>0</v>
      </c>
      <c r="R398" s="662">
        <f t="shared" si="64"/>
        <v>0</v>
      </c>
      <c r="S398" s="316">
        <f t="shared" si="55"/>
        <v>0</v>
      </c>
    </row>
    <row r="399" spans="1:19">
      <c r="A399" s="150"/>
      <c r="B399" s="54"/>
      <c r="C399" s="21">
        <f t="shared" si="56"/>
        <v>1</v>
      </c>
      <c r="D399" s="666"/>
      <c r="E399" s="21">
        <f t="shared" si="57"/>
        <v>0.03</v>
      </c>
      <c r="F399" s="666"/>
      <c r="G399" s="21">
        <f t="shared" si="58"/>
        <v>0.05</v>
      </c>
      <c r="H399" s="666"/>
      <c r="I399" s="21">
        <f t="shared" si="59"/>
        <v>0.01</v>
      </c>
      <c r="J399" s="666"/>
      <c r="K399" s="21">
        <f t="shared" si="60"/>
        <v>0</v>
      </c>
      <c r="L399" s="666"/>
      <c r="M399" s="21">
        <f t="shared" si="61"/>
        <v>1</v>
      </c>
      <c r="N399" s="666"/>
      <c r="O399" s="21">
        <f t="shared" si="62"/>
        <v>1</v>
      </c>
      <c r="P399" s="666"/>
      <c r="Q399" s="21">
        <f t="shared" si="63"/>
        <v>0</v>
      </c>
      <c r="R399" s="662">
        <f t="shared" si="64"/>
        <v>0</v>
      </c>
      <c r="S399" s="316">
        <f t="shared" si="55"/>
        <v>0</v>
      </c>
    </row>
    <row r="400" spans="1:19">
      <c r="A400" s="150"/>
      <c r="B400" s="54"/>
      <c r="C400" s="21">
        <f t="shared" si="56"/>
        <v>1</v>
      </c>
      <c r="D400" s="666"/>
      <c r="E400" s="21">
        <f t="shared" si="57"/>
        <v>0.03</v>
      </c>
      <c r="F400" s="666"/>
      <c r="G400" s="21">
        <f t="shared" si="58"/>
        <v>0.05</v>
      </c>
      <c r="H400" s="666"/>
      <c r="I400" s="21">
        <f t="shared" si="59"/>
        <v>0.01</v>
      </c>
      <c r="J400" s="666"/>
      <c r="K400" s="21">
        <f t="shared" si="60"/>
        <v>0</v>
      </c>
      <c r="L400" s="666"/>
      <c r="M400" s="21">
        <f t="shared" si="61"/>
        <v>1</v>
      </c>
      <c r="N400" s="666"/>
      <c r="O400" s="21">
        <f t="shared" si="62"/>
        <v>1</v>
      </c>
      <c r="P400" s="666"/>
      <c r="Q400" s="21">
        <f t="shared" si="63"/>
        <v>0</v>
      </c>
      <c r="R400" s="662">
        <f t="shared" si="64"/>
        <v>0</v>
      </c>
      <c r="S400" s="316">
        <f t="shared" si="55"/>
        <v>0</v>
      </c>
    </row>
    <row r="401" spans="1:19">
      <c r="A401" s="150"/>
      <c r="B401" s="54"/>
      <c r="C401" s="21">
        <f t="shared" si="56"/>
        <v>1</v>
      </c>
      <c r="D401" s="666"/>
      <c r="E401" s="21">
        <f t="shared" si="57"/>
        <v>0.03</v>
      </c>
      <c r="F401" s="666"/>
      <c r="G401" s="21">
        <f t="shared" si="58"/>
        <v>0.05</v>
      </c>
      <c r="H401" s="666"/>
      <c r="I401" s="21">
        <f t="shared" si="59"/>
        <v>0.01</v>
      </c>
      <c r="J401" s="666"/>
      <c r="K401" s="21">
        <f t="shared" si="60"/>
        <v>0</v>
      </c>
      <c r="L401" s="666"/>
      <c r="M401" s="21">
        <f t="shared" si="61"/>
        <v>1</v>
      </c>
      <c r="N401" s="666"/>
      <c r="O401" s="21">
        <f t="shared" si="62"/>
        <v>1</v>
      </c>
      <c r="P401" s="666"/>
      <c r="Q401" s="21">
        <f t="shared" si="63"/>
        <v>0</v>
      </c>
      <c r="R401" s="662">
        <f t="shared" si="64"/>
        <v>0</v>
      </c>
      <c r="S401" s="316">
        <f t="shared" si="55"/>
        <v>0</v>
      </c>
    </row>
    <row r="402" spans="1:19">
      <c r="A402" s="150"/>
      <c r="B402" s="54"/>
      <c r="C402" s="21">
        <f t="shared" si="56"/>
        <v>1</v>
      </c>
      <c r="D402" s="666"/>
      <c r="E402" s="21">
        <f t="shared" si="57"/>
        <v>0.03</v>
      </c>
      <c r="F402" s="666"/>
      <c r="G402" s="21">
        <f t="shared" si="58"/>
        <v>0.05</v>
      </c>
      <c r="H402" s="666"/>
      <c r="I402" s="21">
        <f t="shared" si="59"/>
        <v>0.01</v>
      </c>
      <c r="J402" s="666"/>
      <c r="K402" s="21">
        <f t="shared" si="60"/>
        <v>0</v>
      </c>
      <c r="L402" s="666"/>
      <c r="M402" s="21">
        <f t="shared" si="61"/>
        <v>1</v>
      </c>
      <c r="N402" s="666"/>
      <c r="O402" s="21">
        <f t="shared" si="62"/>
        <v>1</v>
      </c>
      <c r="P402" s="666"/>
      <c r="Q402" s="21">
        <f t="shared" si="63"/>
        <v>0</v>
      </c>
      <c r="R402" s="662">
        <f t="shared" si="64"/>
        <v>0</v>
      </c>
      <c r="S402" s="316">
        <f t="shared" si="55"/>
        <v>0</v>
      </c>
    </row>
    <row r="403" spans="1:19">
      <c r="A403" s="150"/>
      <c r="B403" s="54"/>
      <c r="C403" s="21">
        <f t="shared" si="56"/>
        <v>1</v>
      </c>
      <c r="D403" s="666"/>
      <c r="E403" s="21">
        <f t="shared" si="57"/>
        <v>0.03</v>
      </c>
      <c r="F403" s="666"/>
      <c r="G403" s="21">
        <f t="shared" si="58"/>
        <v>0.05</v>
      </c>
      <c r="H403" s="666"/>
      <c r="I403" s="21">
        <f t="shared" si="59"/>
        <v>0.01</v>
      </c>
      <c r="J403" s="666"/>
      <c r="K403" s="21">
        <f t="shared" si="60"/>
        <v>0</v>
      </c>
      <c r="L403" s="666"/>
      <c r="M403" s="21">
        <f t="shared" si="61"/>
        <v>1</v>
      </c>
      <c r="N403" s="666"/>
      <c r="O403" s="21">
        <f t="shared" si="62"/>
        <v>1</v>
      </c>
      <c r="P403" s="666"/>
      <c r="Q403" s="21">
        <f t="shared" si="63"/>
        <v>0</v>
      </c>
      <c r="R403" s="662">
        <f t="shared" si="64"/>
        <v>0</v>
      </c>
      <c r="S403" s="316">
        <f t="shared" si="55"/>
        <v>0</v>
      </c>
    </row>
    <row r="404" spans="1:19">
      <c r="A404" s="150"/>
      <c r="B404" s="54"/>
      <c r="C404" s="21">
        <f t="shared" si="56"/>
        <v>1</v>
      </c>
      <c r="D404" s="666"/>
      <c r="E404" s="21">
        <f t="shared" si="57"/>
        <v>0.03</v>
      </c>
      <c r="F404" s="666"/>
      <c r="G404" s="21">
        <f t="shared" si="58"/>
        <v>0.05</v>
      </c>
      <c r="H404" s="666"/>
      <c r="I404" s="21">
        <f t="shared" si="59"/>
        <v>0.01</v>
      </c>
      <c r="J404" s="666"/>
      <c r="K404" s="21">
        <f t="shared" si="60"/>
        <v>0</v>
      </c>
      <c r="L404" s="666"/>
      <c r="M404" s="21">
        <f t="shared" si="61"/>
        <v>1</v>
      </c>
      <c r="N404" s="666"/>
      <c r="O404" s="21">
        <f t="shared" si="62"/>
        <v>1</v>
      </c>
      <c r="P404" s="666"/>
      <c r="Q404" s="21">
        <f t="shared" si="63"/>
        <v>0</v>
      </c>
      <c r="R404" s="662">
        <f t="shared" si="64"/>
        <v>0</v>
      </c>
      <c r="S404" s="316">
        <f t="shared" si="55"/>
        <v>0</v>
      </c>
    </row>
    <row r="405" spans="1:19">
      <c r="A405" s="150"/>
      <c r="B405" s="54"/>
      <c r="C405" s="21">
        <f t="shared" si="56"/>
        <v>1</v>
      </c>
      <c r="D405" s="666"/>
      <c r="E405" s="21">
        <f t="shared" si="57"/>
        <v>0.03</v>
      </c>
      <c r="F405" s="666"/>
      <c r="G405" s="21">
        <f t="shared" si="58"/>
        <v>0.05</v>
      </c>
      <c r="H405" s="666"/>
      <c r="I405" s="21">
        <f t="shared" si="59"/>
        <v>0.01</v>
      </c>
      <c r="J405" s="666"/>
      <c r="K405" s="21">
        <f t="shared" si="60"/>
        <v>0</v>
      </c>
      <c r="L405" s="666"/>
      <c r="M405" s="21">
        <f t="shared" si="61"/>
        <v>1</v>
      </c>
      <c r="N405" s="666"/>
      <c r="O405" s="21">
        <f t="shared" si="62"/>
        <v>1</v>
      </c>
      <c r="P405" s="666"/>
      <c r="Q405" s="21">
        <f t="shared" si="63"/>
        <v>0</v>
      </c>
      <c r="R405" s="662">
        <f t="shared" si="64"/>
        <v>0</v>
      </c>
      <c r="S405" s="316">
        <f t="shared" si="55"/>
        <v>0</v>
      </c>
    </row>
    <row r="406" spans="1:19">
      <c r="A406" s="150"/>
      <c r="B406" s="54"/>
      <c r="C406" s="21">
        <f t="shared" si="56"/>
        <v>1</v>
      </c>
      <c r="D406" s="666"/>
      <c r="E406" s="21">
        <f t="shared" si="57"/>
        <v>0.03</v>
      </c>
      <c r="F406" s="666"/>
      <c r="G406" s="21">
        <f t="shared" si="58"/>
        <v>0.05</v>
      </c>
      <c r="H406" s="666"/>
      <c r="I406" s="21">
        <f t="shared" si="59"/>
        <v>0.01</v>
      </c>
      <c r="J406" s="666"/>
      <c r="K406" s="21">
        <f t="shared" si="60"/>
        <v>0</v>
      </c>
      <c r="L406" s="666"/>
      <c r="M406" s="21">
        <f t="shared" si="61"/>
        <v>1</v>
      </c>
      <c r="N406" s="666"/>
      <c r="O406" s="21">
        <f t="shared" si="62"/>
        <v>1</v>
      </c>
      <c r="P406" s="666"/>
      <c r="Q406" s="21">
        <f t="shared" si="63"/>
        <v>0</v>
      </c>
      <c r="R406" s="662">
        <f t="shared" si="64"/>
        <v>0</v>
      </c>
      <c r="S406" s="316">
        <f t="shared" si="55"/>
        <v>0</v>
      </c>
    </row>
    <row r="407" spans="1:19">
      <c r="A407" s="150"/>
      <c r="B407" s="54"/>
      <c r="C407" s="21">
        <f t="shared" si="56"/>
        <v>1</v>
      </c>
      <c r="D407" s="666"/>
      <c r="E407" s="21">
        <f t="shared" si="57"/>
        <v>0.03</v>
      </c>
      <c r="F407" s="666"/>
      <c r="G407" s="21">
        <f t="shared" si="58"/>
        <v>0.05</v>
      </c>
      <c r="H407" s="666"/>
      <c r="I407" s="21">
        <f t="shared" si="59"/>
        <v>0.01</v>
      </c>
      <c r="J407" s="666"/>
      <c r="K407" s="21">
        <f t="shared" si="60"/>
        <v>0</v>
      </c>
      <c r="L407" s="666"/>
      <c r="M407" s="21">
        <f t="shared" si="61"/>
        <v>1</v>
      </c>
      <c r="N407" s="666"/>
      <c r="O407" s="21">
        <f t="shared" si="62"/>
        <v>1</v>
      </c>
      <c r="P407" s="666"/>
      <c r="Q407" s="21">
        <f t="shared" si="63"/>
        <v>0</v>
      </c>
      <c r="R407" s="662">
        <f t="shared" si="64"/>
        <v>0</v>
      </c>
      <c r="S407" s="316">
        <f t="shared" si="55"/>
        <v>0</v>
      </c>
    </row>
    <row r="408" spans="1:19">
      <c r="A408" s="150"/>
      <c r="B408" s="54"/>
      <c r="C408" s="21">
        <f t="shared" si="56"/>
        <v>1</v>
      </c>
      <c r="D408" s="666"/>
      <c r="E408" s="21">
        <f t="shared" si="57"/>
        <v>0.03</v>
      </c>
      <c r="F408" s="666"/>
      <c r="G408" s="21">
        <f t="shared" si="58"/>
        <v>0.05</v>
      </c>
      <c r="H408" s="666"/>
      <c r="I408" s="21">
        <f t="shared" si="59"/>
        <v>0.01</v>
      </c>
      <c r="J408" s="666"/>
      <c r="K408" s="21">
        <f t="shared" si="60"/>
        <v>0</v>
      </c>
      <c r="L408" s="666"/>
      <c r="M408" s="21">
        <f t="shared" si="61"/>
        <v>1</v>
      </c>
      <c r="N408" s="666"/>
      <c r="O408" s="21">
        <f t="shared" si="62"/>
        <v>1</v>
      </c>
      <c r="P408" s="666"/>
      <c r="Q408" s="21">
        <f t="shared" si="63"/>
        <v>0</v>
      </c>
      <c r="R408" s="662">
        <f t="shared" si="64"/>
        <v>0</v>
      </c>
      <c r="S408" s="316">
        <f t="shared" ref="S408:S471" si="65">ROUND(R408*B408/10000,0)</f>
        <v>0</v>
      </c>
    </row>
    <row r="409" spans="1:19">
      <c r="A409" s="150"/>
      <c r="B409" s="54"/>
      <c r="C409" s="21">
        <f t="shared" si="56"/>
        <v>1</v>
      </c>
      <c r="D409" s="666"/>
      <c r="E409" s="21">
        <f t="shared" si="57"/>
        <v>0.03</v>
      </c>
      <c r="F409" s="666"/>
      <c r="G409" s="21">
        <f t="shared" si="58"/>
        <v>0.05</v>
      </c>
      <c r="H409" s="666"/>
      <c r="I409" s="21">
        <f t="shared" si="59"/>
        <v>0.01</v>
      </c>
      <c r="J409" s="666"/>
      <c r="K409" s="21">
        <f t="shared" si="60"/>
        <v>0</v>
      </c>
      <c r="L409" s="666"/>
      <c r="M409" s="21">
        <f t="shared" si="61"/>
        <v>1</v>
      </c>
      <c r="N409" s="666"/>
      <c r="O409" s="21">
        <f t="shared" si="62"/>
        <v>1</v>
      </c>
      <c r="P409" s="666"/>
      <c r="Q409" s="21">
        <f t="shared" si="63"/>
        <v>0</v>
      </c>
      <c r="R409" s="662">
        <f t="shared" si="64"/>
        <v>0</v>
      </c>
      <c r="S409" s="316">
        <f t="shared" si="65"/>
        <v>0</v>
      </c>
    </row>
    <row r="410" spans="1:19">
      <c r="A410" s="150"/>
      <c r="B410" s="54"/>
      <c r="C410" s="21">
        <f t="shared" ref="C410:C473" si="66">IF(B410="",1,(LOOKUP(B410,$3:$3,$4:$4)-LOOKUP($B$24,$3:$3,$4:$4)+100)/100)</f>
        <v>1</v>
      </c>
      <c r="D410" s="666"/>
      <c r="E410" s="21">
        <f t="shared" ref="E410:E473" si="67">(SUMIF($5:$5,D410,$6:$6)-SUMIF($5:$5,$D$24,$6:$6)+100)/100</f>
        <v>0.03</v>
      </c>
      <c r="F410" s="666"/>
      <c r="G410" s="21">
        <f t="shared" ref="G410:G473" si="68">(SUMIF($7:$7,F410,$8:$8)-SUMIF($7:$7,$F$24,$8:$8)+100)/100</f>
        <v>0.05</v>
      </c>
      <c r="H410" s="666"/>
      <c r="I410" s="21">
        <f t="shared" ref="I410:I473" si="69">(SUMIF($9:$9,H410,$10:$10)-SUMIF($9:$9,$H$24,$10:$10)+100)/100</f>
        <v>0.01</v>
      </c>
      <c r="J410" s="666"/>
      <c r="K410" s="21">
        <f t="shared" ref="K410:K473" si="70">(SUMIF($11:$11,J410,$12:$12)-SUMIF($11:$11,$J$24,$12:$12)+100)/100</f>
        <v>0</v>
      </c>
      <c r="L410" s="666"/>
      <c r="M410" s="21">
        <f t="shared" ref="M410:M473" si="71">(SUMIF($13:$13,L410,$14:$14)-SUMIF($13:$13,$L$24,$14:$14)+100)/100</f>
        <v>1</v>
      </c>
      <c r="N410" s="666"/>
      <c r="O410" s="21">
        <f t="shared" ref="O410:O473" si="72">(SUMIF($15:$15,N410,$16:$16)-SUMIF($15:$15,$N$24,$16:$16)+100)/100</f>
        <v>1</v>
      </c>
      <c r="P410" s="666"/>
      <c r="Q410" s="21">
        <f t="shared" ref="Q410:Q473" si="73">(SUMIF($17:$17,P410,$18:$18)-SUMIF($17:$17,$P$24,$18:$18)+100)/100</f>
        <v>0</v>
      </c>
      <c r="R410" s="662">
        <f t="shared" ref="R410:R473" si="74">IF(B410="",0,ROUND($R$24*C410*E410*G410*I410*K410*M410*O410*Q410,0))</f>
        <v>0</v>
      </c>
      <c r="S410" s="316">
        <f t="shared" si="65"/>
        <v>0</v>
      </c>
    </row>
    <row r="411" spans="1:19">
      <c r="A411" s="150"/>
      <c r="B411" s="54"/>
      <c r="C411" s="21">
        <f t="shared" si="66"/>
        <v>1</v>
      </c>
      <c r="D411" s="666"/>
      <c r="E411" s="21">
        <f t="shared" si="67"/>
        <v>0.03</v>
      </c>
      <c r="F411" s="666"/>
      <c r="G411" s="21">
        <f t="shared" si="68"/>
        <v>0.05</v>
      </c>
      <c r="H411" s="666"/>
      <c r="I411" s="21">
        <f t="shared" si="69"/>
        <v>0.01</v>
      </c>
      <c r="J411" s="666"/>
      <c r="K411" s="21">
        <f t="shared" si="70"/>
        <v>0</v>
      </c>
      <c r="L411" s="666"/>
      <c r="M411" s="21">
        <f t="shared" si="71"/>
        <v>1</v>
      </c>
      <c r="N411" s="666"/>
      <c r="O411" s="21">
        <f t="shared" si="72"/>
        <v>1</v>
      </c>
      <c r="P411" s="666"/>
      <c r="Q411" s="21">
        <f t="shared" si="73"/>
        <v>0</v>
      </c>
      <c r="R411" s="662">
        <f t="shared" si="74"/>
        <v>0</v>
      </c>
      <c r="S411" s="316">
        <f t="shared" si="65"/>
        <v>0</v>
      </c>
    </row>
    <row r="412" spans="1:19">
      <c r="A412" s="150"/>
      <c r="B412" s="54"/>
      <c r="C412" s="21">
        <f t="shared" si="66"/>
        <v>1</v>
      </c>
      <c r="D412" s="666"/>
      <c r="E412" s="21">
        <f t="shared" si="67"/>
        <v>0.03</v>
      </c>
      <c r="F412" s="666"/>
      <c r="G412" s="21">
        <f t="shared" si="68"/>
        <v>0.05</v>
      </c>
      <c r="H412" s="666"/>
      <c r="I412" s="21">
        <f t="shared" si="69"/>
        <v>0.01</v>
      </c>
      <c r="J412" s="666"/>
      <c r="K412" s="21">
        <f t="shared" si="70"/>
        <v>0</v>
      </c>
      <c r="L412" s="666"/>
      <c r="M412" s="21">
        <f t="shared" si="71"/>
        <v>1</v>
      </c>
      <c r="N412" s="666"/>
      <c r="O412" s="21">
        <f t="shared" si="72"/>
        <v>1</v>
      </c>
      <c r="P412" s="666"/>
      <c r="Q412" s="21">
        <f t="shared" si="73"/>
        <v>0</v>
      </c>
      <c r="R412" s="662">
        <f t="shared" si="74"/>
        <v>0</v>
      </c>
      <c r="S412" s="316">
        <f t="shared" si="65"/>
        <v>0</v>
      </c>
    </row>
    <row r="413" spans="1:19">
      <c r="A413" s="150"/>
      <c r="B413" s="54"/>
      <c r="C413" s="21">
        <f t="shared" si="66"/>
        <v>1</v>
      </c>
      <c r="D413" s="666"/>
      <c r="E413" s="21">
        <f t="shared" si="67"/>
        <v>0.03</v>
      </c>
      <c r="F413" s="666"/>
      <c r="G413" s="21">
        <f t="shared" si="68"/>
        <v>0.05</v>
      </c>
      <c r="H413" s="666"/>
      <c r="I413" s="21">
        <f t="shared" si="69"/>
        <v>0.01</v>
      </c>
      <c r="J413" s="666"/>
      <c r="K413" s="21">
        <f t="shared" si="70"/>
        <v>0</v>
      </c>
      <c r="L413" s="666"/>
      <c r="M413" s="21">
        <f t="shared" si="71"/>
        <v>1</v>
      </c>
      <c r="N413" s="666"/>
      <c r="O413" s="21">
        <f t="shared" si="72"/>
        <v>1</v>
      </c>
      <c r="P413" s="666"/>
      <c r="Q413" s="21">
        <f t="shared" si="73"/>
        <v>0</v>
      </c>
      <c r="R413" s="662">
        <f t="shared" si="74"/>
        <v>0</v>
      </c>
      <c r="S413" s="316">
        <f t="shared" si="65"/>
        <v>0</v>
      </c>
    </row>
    <row r="414" spans="1:19">
      <c r="A414" s="150"/>
      <c r="B414" s="54"/>
      <c r="C414" s="21">
        <f t="shared" si="66"/>
        <v>1</v>
      </c>
      <c r="D414" s="666"/>
      <c r="E414" s="21">
        <f t="shared" si="67"/>
        <v>0.03</v>
      </c>
      <c r="F414" s="666"/>
      <c r="G414" s="21">
        <f t="shared" si="68"/>
        <v>0.05</v>
      </c>
      <c r="H414" s="666"/>
      <c r="I414" s="21">
        <f t="shared" si="69"/>
        <v>0.01</v>
      </c>
      <c r="J414" s="666"/>
      <c r="K414" s="21">
        <f t="shared" si="70"/>
        <v>0</v>
      </c>
      <c r="L414" s="666"/>
      <c r="M414" s="21">
        <f t="shared" si="71"/>
        <v>1</v>
      </c>
      <c r="N414" s="666"/>
      <c r="O414" s="21">
        <f t="shared" si="72"/>
        <v>1</v>
      </c>
      <c r="P414" s="666"/>
      <c r="Q414" s="21">
        <f t="shared" si="73"/>
        <v>0</v>
      </c>
      <c r="R414" s="662">
        <f t="shared" si="74"/>
        <v>0</v>
      </c>
      <c r="S414" s="316">
        <f t="shared" si="65"/>
        <v>0</v>
      </c>
    </row>
    <row r="415" spans="1:19">
      <c r="A415" s="150"/>
      <c r="B415" s="54"/>
      <c r="C415" s="21">
        <f t="shared" si="66"/>
        <v>1</v>
      </c>
      <c r="D415" s="666"/>
      <c r="E415" s="21">
        <f t="shared" si="67"/>
        <v>0.03</v>
      </c>
      <c r="F415" s="666"/>
      <c r="G415" s="21">
        <f t="shared" si="68"/>
        <v>0.05</v>
      </c>
      <c r="H415" s="666"/>
      <c r="I415" s="21">
        <f t="shared" si="69"/>
        <v>0.01</v>
      </c>
      <c r="J415" s="666"/>
      <c r="K415" s="21">
        <f t="shared" si="70"/>
        <v>0</v>
      </c>
      <c r="L415" s="666"/>
      <c r="M415" s="21">
        <f t="shared" si="71"/>
        <v>1</v>
      </c>
      <c r="N415" s="666"/>
      <c r="O415" s="21">
        <f t="shared" si="72"/>
        <v>1</v>
      </c>
      <c r="P415" s="666"/>
      <c r="Q415" s="21">
        <f t="shared" si="73"/>
        <v>0</v>
      </c>
      <c r="R415" s="662">
        <f t="shared" si="74"/>
        <v>0</v>
      </c>
      <c r="S415" s="316">
        <f t="shared" si="65"/>
        <v>0</v>
      </c>
    </row>
    <row r="416" spans="1:19">
      <c r="A416" s="150"/>
      <c r="B416" s="54"/>
      <c r="C416" s="21">
        <f t="shared" si="66"/>
        <v>1</v>
      </c>
      <c r="D416" s="666"/>
      <c r="E416" s="21">
        <f t="shared" si="67"/>
        <v>0.03</v>
      </c>
      <c r="F416" s="666"/>
      <c r="G416" s="21">
        <f t="shared" si="68"/>
        <v>0.05</v>
      </c>
      <c r="H416" s="666"/>
      <c r="I416" s="21">
        <f t="shared" si="69"/>
        <v>0.01</v>
      </c>
      <c r="J416" s="666"/>
      <c r="K416" s="21">
        <f t="shared" si="70"/>
        <v>0</v>
      </c>
      <c r="L416" s="666"/>
      <c r="M416" s="21">
        <f t="shared" si="71"/>
        <v>1</v>
      </c>
      <c r="N416" s="666"/>
      <c r="O416" s="21">
        <f t="shared" si="72"/>
        <v>1</v>
      </c>
      <c r="P416" s="666"/>
      <c r="Q416" s="21">
        <f t="shared" si="73"/>
        <v>0</v>
      </c>
      <c r="R416" s="662">
        <f t="shared" si="74"/>
        <v>0</v>
      </c>
      <c r="S416" s="316">
        <f t="shared" si="65"/>
        <v>0</v>
      </c>
    </row>
    <row r="417" spans="1:19">
      <c r="A417" s="150"/>
      <c r="B417" s="54"/>
      <c r="C417" s="21">
        <f t="shared" si="66"/>
        <v>1</v>
      </c>
      <c r="D417" s="666"/>
      <c r="E417" s="21">
        <f t="shared" si="67"/>
        <v>0.03</v>
      </c>
      <c r="F417" s="666"/>
      <c r="G417" s="21">
        <f t="shared" si="68"/>
        <v>0.05</v>
      </c>
      <c r="H417" s="666"/>
      <c r="I417" s="21">
        <f t="shared" si="69"/>
        <v>0.01</v>
      </c>
      <c r="J417" s="666"/>
      <c r="K417" s="21">
        <f t="shared" si="70"/>
        <v>0</v>
      </c>
      <c r="L417" s="666"/>
      <c r="M417" s="21">
        <f t="shared" si="71"/>
        <v>1</v>
      </c>
      <c r="N417" s="666"/>
      <c r="O417" s="21">
        <f t="shared" si="72"/>
        <v>1</v>
      </c>
      <c r="P417" s="666"/>
      <c r="Q417" s="21">
        <f t="shared" si="73"/>
        <v>0</v>
      </c>
      <c r="R417" s="662">
        <f t="shared" si="74"/>
        <v>0</v>
      </c>
      <c r="S417" s="316">
        <f t="shared" si="65"/>
        <v>0</v>
      </c>
    </row>
    <row r="418" spans="1:19">
      <c r="A418" s="150"/>
      <c r="B418" s="54"/>
      <c r="C418" s="21">
        <f t="shared" si="66"/>
        <v>1</v>
      </c>
      <c r="D418" s="666"/>
      <c r="E418" s="21">
        <f t="shared" si="67"/>
        <v>0.03</v>
      </c>
      <c r="F418" s="666"/>
      <c r="G418" s="21">
        <f t="shared" si="68"/>
        <v>0.05</v>
      </c>
      <c r="H418" s="666"/>
      <c r="I418" s="21">
        <f t="shared" si="69"/>
        <v>0.01</v>
      </c>
      <c r="J418" s="666"/>
      <c r="K418" s="21">
        <f t="shared" si="70"/>
        <v>0</v>
      </c>
      <c r="L418" s="666"/>
      <c r="M418" s="21">
        <f t="shared" si="71"/>
        <v>1</v>
      </c>
      <c r="N418" s="666"/>
      <c r="O418" s="21">
        <f t="shared" si="72"/>
        <v>1</v>
      </c>
      <c r="P418" s="666"/>
      <c r="Q418" s="21">
        <f t="shared" si="73"/>
        <v>0</v>
      </c>
      <c r="R418" s="662">
        <f t="shared" si="74"/>
        <v>0</v>
      </c>
      <c r="S418" s="316">
        <f t="shared" si="65"/>
        <v>0</v>
      </c>
    </row>
    <row r="419" spans="1:19">
      <c r="A419" s="150"/>
      <c r="B419" s="54"/>
      <c r="C419" s="21">
        <f t="shared" si="66"/>
        <v>1</v>
      </c>
      <c r="D419" s="666"/>
      <c r="E419" s="21">
        <f t="shared" si="67"/>
        <v>0.03</v>
      </c>
      <c r="F419" s="666"/>
      <c r="G419" s="21">
        <f t="shared" si="68"/>
        <v>0.05</v>
      </c>
      <c r="H419" s="666"/>
      <c r="I419" s="21">
        <f t="shared" si="69"/>
        <v>0.01</v>
      </c>
      <c r="J419" s="666"/>
      <c r="K419" s="21">
        <f t="shared" si="70"/>
        <v>0</v>
      </c>
      <c r="L419" s="666"/>
      <c r="M419" s="21">
        <f t="shared" si="71"/>
        <v>1</v>
      </c>
      <c r="N419" s="666"/>
      <c r="O419" s="21">
        <f t="shared" si="72"/>
        <v>1</v>
      </c>
      <c r="P419" s="666"/>
      <c r="Q419" s="21">
        <f t="shared" si="73"/>
        <v>0</v>
      </c>
      <c r="R419" s="662">
        <f t="shared" si="74"/>
        <v>0</v>
      </c>
      <c r="S419" s="316">
        <f t="shared" si="65"/>
        <v>0</v>
      </c>
    </row>
    <row r="420" spans="1:19">
      <c r="A420" s="150"/>
      <c r="B420" s="54"/>
      <c r="C420" s="21">
        <f t="shared" si="66"/>
        <v>1</v>
      </c>
      <c r="D420" s="666"/>
      <c r="E420" s="21">
        <f t="shared" si="67"/>
        <v>0.03</v>
      </c>
      <c r="F420" s="666"/>
      <c r="G420" s="21">
        <f t="shared" si="68"/>
        <v>0.05</v>
      </c>
      <c r="H420" s="666"/>
      <c r="I420" s="21">
        <f t="shared" si="69"/>
        <v>0.01</v>
      </c>
      <c r="J420" s="666"/>
      <c r="K420" s="21">
        <f t="shared" si="70"/>
        <v>0</v>
      </c>
      <c r="L420" s="666"/>
      <c r="M420" s="21">
        <f t="shared" si="71"/>
        <v>1</v>
      </c>
      <c r="N420" s="666"/>
      <c r="O420" s="21">
        <f t="shared" si="72"/>
        <v>1</v>
      </c>
      <c r="P420" s="666"/>
      <c r="Q420" s="21">
        <f t="shared" si="73"/>
        <v>0</v>
      </c>
      <c r="R420" s="662">
        <f t="shared" si="74"/>
        <v>0</v>
      </c>
      <c r="S420" s="316">
        <f t="shared" si="65"/>
        <v>0</v>
      </c>
    </row>
    <row r="421" spans="1:19">
      <c r="A421" s="150"/>
      <c r="B421" s="54"/>
      <c r="C421" s="21">
        <f t="shared" si="66"/>
        <v>1</v>
      </c>
      <c r="D421" s="666"/>
      <c r="E421" s="21">
        <f t="shared" si="67"/>
        <v>0.03</v>
      </c>
      <c r="F421" s="666"/>
      <c r="G421" s="21">
        <f t="shared" si="68"/>
        <v>0.05</v>
      </c>
      <c r="H421" s="666"/>
      <c r="I421" s="21">
        <f t="shared" si="69"/>
        <v>0.01</v>
      </c>
      <c r="J421" s="666"/>
      <c r="K421" s="21">
        <f t="shared" si="70"/>
        <v>0</v>
      </c>
      <c r="L421" s="666"/>
      <c r="M421" s="21">
        <f t="shared" si="71"/>
        <v>1</v>
      </c>
      <c r="N421" s="666"/>
      <c r="O421" s="21">
        <f t="shared" si="72"/>
        <v>1</v>
      </c>
      <c r="P421" s="666"/>
      <c r="Q421" s="21">
        <f t="shared" si="73"/>
        <v>0</v>
      </c>
      <c r="R421" s="662">
        <f t="shared" si="74"/>
        <v>0</v>
      </c>
      <c r="S421" s="316">
        <f t="shared" si="65"/>
        <v>0</v>
      </c>
    </row>
    <row r="422" spans="1:19">
      <c r="A422" s="150"/>
      <c r="B422" s="54"/>
      <c r="C422" s="21">
        <f t="shared" si="66"/>
        <v>1</v>
      </c>
      <c r="D422" s="666"/>
      <c r="E422" s="21">
        <f t="shared" si="67"/>
        <v>0.03</v>
      </c>
      <c r="F422" s="666"/>
      <c r="G422" s="21">
        <f t="shared" si="68"/>
        <v>0.05</v>
      </c>
      <c r="H422" s="666"/>
      <c r="I422" s="21">
        <f t="shared" si="69"/>
        <v>0.01</v>
      </c>
      <c r="J422" s="666"/>
      <c r="K422" s="21">
        <f t="shared" si="70"/>
        <v>0</v>
      </c>
      <c r="L422" s="666"/>
      <c r="M422" s="21">
        <f t="shared" si="71"/>
        <v>1</v>
      </c>
      <c r="N422" s="666"/>
      <c r="O422" s="21">
        <f t="shared" si="72"/>
        <v>1</v>
      </c>
      <c r="P422" s="666"/>
      <c r="Q422" s="21">
        <f t="shared" si="73"/>
        <v>0</v>
      </c>
      <c r="R422" s="662">
        <f t="shared" si="74"/>
        <v>0</v>
      </c>
      <c r="S422" s="316">
        <f t="shared" si="65"/>
        <v>0</v>
      </c>
    </row>
    <row r="423" spans="1:19">
      <c r="A423" s="150"/>
      <c r="B423" s="54"/>
      <c r="C423" s="21">
        <f t="shared" si="66"/>
        <v>1</v>
      </c>
      <c r="D423" s="666"/>
      <c r="E423" s="21">
        <f t="shared" si="67"/>
        <v>0.03</v>
      </c>
      <c r="F423" s="666"/>
      <c r="G423" s="21">
        <f t="shared" si="68"/>
        <v>0.05</v>
      </c>
      <c r="H423" s="666"/>
      <c r="I423" s="21">
        <f t="shared" si="69"/>
        <v>0.01</v>
      </c>
      <c r="J423" s="666"/>
      <c r="K423" s="21">
        <f t="shared" si="70"/>
        <v>0</v>
      </c>
      <c r="L423" s="666"/>
      <c r="M423" s="21">
        <f t="shared" si="71"/>
        <v>1</v>
      </c>
      <c r="N423" s="666"/>
      <c r="O423" s="21">
        <f t="shared" si="72"/>
        <v>1</v>
      </c>
      <c r="P423" s="666"/>
      <c r="Q423" s="21">
        <f t="shared" si="73"/>
        <v>0</v>
      </c>
      <c r="R423" s="662">
        <f t="shared" si="74"/>
        <v>0</v>
      </c>
      <c r="S423" s="316">
        <f t="shared" si="65"/>
        <v>0</v>
      </c>
    </row>
    <row r="424" spans="1:19">
      <c r="A424" s="150"/>
      <c r="B424" s="54"/>
      <c r="C424" s="21">
        <f t="shared" si="66"/>
        <v>1</v>
      </c>
      <c r="D424" s="666"/>
      <c r="E424" s="21">
        <f t="shared" si="67"/>
        <v>0.03</v>
      </c>
      <c r="F424" s="666"/>
      <c r="G424" s="21">
        <f t="shared" si="68"/>
        <v>0.05</v>
      </c>
      <c r="H424" s="666"/>
      <c r="I424" s="21">
        <f t="shared" si="69"/>
        <v>0.01</v>
      </c>
      <c r="J424" s="666"/>
      <c r="K424" s="21">
        <f t="shared" si="70"/>
        <v>0</v>
      </c>
      <c r="L424" s="666"/>
      <c r="M424" s="21">
        <f t="shared" si="71"/>
        <v>1</v>
      </c>
      <c r="N424" s="666"/>
      <c r="O424" s="21">
        <f t="shared" si="72"/>
        <v>1</v>
      </c>
      <c r="P424" s="666"/>
      <c r="Q424" s="21">
        <f t="shared" si="73"/>
        <v>0</v>
      </c>
      <c r="R424" s="662">
        <f t="shared" si="74"/>
        <v>0</v>
      </c>
      <c r="S424" s="316">
        <f t="shared" si="65"/>
        <v>0</v>
      </c>
    </row>
    <row r="425" spans="1:19">
      <c r="A425" s="150"/>
      <c r="B425" s="54"/>
      <c r="C425" s="21">
        <f t="shared" si="66"/>
        <v>1</v>
      </c>
      <c r="D425" s="666"/>
      <c r="E425" s="21">
        <f t="shared" si="67"/>
        <v>0.03</v>
      </c>
      <c r="F425" s="666"/>
      <c r="G425" s="21">
        <f t="shared" si="68"/>
        <v>0.05</v>
      </c>
      <c r="H425" s="666"/>
      <c r="I425" s="21">
        <f t="shared" si="69"/>
        <v>0.01</v>
      </c>
      <c r="J425" s="666"/>
      <c r="K425" s="21">
        <f t="shared" si="70"/>
        <v>0</v>
      </c>
      <c r="L425" s="666"/>
      <c r="M425" s="21">
        <f t="shared" si="71"/>
        <v>1</v>
      </c>
      <c r="N425" s="666"/>
      <c r="O425" s="21">
        <f t="shared" si="72"/>
        <v>1</v>
      </c>
      <c r="P425" s="666"/>
      <c r="Q425" s="21">
        <f t="shared" si="73"/>
        <v>0</v>
      </c>
      <c r="R425" s="662">
        <f t="shared" si="74"/>
        <v>0</v>
      </c>
      <c r="S425" s="316">
        <f t="shared" si="65"/>
        <v>0</v>
      </c>
    </row>
    <row r="426" spans="1:19">
      <c r="A426" s="150"/>
      <c r="B426" s="54"/>
      <c r="C426" s="21">
        <f t="shared" si="66"/>
        <v>1</v>
      </c>
      <c r="D426" s="666"/>
      <c r="E426" s="21">
        <f t="shared" si="67"/>
        <v>0.03</v>
      </c>
      <c r="F426" s="666"/>
      <c r="G426" s="21">
        <f t="shared" si="68"/>
        <v>0.05</v>
      </c>
      <c r="H426" s="666"/>
      <c r="I426" s="21">
        <f t="shared" si="69"/>
        <v>0.01</v>
      </c>
      <c r="J426" s="666"/>
      <c r="K426" s="21">
        <f t="shared" si="70"/>
        <v>0</v>
      </c>
      <c r="L426" s="666"/>
      <c r="M426" s="21">
        <f t="shared" si="71"/>
        <v>1</v>
      </c>
      <c r="N426" s="666"/>
      <c r="O426" s="21">
        <f t="shared" si="72"/>
        <v>1</v>
      </c>
      <c r="P426" s="666"/>
      <c r="Q426" s="21">
        <f t="shared" si="73"/>
        <v>0</v>
      </c>
      <c r="R426" s="662">
        <f t="shared" si="74"/>
        <v>0</v>
      </c>
      <c r="S426" s="316">
        <f t="shared" si="65"/>
        <v>0</v>
      </c>
    </row>
    <row r="427" spans="1:19">
      <c r="A427" s="150"/>
      <c r="B427" s="54"/>
      <c r="C427" s="21">
        <f t="shared" si="66"/>
        <v>1</v>
      </c>
      <c r="D427" s="666"/>
      <c r="E427" s="21">
        <f t="shared" si="67"/>
        <v>0.03</v>
      </c>
      <c r="F427" s="666"/>
      <c r="G427" s="21">
        <f t="shared" si="68"/>
        <v>0.05</v>
      </c>
      <c r="H427" s="666"/>
      <c r="I427" s="21">
        <f t="shared" si="69"/>
        <v>0.01</v>
      </c>
      <c r="J427" s="666"/>
      <c r="K427" s="21">
        <f t="shared" si="70"/>
        <v>0</v>
      </c>
      <c r="L427" s="666"/>
      <c r="M427" s="21">
        <f t="shared" si="71"/>
        <v>1</v>
      </c>
      <c r="N427" s="666"/>
      <c r="O427" s="21">
        <f t="shared" si="72"/>
        <v>1</v>
      </c>
      <c r="P427" s="666"/>
      <c r="Q427" s="21">
        <f t="shared" si="73"/>
        <v>0</v>
      </c>
      <c r="R427" s="662">
        <f t="shared" si="74"/>
        <v>0</v>
      </c>
      <c r="S427" s="316">
        <f t="shared" si="65"/>
        <v>0</v>
      </c>
    </row>
    <row r="428" spans="1:19">
      <c r="A428" s="150"/>
      <c r="B428" s="54"/>
      <c r="C428" s="21">
        <f t="shared" si="66"/>
        <v>1</v>
      </c>
      <c r="D428" s="666"/>
      <c r="E428" s="21">
        <f t="shared" si="67"/>
        <v>0.03</v>
      </c>
      <c r="F428" s="666"/>
      <c r="G428" s="21">
        <f t="shared" si="68"/>
        <v>0.05</v>
      </c>
      <c r="H428" s="666"/>
      <c r="I428" s="21">
        <f t="shared" si="69"/>
        <v>0.01</v>
      </c>
      <c r="J428" s="666"/>
      <c r="K428" s="21">
        <f t="shared" si="70"/>
        <v>0</v>
      </c>
      <c r="L428" s="666"/>
      <c r="M428" s="21">
        <f t="shared" si="71"/>
        <v>1</v>
      </c>
      <c r="N428" s="666"/>
      <c r="O428" s="21">
        <f t="shared" si="72"/>
        <v>1</v>
      </c>
      <c r="P428" s="666"/>
      <c r="Q428" s="21">
        <f t="shared" si="73"/>
        <v>0</v>
      </c>
      <c r="R428" s="662">
        <f t="shared" si="74"/>
        <v>0</v>
      </c>
      <c r="S428" s="316">
        <f t="shared" si="65"/>
        <v>0</v>
      </c>
    </row>
    <row r="429" spans="1:19">
      <c r="A429" s="150"/>
      <c r="B429" s="54"/>
      <c r="C429" s="21">
        <f t="shared" si="66"/>
        <v>1</v>
      </c>
      <c r="D429" s="666"/>
      <c r="E429" s="21">
        <f t="shared" si="67"/>
        <v>0.03</v>
      </c>
      <c r="F429" s="666"/>
      <c r="G429" s="21">
        <f t="shared" si="68"/>
        <v>0.05</v>
      </c>
      <c r="H429" s="666"/>
      <c r="I429" s="21">
        <f t="shared" si="69"/>
        <v>0.01</v>
      </c>
      <c r="J429" s="666"/>
      <c r="K429" s="21">
        <f t="shared" si="70"/>
        <v>0</v>
      </c>
      <c r="L429" s="666"/>
      <c r="M429" s="21">
        <f t="shared" si="71"/>
        <v>1</v>
      </c>
      <c r="N429" s="666"/>
      <c r="O429" s="21">
        <f t="shared" si="72"/>
        <v>1</v>
      </c>
      <c r="P429" s="666"/>
      <c r="Q429" s="21">
        <f t="shared" si="73"/>
        <v>0</v>
      </c>
      <c r="R429" s="662">
        <f t="shared" si="74"/>
        <v>0</v>
      </c>
      <c r="S429" s="316">
        <f t="shared" si="65"/>
        <v>0</v>
      </c>
    </row>
    <row r="430" spans="1:19">
      <c r="A430" s="150"/>
      <c r="B430" s="54"/>
      <c r="C430" s="21">
        <f t="shared" si="66"/>
        <v>1</v>
      </c>
      <c r="D430" s="666"/>
      <c r="E430" s="21">
        <f t="shared" si="67"/>
        <v>0.03</v>
      </c>
      <c r="F430" s="666"/>
      <c r="G430" s="21">
        <f t="shared" si="68"/>
        <v>0.05</v>
      </c>
      <c r="H430" s="666"/>
      <c r="I430" s="21">
        <f t="shared" si="69"/>
        <v>0.01</v>
      </c>
      <c r="J430" s="666"/>
      <c r="K430" s="21">
        <f t="shared" si="70"/>
        <v>0</v>
      </c>
      <c r="L430" s="666"/>
      <c r="M430" s="21">
        <f t="shared" si="71"/>
        <v>1</v>
      </c>
      <c r="N430" s="666"/>
      <c r="O430" s="21">
        <f t="shared" si="72"/>
        <v>1</v>
      </c>
      <c r="P430" s="666"/>
      <c r="Q430" s="21">
        <f t="shared" si="73"/>
        <v>0</v>
      </c>
      <c r="R430" s="662">
        <f t="shared" si="74"/>
        <v>0</v>
      </c>
      <c r="S430" s="316">
        <f t="shared" si="65"/>
        <v>0</v>
      </c>
    </row>
    <row r="431" spans="1:19">
      <c r="A431" s="150"/>
      <c r="B431" s="54"/>
      <c r="C431" s="21">
        <f t="shared" si="66"/>
        <v>1</v>
      </c>
      <c r="D431" s="666"/>
      <c r="E431" s="21">
        <f t="shared" si="67"/>
        <v>0.03</v>
      </c>
      <c r="F431" s="666"/>
      <c r="G431" s="21">
        <f t="shared" si="68"/>
        <v>0.05</v>
      </c>
      <c r="H431" s="666"/>
      <c r="I431" s="21">
        <f t="shared" si="69"/>
        <v>0.01</v>
      </c>
      <c r="J431" s="666"/>
      <c r="K431" s="21">
        <f t="shared" si="70"/>
        <v>0</v>
      </c>
      <c r="L431" s="666"/>
      <c r="M431" s="21">
        <f t="shared" si="71"/>
        <v>1</v>
      </c>
      <c r="N431" s="666"/>
      <c r="O431" s="21">
        <f t="shared" si="72"/>
        <v>1</v>
      </c>
      <c r="P431" s="666"/>
      <c r="Q431" s="21">
        <f t="shared" si="73"/>
        <v>0</v>
      </c>
      <c r="R431" s="662">
        <f t="shared" si="74"/>
        <v>0</v>
      </c>
      <c r="S431" s="316">
        <f t="shared" si="65"/>
        <v>0</v>
      </c>
    </row>
    <row r="432" spans="1:19">
      <c r="A432" s="150"/>
      <c r="B432" s="54"/>
      <c r="C432" s="21">
        <f t="shared" si="66"/>
        <v>1</v>
      </c>
      <c r="D432" s="666"/>
      <c r="E432" s="21">
        <f t="shared" si="67"/>
        <v>0.03</v>
      </c>
      <c r="F432" s="666"/>
      <c r="G432" s="21">
        <f t="shared" si="68"/>
        <v>0.05</v>
      </c>
      <c r="H432" s="666"/>
      <c r="I432" s="21">
        <f t="shared" si="69"/>
        <v>0.01</v>
      </c>
      <c r="J432" s="666"/>
      <c r="K432" s="21">
        <f t="shared" si="70"/>
        <v>0</v>
      </c>
      <c r="L432" s="666"/>
      <c r="M432" s="21">
        <f t="shared" si="71"/>
        <v>1</v>
      </c>
      <c r="N432" s="666"/>
      <c r="O432" s="21">
        <f t="shared" si="72"/>
        <v>1</v>
      </c>
      <c r="P432" s="666"/>
      <c r="Q432" s="21">
        <f t="shared" si="73"/>
        <v>0</v>
      </c>
      <c r="R432" s="662">
        <f t="shared" si="74"/>
        <v>0</v>
      </c>
      <c r="S432" s="316">
        <f t="shared" si="65"/>
        <v>0</v>
      </c>
    </row>
    <row r="433" spans="1:19">
      <c r="A433" s="150"/>
      <c r="B433" s="54"/>
      <c r="C433" s="21">
        <f t="shared" si="66"/>
        <v>1</v>
      </c>
      <c r="D433" s="666"/>
      <c r="E433" s="21">
        <f t="shared" si="67"/>
        <v>0.03</v>
      </c>
      <c r="F433" s="666"/>
      <c r="G433" s="21">
        <f t="shared" si="68"/>
        <v>0.05</v>
      </c>
      <c r="H433" s="666"/>
      <c r="I433" s="21">
        <f t="shared" si="69"/>
        <v>0.01</v>
      </c>
      <c r="J433" s="666"/>
      <c r="K433" s="21">
        <f t="shared" si="70"/>
        <v>0</v>
      </c>
      <c r="L433" s="666"/>
      <c r="M433" s="21">
        <f t="shared" si="71"/>
        <v>1</v>
      </c>
      <c r="N433" s="666"/>
      <c r="O433" s="21">
        <f t="shared" si="72"/>
        <v>1</v>
      </c>
      <c r="P433" s="666"/>
      <c r="Q433" s="21">
        <f t="shared" si="73"/>
        <v>0</v>
      </c>
      <c r="R433" s="662">
        <f t="shared" si="74"/>
        <v>0</v>
      </c>
      <c r="S433" s="316">
        <f t="shared" si="65"/>
        <v>0</v>
      </c>
    </row>
    <row r="434" spans="1:19">
      <c r="A434" s="150"/>
      <c r="B434" s="54"/>
      <c r="C434" s="21">
        <f t="shared" si="66"/>
        <v>1</v>
      </c>
      <c r="D434" s="666"/>
      <c r="E434" s="21">
        <f t="shared" si="67"/>
        <v>0.03</v>
      </c>
      <c r="F434" s="666"/>
      <c r="G434" s="21">
        <f t="shared" si="68"/>
        <v>0.05</v>
      </c>
      <c r="H434" s="666"/>
      <c r="I434" s="21">
        <f t="shared" si="69"/>
        <v>0.01</v>
      </c>
      <c r="J434" s="666"/>
      <c r="K434" s="21">
        <f t="shared" si="70"/>
        <v>0</v>
      </c>
      <c r="L434" s="666"/>
      <c r="M434" s="21">
        <f t="shared" si="71"/>
        <v>1</v>
      </c>
      <c r="N434" s="666"/>
      <c r="O434" s="21">
        <f t="shared" si="72"/>
        <v>1</v>
      </c>
      <c r="P434" s="666"/>
      <c r="Q434" s="21">
        <f t="shared" si="73"/>
        <v>0</v>
      </c>
      <c r="R434" s="662">
        <f t="shared" si="74"/>
        <v>0</v>
      </c>
      <c r="S434" s="316">
        <f t="shared" si="65"/>
        <v>0</v>
      </c>
    </row>
    <row r="435" spans="1:19">
      <c r="A435" s="150"/>
      <c r="B435" s="54"/>
      <c r="C435" s="21">
        <f t="shared" si="66"/>
        <v>1</v>
      </c>
      <c r="D435" s="666"/>
      <c r="E435" s="21">
        <f t="shared" si="67"/>
        <v>0.03</v>
      </c>
      <c r="F435" s="666"/>
      <c r="G435" s="21">
        <f t="shared" si="68"/>
        <v>0.05</v>
      </c>
      <c r="H435" s="666"/>
      <c r="I435" s="21">
        <f t="shared" si="69"/>
        <v>0.01</v>
      </c>
      <c r="J435" s="666"/>
      <c r="K435" s="21">
        <f t="shared" si="70"/>
        <v>0</v>
      </c>
      <c r="L435" s="666"/>
      <c r="M435" s="21">
        <f t="shared" si="71"/>
        <v>1</v>
      </c>
      <c r="N435" s="666"/>
      <c r="O435" s="21">
        <f t="shared" si="72"/>
        <v>1</v>
      </c>
      <c r="P435" s="666"/>
      <c r="Q435" s="21">
        <f t="shared" si="73"/>
        <v>0</v>
      </c>
      <c r="R435" s="662">
        <f t="shared" si="74"/>
        <v>0</v>
      </c>
      <c r="S435" s="316">
        <f t="shared" si="65"/>
        <v>0</v>
      </c>
    </row>
    <row r="436" spans="1:19">
      <c r="A436" s="150"/>
      <c r="B436" s="54"/>
      <c r="C436" s="21">
        <f t="shared" si="66"/>
        <v>1</v>
      </c>
      <c r="D436" s="666"/>
      <c r="E436" s="21">
        <f t="shared" si="67"/>
        <v>0.03</v>
      </c>
      <c r="F436" s="666"/>
      <c r="G436" s="21">
        <f t="shared" si="68"/>
        <v>0.05</v>
      </c>
      <c r="H436" s="666"/>
      <c r="I436" s="21">
        <f t="shared" si="69"/>
        <v>0.01</v>
      </c>
      <c r="J436" s="666"/>
      <c r="K436" s="21">
        <f t="shared" si="70"/>
        <v>0</v>
      </c>
      <c r="L436" s="666"/>
      <c r="M436" s="21">
        <f t="shared" si="71"/>
        <v>1</v>
      </c>
      <c r="N436" s="666"/>
      <c r="O436" s="21">
        <f t="shared" si="72"/>
        <v>1</v>
      </c>
      <c r="P436" s="666"/>
      <c r="Q436" s="21">
        <f t="shared" si="73"/>
        <v>0</v>
      </c>
      <c r="R436" s="662">
        <f t="shared" si="74"/>
        <v>0</v>
      </c>
      <c r="S436" s="316">
        <f t="shared" si="65"/>
        <v>0</v>
      </c>
    </row>
    <row r="437" spans="1:19">
      <c r="A437" s="150"/>
      <c r="B437" s="54"/>
      <c r="C437" s="21">
        <f t="shared" si="66"/>
        <v>1</v>
      </c>
      <c r="D437" s="666"/>
      <c r="E437" s="21">
        <f t="shared" si="67"/>
        <v>0.03</v>
      </c>
      <c r="F437" s="666"/>
      <c r="G437" s="21">
        <f t="shared" si="68"/>
        <v>0.05</v>
      </c>
      <c r="H437" s="666"/>
      <c r="I437" s="21">
        <f t="shared" si="69"/>
        <v>0.01</v>
      </c>
      <c r="J437" s="666"/>
      <c r="K437" s="21">
        <f t="shared" si="70"/>
        <v>0</v>
      </c>
      <c r="L437" s="666"/>
      <c r="M437" s="21">
        <f t="shared" si="71"/>
        <v>1</v>
      </c>
      <c r="N437" s="666"/>
      <c r="O437" s="21">
        <f t="shared" si="72"/>
        <v>1</v>
      </c>
      <c r="P437" s="666"/>
      <c r="Q437" s="21">
        <f t="shared" si="73"/>
        <v>0</v>
      </c>
      <c r="R437" s="662">
        <f t="shared" si="74"/>
        <v>0</v>
      </c>
      <c r="S437" s="316">
        <f t="shared" si="65"/>
        <v>0</v>
      </c>
    </row>
    <row r="438" spans="1:19">
      <c r="A438" s="150"/>
      <c r="B438" s="54"/>
      <c r="C438" s="21">
        <f t="shared" si="66"/>
        <v>1</v>
      </c>
      <c r="D438" s="666"/>
      <c r="E438" s="21">
        <f t="shared" si="67"/>
        <v>0.03</v>
      </c>
      <c r="F438" s="666"/>
      <c r="G438" s="21">
        <f t="shared" si="68"/>
        <v>0.05</v>
      </c>
      <c r="H438" s="666"/>
      <c r="I438" s="21">
        <f t="shared" si="69"/>
        <v>0.01</v>
      </c>
      <c r="J438" s="666"/>
      <c r="K438" s="21">
        <f t="shared" si="70"/>
        <v>0</v>
      </c>
      <c r="L438" s="666"/>
      <c r="M438" s="21">
        <f t="shared" si="71"/>
        <v>1</v>
      </c>
      <c r="N438" s="666"/>
      <c r="O438" s="21">
        <f t="shared" si="72"/>
        <v>1</v>
      </c>
      <c r="P438" s="666"/>
      <c r="Q438" s="21">
        <f t="shared" si="73"/>
        <v>0</v>
      </c>
      <c r="R438" s="662">
        <f t="shared" si="74"/>
        <v>0</v>
      </c>
      <c r="S438" s="316">
        <f t="shared" si="65"/>
        <v>0</v>
      </c>
    </row>
    <row r="439" spans="1:19">
      <c r="A439" s="150"/>
      <c r="B439" s="54"/>
      <c r="C439" s="21">
        <f t="shared" si="66"/>
        <v>1</v>
      </c>
      <c r="D439" s="666"/>
      <c r="E439" s="21">
        <f t="shared" si="67"/>
        <v>0.03</v>
      </c>
      <c r="F439" s="666"/>
      <c r="G439" s="21">
        <f t="shared" si="68"/>
        <v>0.05</v>
      </c>
      <c r="H439" s="666"/>
      <c r="I439" s="21">
        <f t="shared" si="69"/>
        <v>0.01</v>
      </c>
      <c r="J439" s="666"/>
      <c r="K439" s="21">
        <f t="shared" si="70"/>
        <v>0</v>
      </c>
      <c r="L439" s="666"/>
      <c r="M439" s="21">
        <f t="shared" si="71"/>
        <v>1</v>
      </c>
      <c r="N439" s="666"/>
      <c r="O439" s="21">
        <f t="shared" si="72"/>
        <v>1</v>
      </c>
      <c r="P439" s="666"/>
      <c r="Q439" s="21">
        <f t="shared" si="73"/>
        <v>0</v>
      </c>
      <c r="R439" s="662">
        <f t="shared" si="74"/>
        <v>0</v>
      </c>
      <c r="S439" s="316">
        <f t="shared" si="65"/>
        <v>0</v>
      </c>
    </row>
    <row r="440" spans="1:19">
      <c r="A440" s="150"/>
      <c r="B440" s="54"/>
      <c r="C440" s="21">
        <f t="shared" si="66"/>
        <v>1</v>
      </c>
      <c r="D440" s="666"/>
      <c r="E440" s="21">
        <f t="shared" si="67"/>
        <v>0.03</v>
      </c>
      <c r="F440" s="666"/>
      <c r="G440" s="21">
        <f t="shared" si="68"/>
        <v>0.05</v>
      </c>
      <c r="H440" s="666"/>
      <c r="I440" s="21">
        <f t="shared" si="69"/>
        <v>0.01</v>
      </c>
      <c r="J440" s="666"/>
      <c r="K440" s="21">
        <f t="shared" si="70"/>
        <v>0</v>
      </c>
      <c r="L440" s="666"/>
      <c r="M440" s="21">
        <f t="shared" si="71"/>
        <v>1</v>
      </c>
      <c r="N440" s="666"/>
      <c r="O440" s="21">
        <f t="shared" si="72"/>
        <v>1</v>
      </c>
      <c r="P440" s="666"/>
      <c r="Q440" s="21">
        <f t="shared" si="73"/>
        <v>0</v>
      </c>
      <c r="R440" s="662">
        <f t="shared" si="74"/>
        <v>0</v>
      </c>
      <c r="S440" s="316">
        <f t="shared" si="65"/>
        <v>0</v>
      </c>
    </row>
    <row r="441" spans="1:19">
      <c r="A441" s="150"/>
      <c r="B441" s="54"/>
      <c r="C441" s="21">
        <f t="shared" si="66"/>
        <v>1</v>
      </c>
      <c r="D441" s="666"/>
      <c r="E441" s="21">
        <f t="shared" si="67"/>
        <v>0.03</v>
      </c>
      <c r="F441" s="666"/>
      <c r="G441" s="21">
        <f t="shared" si="68"/>
        <v>0.05</v>
      </c>
      <c r="H441" s="666"/>
      <c r="I441" s="21">
        <f t="shared" si="69"/>
        <v>0.01</v>
      </c>
      <c r="J441" s="666"/>
      <c r="K441" s="21">
        <f t="shared" si="70"/>
        <v>0</v>
      </c>
      <c r="L441" s="666"/>
      <c r="M441" s="21">
        <f t="shared" si="71"/>
        <v>1</v>
      </c>
      <c r="N441" s="666"/>
      <c r="O441" s="21">
        <f t="shared" si="72"/>
        <v>1</v>
      </c>
      <c r="P441" s="666"/>
      <c r="Q441" s="21">
        <f t="shared" si="73"/>
        <v>0</v>
      </c>
      <c r="R441" s="662">
        <f t="shared" si="74"/>
        <v>0</v>
      </c>
      <c r="S441" s="316">
        <f t="shared" si="65"/>
        <v>0</v>
      </c>
    </row>
    <row r="442" spans="1:19">
      <c r="A442" s="150"/>
      <c r="B442" s="54"/>
      <c r="C442" s="21">
        <f t="shared" si="66"/>
        <v>1</v>
      </c>
      <c r="D442" s="666"/>
      <c r="E442" s="21">
        <f t="shared" si="67"/>
        <v>0.03</v>
      </c>
      <c r="F442" s="666"/>
      <c r="G442" s="21">
        <f t="shared" si="68"/>
        <v>0.05</v>
      </c>
      <c r="H442" s="666"/>
      <c r="I442" s="21">
        <f t="shared" si="69"/>
        <v>0.01</v>
      </c>
      <c r="J442" s="666"/>
      <c r="K442" s="21">
        <f t="shared" si="70"/>
        <v>0</v>
      </c>
      <c r="L442" s="666"/>
      <c r="M442" s="21">
        <f t="shared" si="71"/>
        <v>1</v>
      </c>
      <c r="N442" s="666"/>
      <c r="O442" s="21">
        <f t="shared" si="72"/>
        <v>1</v>
      </c>
      <c r="P442" s="666"/>
      <c r="Q442" s="21">
        <f t="shared" si="73"/>
        <v>0</v>
      </c>
      <c r="R442" s="662">
        <f t="shared" si="74"/>
        <v>0</v>
      </c>
      <c r="S442" s="316">
        <f t="shared" si="65"/>
        <v>0</v>
      </c>
    </row>
    <row r="443" spans="1:19">
      <c r="A443" s="150"/>
      <c r="B443" s="54"/>
      <c r="C443" s="21">
        <f t="shared" si="66"/>
        <v>1</v>
      </c>
      <c r="D443" s="666"/>
      <c r="E443" s="21">
        <f t="shared" si="67"/>
        <v>0.03</v>
      </c>
      <c r="F443" s="666"/>
      <c r="G443" s="21">
        <f t="shared" si="68"/>
        <v>0.05</v>
      </c>
      <c r="H443" s="666"/>
      <c r="I443" s="21">
        <f t="shared" si="69"/>
        <v>0.01</v>
      </c>
      <c r="J443" s="666"/>
      <c r="K443" s="21">
        <f t="shared" si="70"/>
        <v>0</v>
      </c>
      <c r="L443" s="666"/>
      <c r="M443" s="21">
        <f t="shared" si="71"/>
        <v>1</v>
      </c>
      <c r="N443" s="666"/>
      <c r="O443" s="21">
        <f t="shared" si="72"/>
        <v>1</v>
      </c>
      <c r="P443" s="666"/>
      <c r="Q443" s="21">
        <f t="shared" si="73"/>
        <v>0</v>
      </c>
      <c r="R443" s="662">
        <f t="shared" si="74"/>
        <v>0</v>
      </c>
      <c r="S443" s="316">
        <f t="shared" si="65"/>
        <v>0</v>
      </c>
    </row>
    <row r="444" spans="1:19">
      <c r="A444" s="150"/>
      <c r="B444" s="54"/>
      <c r="C444" s="21">
        <f t="shared" si="66"/>
        <v>1</v>
      </c>
      <c r="D444" s="666"/>
      <c r="E444" s="21">
        <f t="shared" si="67"/>
        <v>0.03</v>
      </c>
      <c r="F444" s="666"/>
      <c r="G444" s="21">
        <f t="shared" si="68"/>
        <v>0.05</v>
      </c>
      <c r="H444" s="666"/>
      <c r="I444" s="21">
        <f t="shared" si="69"/>
        <v>0.01</v>
      </c>
      <c r="J444" s="666"/>
      <c r="K444" s="21">
        <f t="shared" si="70"/>
        <v>0</v>
      </c>
      <c r="L444" s="666"/>
      <c r="M444" s="21">
        <f t="shared" si="71"/>
        <v>1</v>
      </c>
      <c r="N444" s="666"/>
      <c r="O444" s="21">
        <f t="shared" si="72"/>
        <v>1</v>
      </c>
      <c r="P444" s="666"/>
      <c r="Q444" s="21">
        <f t="shared" si="73"/>
        <v>0</v>
      </c>
      <c r="R444" s="662">
        <f t="shared" si="74"/>
        <v>0</v>
      </c>
      <c r="S444" s="316">
        <f t="shared" si="65"/>
        <v>0</v>
      </c>
    </row>
    <row r="445" spans="1:19">
      <c r="A445" s="150"/>
      <c r="B445" s="54"/>
      <c r="C445" s="21">
        <f t="shared" si="66"/>
        <v>1</v>
      </c>
      <c r="D445" s="666"/>
      <c r="E445" s="21">
        <f t="shared" si="67"/>
        <v>0.03</v>
      </c>
      <c r="F445" s="666"/>
      <c r="G445" s="21">
        <f t="shared" si="68"/>
        <v>0.05</v>
      </c>
      <c r="H445" s="666"/>
      <c r="I445" s="21">
        <f t="shared" si="69"/>
        <v>0.01</v>
      </c>
      <c r="J445" s="666"/>
      <c r="K445" s="21">
        <f t="shared" si="70"/>
        <v>0</v>
      </c>
      <c r="L445" s="666"/>
      <c r="M445" s="21">
        <f t="shared" si="71"/>
        <v>1</v>
      </c>
      <c r="N445" s="666"/>
      <c r="O445" s="21">
        <f t="shared" si="72"/>
        <v>1</v>
      </c>
      <c r="P445" s="666"/>
      <c r="Q445" s="21">
        <f t="shared" si="73"/>
        <v>0</v>
      </c>
      <c r="R445" s="662">
        <f t="shared" si="74"/>
        <v>0</v>
      </c>
      <c r="S445" s="316">
        <f t="shared" si="65"/>
        <v>0</v>
      </c>
    </row>
    <row r="446" spans="1:19">
      <c r="A446" s="150"/>
      <c r="B446" s="54"/>
      <c r="C446" s="21">
        <f t="shared" si="66"/>
        <v>1</v>
      </c>
      <c r="D446" s="666"/>
      <c r="E446" s="21">
        <f t="shared" si="67"/>
        <v>0.03</v>
      </c>
      <c r="F446" s="666"/>
      <c r="G446" s="21">
        <f t="shared" si="68"/>
        <v>0.05</v>
      </c>
      <c r="H446" s="666"/>
      <c r="I446" s="21">
        <f t="shared" si="69"/>
        <v>0.01</v>
      </c>
      <c r="J446" s="666"/>
      <c r="K446" s="21">
        <f t="shared" si="70"/>
        <v>0</v>
      </c>
      <c r="L446" s="666"/>
      <c r="M446" s="21">
        <f t="shared" si="71"/>
        <v>1</v>
      </c>
      <c r="N446" s="666"/>
      <c r="O446" s="21">
        <f t="shared" si="72"/>
        <v>1</v>
      </c>
      <c r="P446" s="666"/>
      <c r="Q446" s="21">
        <f t="shared" si="73"/>
        <v>0</v>
      </c>
      <c r="R446" s="662">
        <f t="shared" si="74"/>
        <v>0</v>
      </c>
      <c r="S446" s="316">
        <f t="shared" si="65"/>
        <v>0</v>
      </c>
    </row>
    <row r="447" spans="1:19">
      <c r="A447" s="150"/>
      <c r="B447" s="54"/>
      <c r="C447" s="21">
        <f t="shared" si="66"/>
        <v>1</v>
      </c>
      <c r="D447" s="666"/>
      <c r="E447" s="21">
        <f t="shared" si="67"/>
        <v>0.03</v>
      </c>
      <c r="F447" s="666"/>
      <c r="G447" s="21">
        <f t="shared" si="68"/>
        <v>0.05</v>
      </c>
      <c r="H447" s="666"/>
      <c r="I447" s="21">
        <f t="shared" si="69"/>
        <v>0.01</v>
      </c>
      <c r="J447" s="666"/>
      <c r="K447" s="21">
        <f t="shared" si="70"/>
        <v>0</v>
      </c>
      <c r="L447" s="666"/>
      <c r="M447" s="21">
        <f t="shared" si="71"/>
        <v>1</v>
      </c>
      <c r="N447" s="666"/>
      <c r="O447" s="21">
        <f t="shared" si="72"/>
        <v>1</v>
      </c>
      <c r="P447" s="666"/>
      <c r="Q447" s="21">
        <f t="shared" si="73"/>
        <v>0</v>
      </c>
      <c r="R447" s="662">
        <f t="shared" si="74"/>
        <v>0</v>
      </c>
      <c r="S447" s="316">
        <f t="shared" si="65"/>
        <v>0</v>
      </c>
    </row>
    <row r="448" spans="1:19">
      <c r="A448" s="150"/>
      <c r="B448" s="54"/>
      <c r="C448" s="21">
        <f t="shared" si="66"/>
        <v>1</v>
      </c>
      <c r="D448" s="666"/>
      <c r="E448" s="21">
        <f t="shared" si="67"/>
        <v>0.03</v>
      </c>
      <c r="F448" s="666"/>
      <c r="G448" s="21">
        <f t="shared" si="68"/>
        <v>0.05</v>
      </c>
      <c r="H448" s="666"/>
      <c r="I448" s="21">
        <f t="shared" si="69"/>
        <v>0.01</v>
      </c>
      <c r="J448" s="666"/>
      <c r="K448" s="21">
        <f t="shared" si="70"/>
        <v>0</v>
      </c>
      <c r="L448" s="666"/>
      <c r="M448" s="21">
        <f t="shared" si="71"/>
        <v>1</v>
      </c>
      <c r="N448" s="666"/>
      <c r="O448" s="21">
        <f t="shared" si="72"/>
        <v>1</v>
      </c>
      <c r="P448" s="666"/>
      <c r="Q448" s="21">
        <f t="shared" si="73"/>
        <v>0</v>
      </c>
      <c r="R448" s="662">
        <f t="shared" si="74"/>
        <v>0</v>
      </c>
      <c r="S448" s="316">
        <f t="shared" si="65"/>
        <v>0</v>
      </c>
    </row>
    <row r="449" spans="1:19">
      <c r="A449" s="150"/>
      <c r="B449" s="54"/>
      <c r="C449" s="21">
        <f t="shared" si="66"/>
        <v>1</v>
      </c>
      <c r="D449" s="666"/>
      <c r="E449" s="21">
        <f t="shared" si="67"/>
        <v>0.03</v>
      </c>
      <c r="F449" s="666"/>
      <c r="G449" s="21">
        <f t="shared" si="68"/>
        <v>0.05</v>
      </c>
      <c r="H449" s="666"/>
      <c r="I449" s="21">
        <f t="shared" si="69"/>
        <v>0.01</v>
      </c>
      <c r="J449" s="666"/>
      <c r="K449" s="21">
        <f t="shared" si="70"/>
        <v>0</v>
      </c>
      <c r="L449" s="666"/>
      <c r="M449" s="21">
        <f t="shared" si="71"/>
        <v>1</v>
      </c>
      <c r="N449" s="666"/>
      <c r="O449" s="21">
        <f t="shared" si="72"/>
        <v>1</v>
      </c>
      <c r="P449" s="666"/>
      <c r="Q449" s="21">
        <f t="shared" si="73"/>
        <v>0</v>
      </c>
      <c r="R449" s="662">
        <f t="shared" si="74"/>
        <v>0</v>
      </c>
      <c r="S449" s="316">
        <f t="shared" si="65"/>
        <v>0</v>
      </c>
    </row>
    <row r="450" spans="1:19">
      <c r="A450" s="150"/>
      <c r="B450" s="54"/>
      <c r="C450" s="21">
        <f t="shared" si="66"/>
        <v>1</v>
      </c>
      <c r="D450" s="666"/>
      <c r="E450" s="21">
        <f t="shared" si="67"/>
        <v>0.03</v>
      </c>
      <c r="F450" s="666"/>
      <c r="G450" s="21">
        <f t="shared" si="68"/>
        <v>0.05</v>
      </c>
      <c r="H450" s="666"/>
      <c r="I450" s="21">
        <f t="shared" si="69"/>
        <v>0.01</v>
      </c>
      <c r="J450" s="666"/>
      <c r="K450" s="21">
        <f t="shared" si="70"/>
        <v>0</v>
      </c>
      <c r="L450" s="666"/>
      <c r="M450" s="21">
        <f t="shared" si="71"/>
        <v>1</v>
      </c>
      <c r="N450" s="666"/>
      <c r="O450" s="21">
        <f t="shared" si="72"/>
        <v>1</v>
      </c>
      <c r="P450" s="666"/>
      <c r="Q450" s="21">
        <f t="shared" si="73"/>
        <v>0</v>
      </c>
      <c r="R450" s="662">
        <f t="shared" si="74"/>
        <v>0</v>
      </c>
      <c r="S450" s="316">
        <f t="shared" si="65"/>
        <v>0</v>
      </c>
    </row>
    <row r="451" spans="1:19">
      <c r="A451" s="150"/>
      <c r="B451" s="54"/>
      <c r="C451" s="21">
        <f t="shared" si="66"/>
        <v>1</v>
      </c>
      <c r="D451" s="666"/>
      <c r="E451" s="21">
        <f t="shared" si="67"/>
        <v>0.03</v>
      </c>
      <c r="F451" s="666"/>
      <c r="G451" s="21">
        <f t="shared" si="68"/>
        <v>0.05</v>
      </c>
      <c r="H451" s="666"/>
      <c r="I451" s="21">
        <f t="shared" si="69"/>
        <v>0.01</v>
      </c>
      <c r="J451" s="666"/>
      <c r="K451" s="21">
        <f t="shared" si="70"/>
        <v>0</v>
      </c>
      <c r="L451" s="666"/>
      <c r="M451" s="21">
        <f t="shared" si="71"/>
        <v>1</v>
      </c>
      <c r="N451" s="666"/>
      <c r="O451" s="21">
        <f t="shared" si="72"/>
        <v>1</v>
      </c>
      <c r="P451" s="666"/>
      <c r="Q451" s="21">
        <f t="shared" si="73"/>
        <v>0</v>
      </c>
      <c r="R451" s="662">
        <f t="shared" si="74"/>
        <v>0</v>
      </c>
      <c r="S451" s="316">
        <f t="shared" si="65"/>
        <v>0</v>
      </c>
    </row>
    <row r="452" spans="1:19">
      <c r="A452" s="150"/>
      <c r="B452" s="54"/>
      <c r="C452" s="21">
        <f t="shared" si="66"/>
        <v>1</v>
      </c>
      <c r="D452" s="666"/>
      <c r="E452" s="21">
        <f t="shared" si="67"/>
        <v>0.03</v>
      </c>
      <c r="F452" s="666"/>
      <c r="G452" s="21">
        <f t="shared" si="68"/>
        <v>0.05</v>
      </c>
      <c r="H452" s="666"/>
      <c r="I452" s="21">
        <f t="shared" si="69"/>
        <v>0.01</v>
      </c>
      <c r="J452" s="666"/>
      <c r="K452" s="21">
        <f t="shared" si="70"/>
        <v>0</v>
      </c>
      <c r="L452" s="666"/>
      <c r="M452" s="21">
        <f t="shared" si="71"/>
        <v>1</v>
      </c>
      <c r="N452" s="666"/>
      <c r="O452" s="21">
        <f t="shared" si="72"/>
        <v>1</v>
      </c>
      <c r="P452" s="666"/>
      <c r="Q452" s="21">
        <f t="shared" si="73"/>
        <v>0</v>
      </c>
      <c r="R452" s="662">
        <f t="shared" si="74"/>
        <v>0</v>
      </c>
      <c r="S452" s="316">
        <f t="shared" si="65"/>
        <v>0</v>
      </c>
    </row>
    <row r="453" spans="1:19">
      <c r="A453" s="150"/>
      <c r="B453" s="54"/>
      <c r="C453" s="21">
        <f t="shared" si="66"/>
        <v>1</v>
      </c>
      <c r="D453" s="666"/>
      <c r="E453" s="21">
        <f t="shared" si="67"/>
        <v>0.03</v>
      </c>
      <c r="F453" s="666"/>
      <c r="G453" s="21">
        <f t="shared" si="68"/>
        <v>0.05</v>
      </c>
      <c r="H453" s="666"/>
      <c r="I453" s="21">
        <f t="shared" si="69"/>
        <v>0.01</v>
      </c>
      <c r="J453" s="666"/>
      <c r="K453" s="21">
        <f t="shared" si="70"/>
        <v>0</v>
      </c>
      <c r="L453" s="666"/>
      <c r="M453" s="21">
        <f t="shared" si="71"/>
        <v>1</v>
      </c>
      <c r="N453" s="666"/>
      <c r="O453" s="21">
        <f t="shared" si="72"/>
        <v>1</v>
      </c>
      <c r="P453" s="666"/>
      <c r="Q453" s="21">
        <f t="shared" si="73"/>
        <v>0</v>
      </c>
      <c r="R453" s="662">
        <f t="shared" si="74"/>
        <v>0</v>
      </c>
      <c r="S453" s="316">
        <f t="shared" si="65"/>
        <v>0</v>
      </c>
    </row>
    <row r="454" spans="1:19">
      <c r="A454" s="150"/>
      <c r="B454" s="54"/>
      <c r="C454" s="21">
        <f t="shared" si="66"/>
        <v>1</v>
      </c>
      <c r="D454" s="666"/>
      <c r="E454" s="21">
        <f t="shared" si="67"/>
        <v>0.03</v>
      </c>
      <c r="F454" s="666"/>
      <c r="G454" s="21">
        <f t="shared" si="68"/>
        <v>0.05</v>
      </c>
      <c r="H454" s="666"/>
      <c r="I454" s="21">
        <f t="shared" si="69"/>
        <v>0.01</v>
      </c>
      <c r="J454" s="666"/>
      <c r="K454" s="21">
        <f t="shared" si="70"/>
        <v>0</v>
      </c>
      <c r="L454" s="666"/>
      <c r="M454" s="21">
        <f t="shared" si="71"/>
        <v>1</v>
      </c>
      <c r="N454" s="666"/>
      <c r="O454" s="21">
        <f t="shared" si="72"/>
        <v>1</v>
      </c>
      <c r="P454" s="666"/>
      <c r="Q454" s="21">
        <f t="shared" si="73"/>
        <v>0</v>
      </c>
      <c r="R454" s="662">
        <f t="shared" si="74"/>
        <v>0</v>
      </c>
      <c r="S454" s="316">
        <f t="shared" si="65"/>
        <v>0</v>
      </c>
    </row>
    <row r="455" spans="1:19">
      <c r="A455" s="150"/>
      <c r="B455" s="54"/>
      <c r="C455" s="21">
        <f t="shared" si="66"/>
        <v>1</v>
      </c>
      <c r="D455" s="666"/>
      <c r="E455" s="21">
        <f t="shared" si="67"/>
        <v>0.03</v>
      </c>
      <c r="F455" s="666"/>
      <c r="G455" s="21">
        <f t="shared" si="68"/>
        <v>0.05</v>
      </c>
      <c r="H455" s="666"/>
      <c r="I455" s="21">
        <f t="shared" si="69"/>
        <v>0.01</v>
      </c>
      <c r="J455" s="666"/>
      <c r="K455" s="21">
        <f t="shared" si="70"/>
        <v>0</v>
      </c>
      <c r="L455" s="666"/>
      <c r="M455" s="21">
        <f t="shared" si="71"/>
        <v>1</v>
      </c>
      <c r="N455" s="666"/>
      <c r="O455" s="21">
        <f t="shared" si="72"/>
        <v>1</v>
      </c>
      <c r="P455" s="666"/>
      <c r="Q455" s="21">
        <f t="shared" si="73"/>
        <v>0</v>
      </c>
      <c r="R455" s="662">
        <f t="shared" si="74"/>
        <v>0</v>
      </c>
      <c r="S455" s="316">
        <f t="shared" si="65"/>
        <v>0</v>
      </c>
    </row>
    <row r="456" spans="1:19">
      <c r="A456" s="150"/>
      <c r="B456" s="54"/>
      <c r="C456" s="21">
        <f t="shared" si="66"/>
        <v>1</v>
      </c>
      <c r="D456" s="666"/>
      <c r="E456" s="21">
        <f t="shared" si="67"/>
        <v>0.03</v>
      </c>
      <c r="F456" s="666"/>
      <c r="G456" s="21">
        <f t="shared" si="68"/>
        <v>0.05</v>
      </c>
      <c r="H456" s="666"/>
      <c r="I456" s="21">
        <f t="shared" si="69"/>
        <v>0.01</v>
      </c>
      <c r="J456" s="666"/>
      <c r="K456" s="21">
        <f t="shared" si="70"/>
        <v>0</v>
      </c>
      <c r="L456" s="666"/>
      <c r="M456" s="21">
        <f t="shared" si="71"/>
        <v>1</v>
      </c>
      <c r="N456" s="666"/>
      <c r="O456" s="21">
        <f t="shared" si="72"/>
        <v>1</v>
      </c>
      <c r="P456" s="666"/>
      <c r="Q456" s="21">
        <f t="shared" si="73"/>
        <v>0</v>
      </c>
      <c r="R456" s="662">
        <f t="shared" si="74"/>
        <v>0</v>
      </c>
      <c r="S456" s="316">
        <f t="shared" si="65"/>
        <v>0</v>
      </c>
    </row>
    <row r="457" spans="1:19">
      <c r="A457" s="150"/>
      <c r="B457" s="54"/>
      <c r="C457" s="21">
        <f t="shared" si="66"/>
        <v>1</v>
      </c>
      <c r="D457" s="666"/>
      <c r="E457" s="21">
        <f t="shared" si="67"/>
        <v>0.03</v>
      </c>
      <c r="F457" s="666"/>
      <c r="G457" s="21">
        <f t="shared" si="68"/>
        <v>0.05</v>
      </c>
      <c r="H457" s="666"/>
      <c r="I457" s="21">
        <f t="shared" si="69"/>
        <v>0.01</v>
      </c>
      <c r="J457" s="666"/>
      <c r="K457" s="21">
        <f t="shared" si="70"/>
        <v>0</v>
      </c>
      <c r="L457" s="666"/>
      <c r="M457" s="21">
        <f t="shared" si="71"/>
        <v>1</v>
      </c>
      <c r="N457" s="666"/>
      <c r="O457" s="21">
        <f t="shared" si="72"/>
        <v>1</v>
      </c>
      <c r="P457" s="666"/>
      <c r="Q457" s="21">
        <f t="shared" si="73"/>
        <v>0</v>
      </c>
      <c r="R457" s="662">
        <f t="shared" si="74"/>
        <v>0</v>
      </c>
      <c r="S457" s="316">
        <f t="shared" si="65"/>
        <v>0</v>
      </c>
    </row>
    <row r="458" spans="1:19">
      <c r="A458" s="150"/>
      <c r="B458" s="54"/>
      <c r="C458" s="21">
        <f t="shared" si="66"/>
        <v>1</v>
      </c>
      <c r="D458" s="666"/>
      <c r="E458" s="21">
        <f t="shared" si="67"/>
        <v>0.03</v>
      </c>
      <c r="F458" s="666"/>
      <c r="G458" s="21">
        <f t="shared" si="68"/>
        <v>0.05</v>
      </c>
      <c r="H458" s="666"/>
      <c r="I458" s="21">
        <f t="shared" si="69"/>
        <v>0.01</v>
      </c>
      <c r="J458" s="666"/>
      <c r="K458" s="21">
        <f t="shared" si="70"/>
        <v>0</v>
      </c>
      <c r="L458" s="666"/>
      <c r="M458" s="21">
        <f t="shared" si="71"/>
        <v>1</v>
      </c>
      <c r="N458" s="666"/>
      <c r="O458" s="21">
        <f t="shared" si="72"/>
        <v>1</v>
      </c>
      <c r="P458" s="666"/>
      <c r="Q458" s="21">
        <f t="shared" si="73"/>
        <v>0</v>
      </c>
      <c r="R458" s="662">
        <f t="shared" si="74"/>
        <v>0</v>
      </c>
      <c r="S458" s="316">
        <f t="shared" si="65"/>
        <v>0</v>
      </c>
    </row>
    <row r="459" spans="1:19">
      <c r="A459" s="150"/>
      <c r="B459" s="54"/>
      <c r="C459" s="21">
        <f t="shared" si="66"/>
        <v>1</v>
      </c>
      <c r="D459" s="666"/>
      <c r="E459" s="21">
        <f t="shared" si="67"/>
        <v>0.03</v>
      </c>
      <c r="F459" s="666"/>
      <c r="G459" s="21">
        <f t="shared" si="68"/>
        <v>0.05</v>
      </c>
      <c r="H459" s="666"/>
      <c r="I459" s="21">
        <f t="shared" si="69"/>
        <v>0.01</v>
      </c>
      <c r="J459" s="666"/>
      <c r="K459" s="21">
        <f t="shared" si="70"/>
        <v>0</v>
      </c>
      <c r="L459" s="666"/>
      <c r="M459" s="21">
        <f t="shared" si="71"/>
        <v>1</v>
      </c>
      <c r="N459" s="666"/>
      <c r="O459" s="21">
        <f t="shared" si="72"/>
        <v>1</v>
      </c>
      <c r="P459" s="666"/>
      <c r="Q459" s="21">
        <f t="shared" si="73"/>
        <v>0</v>
      </c>
      <c r="R459" s="662">
        <f t="shared" si="74"/>
        <v>0</v>
      </c>
      <c r="S459" s="316">
        <f t="shared" si="65"/>
        <v>0</v>
      </c>
    </row>
    <row r="460" spans="1:19">
      <c r="A460" s="150"/>
      <c r="B460" s="54"/>
      <c r="C460" s="21">
        <f t="shared" si="66"/>
        <v>1</v>
      </c>
      <c r="D460" s="666"/>
      <c r="E460" s="21">
        <f t="shared" si="67"/>
        <v>0.03</v>
      </c>
      <c r="F460" s="666"/>
      <c r="G460" s="21">
        <f t="shared" si="68"/>
        <v>0.05</v>
      </c>
      <c r="H460" s="666"/>
      <c r="I460" s="21">
        <f t="shared" si="69"/>
        <v>0.01</v>
      </c>
      <c r="J460" s="666"/>
      <c r="K460" s="21">
        <f t="shared" si="70"/>
        <v>0</v>
      </c>
      <c r="L460" s="666"/>
      <c r="M460" s="21">
        <f t="shared" si="71"/>
        <v>1</v>
      </c>
      <c r="N460" s="666"/>
      <c r="O460" s="21">
        <f t="shared" si="72"/>
        <v>1</v>
      </c>
      <c r="P460" s="666"/>
      <c r="Q460" s="21">
        <f t="shared" si="73"/>
        <v>0</v>
      </c>
      <c r="R460" s="662">
        <f t="shared" si="74"/>
        <v>0</v>
      </c>
      <c r="S460" s="316">
        <f t="shared" si="65"/>
        <v>0</v>
      </c>
    </row>
    <row r="461" spans="1:19">
      <c r="A461" s="150"/>
      <c r="B461" s="54"/>
      <c r="C461" s="21">
        <f t="shared" si="66"/>
        <v>1</v>
      </c>
      <c r="D461" s="666"/>
      <c r="E461" s="21">
        <f t="shared" si="67"/>
        <v>0.03</v>
      </c>
      <c r="F461" s="666"/>
      <c r="G461" s="21">
        <f t="shared" si="68"/>
        <v>0.05</v>
      </c>
      <c r="H461" s="666"/>
      <c r="I461" s="21">
        <f t="shared" si="69"/>
        <v>0.01</v>
      </c>
      <c r="J461" s="666"/>
      <c r="K461" s="21">
        <f t="shared" si="70"/>
        <v>0</v>
      </c>
      <c r="L461" s="666"/>
      <c r="M461" s="21">
        <f t="shared" si="71"/>
        <v>1</v>
      </c>
      <c r="N461" s="666"/>
      <c r="O461" s="21">
        <f t="shared" si="72"/>
        <v>1</v>
      </c>
      <c r="P461" s="666"/>
      <c r="Q461" s="21">
        <f t="shared" si="73"/>
        <v>0</v>
      </c>
      <c r="R461" s="662">
        <f t="shared" si="74"/>
        <v>0</v>
      </c>
      <c r="S461" s="316">
        <f t="shared" si="65"/>
        <v>0</v>
      </c>
    </row>
    <row r="462" spans="1:19">
      <c r="A462" s="150"/>
      <c r="B462" s="54"/>
      <c r="C462" s="21">
        <f t="shared" si="66"/>
        <v>1</v>
      </c>
      <c r="D462" s="666"/>
      <c r="E462" s="21">
        <f t="shared" si="67"/>
        <v>0.03</v>
      </c>
      <c r="F462" s="666"/>
      <c r="G462" s="21">
        <f t="shared" si="68"/>
        <v>0.05</v>
      </c>
      <c r="H462" s="666"/>
      <c r="I462" s="21">
        <f t="shared" si="69"/>
        <v>0.01</v>
      </c>
      <c r="J462" s="666"/>
      <c r="K462" s="21">
        <f t="shared" si="70"/>
        <v>0</v>
      </c>
      <c r="L462" s="666"/>
      <c r="M462" s="21">
        <f t="shared" si="71"/>
        <v>1</v>
      </c>
      <c r="N462" s="666"/>
      <c r="O462" s="21">
        <f t="shared" si="72"/>
        <v>1</v>
      </c>
      <c r="P462" s="666"/>
      <c r="Q462" s="21">
        <f t="shared" si="73"/>
        <v>0</v>
      </c>
      <c r="R462" s="662">
        <f t="shared" si="74"/>
        <v>0</v>
      </c>
      <c r="S462" s="316">
        <f t="shared" si="65"/>
        <v>0</v>
      </c>
    </row>
    <row r="463" spans="1:19">
      <c r="A463" s="150"/>
      <c r="B463" s="54"/>
      <c r="C463" s="21">
        <f t="shared" si="66"/>
        <v>1</v>
      </c>
      <c r="D463" s="666"/>
      <c r="E463" s="21">
        <f t="shared" si="67"/>
        <v>0.03</v>
      </c>
      <c r="F463" s="666"/>
      <c r="G463" s="21">
        <f t="shared" si="68"/>
        <v>0.05</v>
      </c>
      <c r="H463" s="666"/>
      <c r="I463" s="21">
        <f t="shared" si="69"/>
        <v>0.01</v>
      </c>
      <c r="J463" s="666"/>
      <c r="K463" s="21">
        <f t="shared" si="70"/>
        <v>0</v>
      </c>
      <c r="L463" s="666"/>
      <c r="M463" s="21">
        <f t="shared" si="71"/>
        <v>1</v>
      </c>
      <c r="N463" s="666"/>
      <c r="O463" s="21">
        <f t="shared" si="72"/>
        <v>1</v>
      </c>
      <c r="P463" s="666"/>
      <c r="Q463" s="21">
        <f t="shared" si="73"/>
        <v>0</v>
      </c>
      <c r="R463" s="662">
        <f t="shared" si="74"/>
        <v>0</v>
      </c>
      <c r="S463" s="316">
        <f t="shared" si="65"/>
        <v>0</v>
      </c>
    </row>
    <row r="464" spans="1:19">
      <c r="A464" s="150"/>
      <c r="B464" s="54"/>
      <c r="C464" s="21">
        <f t="shared" si="66"/>
        <v>1</v>
      </c>
      <c r="D464" s="666"/>
      <c r="E464" s="21">
        <f t="shared" si="67"/>
        <v>0.03</v>
      </c>
      <c r="F464" s="666"/>
      <c r="G464" s="21">
        <f t="shared" si="68"/>
        <v>0.05</v>
      </c>
      <c r="H464" s="666"/>
      <c r="I464" s="21">
        <f t="shared" si="69"/>
        <v>0.01</v>
      </c>
      <c r="J464" s="666"/>
      <c r="K464" s="21">
        <f t="shared" si="70"/>
        <v>0</v>
      </c>
      <c r="L464" s="666"/>
      <c r="M464" s="21">
        <f t="shared" si="71"/>
        <v>1</v>
      </c>
      <c r="N464" s="666"/>
      <c r="O464" s="21">
        <f t="shared" si="72"/>
        <v>1</v>
      </c>
      <c r="P464" s="666"/>
      <c r="Q464" s="21">
        <f t="shared" si="73"/>
        <v>0</v>
      </c>
      <c r="R464" s="662">
        <f t="shared" si="74"/>
        <v>0</v>
      </c>
      <c r="S464" s="316">
        <f t="shared" si="65"/>
        <v>0</v>
      </c>
    </row>
    <row r="465" spans="1:19">
      <c r="A465" s="150"/>
      <c r="B465" s="54"/>
      <c r="C465" s="21">
        <f t="shared" si="66"/>
        <v>1</v>
      </c>
      <c r="D465" s="666"/>
      <c r="E465" s="21">
        <f t="shared" si="67"/>
        <v>0.03</v>
      </c>
      <c r="F465" s="666"/>
      <c r="G465" s="21">
        <f t="shared" si="68"/>
        <v>0.05</v>
      </c>
      <c r="H465" s="666"/>
      <c r="I465" s="21">
        <f t="shared" si="69"/>
        <v>0.01</v>
      </c>
      <c r="J465" s="666"/>
      <c r="K465" s="21">
        <f t="shared" si="70"/>
        <v>0</v>
      </c>
      <c r="L465" s="666"/>
      <c r="M465" s="21">
        <f t="shared" si="71"/>
        <v>1</v>
      </c>
      <c r="N465" s="666"/>
      <c r="O465" s="21">
        <f t="shared" si="72"/>
        <v>1</v>
      </c>
      <c r="P465" s="666"/>
      <c r="Q465" s="21">
        <f t="shared" si="73"/>
        <v>0</v>
      </c>
      <c r="R465" s="662">
        <f t="shared" si="74"/>
        <v>0</v>
      </c>
      <c r="S465" s="316">
        <f t="shared" si="65"/>
        <v>0</v>
      </c>
    </row>
    <row r="466" spans="1:19">
      <c r="A466" s="150"/>
      <c r="B466" s="54"/>
      <c r="C466" s="21">
        <f t="shared" si="66"/>
        <v>1</v>
      </c>
      <c r="D466" s="666"/>
      <c r="E466" s="21">
        <f t="shared" si="67"/>
        <v>0.03</v>
      </c>
      <c r="F466" s="666"/>
      <c r="G466" s="21">
        <f t="shared" si="68"/>
        <v>0.05</v>
      </c>
      <c r="H466" s="666"/>
      <c r="I466" s="21">
        <f t="shared" si="69"/>
        <v>0.01</v>
      </c>
      <c r="J466" s="666"/>
      <c r="K466" s="21">
        <f t="shared" si="70"/>
        <v>0</v>
      </c>
      <c r="L466" s="666"/>
      <c r="M466" s="21">
        <f t="shared" si="71"/>
        <v>1</v>
      </c>
      <c r="N466" s="666"/>
      <c r="O466" s="21">
        <f t="shared" si="72"/>
        <v>1</v>
      </c>
      <c r="P466" s="666"/>
      <c r="Q466" s="21">
        <f t="shared" si="73"/>
        <v>0</v>
      </c>
      <c r="R466" s="662">
        <f t="shared" si="74"/>
        <v>0</v>
      </c>
      <c r="S466" s="316">
        <f t="shared" si="65"/>
        <v>0</v>
      </c>
    </row>
    <row r="467" spans="1:19">
      <c r="A467" s="150"/>
      <c r="B467" s="54"/>
      <c r="C467" s="21">
        <f t="shared" si="66"/>
        <v>1</v>
      </c>
      <c r="D467" s="666"/>
      <c r="E467" s="21">
        <f t="shared" si="67"/>
        <v>0.03</v>
      </c>
      <c r="F467" s="666"/>
      <c r="G467" s="21">
        <f t="shared" si="68"/>
        <v>0.05</v>
      </c>
      <c r="H467" s="666"/>
      <c r="I467" s="21">
        <f t="shared" si="69"/>
        <v>0.01</v>
      </c>
      <c r="J467" s="666"/>
      <c r="K467" s="21">
        <f t="shared" si="70"/>
        <v>0</v>
      </c>
      <c r="L467" s="666"/>
      <c r="M467" s="21">
        <f t="shared" si="71"/>
        <v>1</v>
      </c>
      <c r="N467" s="666"/>
      <c r="O467" s="21">
        <f t="shared" si="72"/>
        <v>1</v>
      </c>
      <c r="P467" s="666"/>
      <c r="Q467" s="21">
        <f t="shared" si="73"/>
        <v>0</v>
      </c>
      <c r="R467" s="662">
        <f t="shared" si="74"/>
        <v>0</v>
      </c>
      <c r="S467" s="316">
        <f t="shared" si="65"/>
        <v>0</v>
      </c>
    </row>
    <row r="468" spans="1:19">
      <c r="A468" s="150"/>
      <c r="B468" s="54"/>
      <c r="C468" s="21">
        <f t="shared" si="66"/>
        <v>1</v>
      </c>
      <c r="D468" s="666"/>
      <c r="E468" s="21">
        <f t="shared" si="67"/>
        <v>0.03</v>
      </c>
      <c r="F468" s="666"/>
      <c r="G468" s="21">
        <f t="shared" si="68"/>
        <v>0.05</v>
      </c>
      <c r="H468" s="666"/>
      <c r="I468" s="21">
        <f t="shared" si="69"/>
        <v>0.01</v>
      </c>
      <c r="J468" s="666"/>
      <c r="K468" s="21">
        <f t="shared" si="70"/>
        <v>0</v>
      </c>
      <c r="L468" s="666"/>
      <c r="M468" s="21">
        <f t="shared" si="71"/>
        <v>1</v>
      </c>
      <c r="N468" s="666"/>
      <c r="O468" s="21">
        <f t="shared" si="72"/>
        <v>1</v>
      </c>
      <c r="P468" s="666"/>
      <c r="Q468" s="21">
        <f t="shared" si="73"/>
        <v>0</v>
      </c>
      <c r="R468" s="662">
        <f t="shared" si="74"/>
        <v>0</v>
      </c>
      <c r="S468" s="316">
        <f t="shared" si="65"/>
        <v>0</v>
      </c>
    </row>
    <row r="469" spans="1:19">
      <c r="A469" s="150"/>
      <c r="B469" s="54"/>
      <c r="C469" s="21">
        <f t="shared" si="66"/>
        <v>1</v>
      </c>
      <c r="D469" s="666"/>
      <c r="E469" s="21">
        <f t="shared" si="67"/>
        <v>0.03</v>
      </c>
      <c r="F469" s="666"/>
      <c r="G469" s="21">
        <f t="shared" si="68"/>
        <v>0.05</v>
      </c>
      <c r="H469" s="666"/>
      <c r="I469" s="21">
        <f t="shared" si="69"/>
        <v>0.01</v>
      </c>
      <c r="J469" s="666"/>
      <c r="K469" s="21">
        <f t="shared" si="70"/>
        <v>0</v>
      </c>
      <c r="L469" s="666"/>
      <c r="M469" s="21">
        <f t="shared" si="71"/>
        <v>1</v>
      </c>
      <c r="N469" s="666"/>
      <c r="O469" s="21">
        <f t="shared" si="72"/>
        <v>1</v>
      </c>
      <c r="P469" s="666"/>
      <c r="Q469" s="21">
        <f t="shared" si="73"/>
        <v>0</v>
      </c>
      <c r="R469" s="662">
        <f t="shared" si="74"/>
        <v>0</v>
      </c>
      <c r="S469" s="316">
        <f t="shared" si="65"/>
        <v>0</v>
      </c>
    </row>
    <row r="470" spans="1:19">
      <c r="A470" s="150"/>
      <c r="B470" s="54"/>
      <c r="C470" s="21">
        <f t="shared" si="66"/>
        <v>1</v>
      </c>
      <c r="D470" s="666"/>
      <c r="E470" s="21">
        <f t="shared" si="67"/>
        <v>0.03</v>
      </c>
      <c r="F470" s="666"/>
      <c r="G470" s="21">
        <f t="shared" si="68"/>
        <v>0.05</v>
      </c>
      <c r="H470" s="666"/>
      <c r="I470" s="21">
        <f t="shared" si="69"/>
        <v>0.01</v>
      </c>
      <c r="J470" s="666"/>
      <c r="K470" s="21">
        <f t="shared" si="70"/>
        <v>0</v>
      </c>
      <c r="L470" s="666"/>
      <c r="M470" s="21">
        <f t="shared" si="71"/>
        <v>1</v>
      </c>
      <c r="N470" s="666"/>
      <c r="O470" s="21">
        <f t="shared" si="72"/>
        <v>1</v>
      </c>
      <c r="P470" s="666"/>
      <c r="Q470" s="21">
        <f t="shared" si="73"/>
        <v>0</v>
      </c>
      <c r="R470" s="662">
        <f t="shared" si="74"/>
        <v>0</v>
      </c>
      <c r="S470" s="316">
        <f t="shared" si="65"/>
        <v>0</v>
      </c>
    </row>
    <row r="471" spans="1:19">
      <c r="A471" s="150"/>
      <c r="B471" s="54"/>
      <c r="C471" s="21">
        <f t="shared" si="66"/>
        <v>1</v>
      </c>
      <c r="D471" s="666"/>
      <c r="E471" s="21">
        <f t="shared" si="67"/>
        <v>0.03</v>
      </c>
      <c r="F471" s="666"/>
      <c r="G471" s="21">
        <f t="shared" si="68"/>
        <v>0.05</v>
      </c>
      <c r="H471" s="666"/>
      <c r="I471" s="21">
        <f t="shared" si="69"/>
        <v>0.01</v>
      </c>
      <c r="J471" s="666"/>
      <c r="K471" s="21">
        <f t="shared" si="70"/>
        <v>0</v>
      </c>
      <c r="L471" s="666"/>
      <c r="M471" s="21">
        <f t="shared" si="71"/>
        <v>1</v>
      </c>
      <c r="N471" s="666"/>
      <c r="O471" s="21">
        <f t="shared" si="72"/>
        <v>1</v>
      </c>
      <c r="P471" s="666"/>
      <c r="Q471" s="21">
        <f t="shared" si="73"/>
        <v>0</v>
      </c>
      <c r="R471" s="662">
        <f t="shared" si="74"/>
        <v>0</v>
      </c>
      <c r="S471" s="316">
        <f t="shared" si="65"/>
        <v>0</v>
      </c>
    </row>
    <row r="472" spans="1:19">
      <c r="A472" s="150"/>
      <c r="B472" s="54"/>
      <c r="C472" s="21">
        <f t="shared" si="66"/>
        <v>1</v>
      </c>
      <c r="D472" s="666"/>
      <c r="E472" s="21">
        <f t="shared" si="67"/>
        <v>0.03</v>
      </c>
      <c r="F472" s="666"/>
      <c r="G472" s="21">
        <f t="shared" si="68"/>
        <v>0.05</v>
      </c>
      <c r="H472" s="666"/>
      <c r="I472" s="21">
        <f t="shared" si="69"/>
        <v>0.01</v>
      </c>
      <c r="J472" s="666"/>
      <c r="K472" s="21">
        <f t="shared" si="70"/>
        <v>0</v>
      </c>
      <c r="L472" s="666"/>
      <c r="M472" s="21">
        <f t="shared" si="71"/>
        <v>1</v>
      </c>
      <c r="N472" s="666"/>
      <c r="O472" s="21">
        <f t="shared" si="72"/>
        <v>1</v>
      </c>
      <c r="P472" s="666"/>
      <c r="Q472" s="21">
        <f t="shared" si="73"/>
        <v>0</v>
      </c>
      <c r="R472" s="662">
        <f t="shared" si="74"/>
        <v>0</v>
      </c>
      <c r="S472" s="316">
        <f t="shared" ref="S472:S524" si="75">ROUND(R472*B472/10000,0)</f>
        <v>0</v>
      </c>
    </row>
    <row r="473" spans="1:19">
      <c r="A473" s="150"/>
      <c r="B473" s="54"/>
      <c r="C473" s="21">
        <f t="shared" si="66"/>
        <v>1</v>
      </c>
      <c r="D473" s="666"/>
      <c r="E473" s="21">
        <f t="shared" si="67"/>
        <v>0.03</v>
      </c>
      <c r="F473" s="666"/>
      <c r="G473" s="21">
        <f t="shared" si="68"/>
        <v>0.05</v>
      </c>
      <c r="H473" s="666"/>
      <c r="I473" s="21">
        <f t="shared" si="69"/>
        <v>0.01</v>
      </c>
      <c r="J473" s="666"/>
      <c r="K473" s="21">
        <f t="shared" si="70"/>
        <v>0</v>
      </c>
      <c r="L473" s="666"/>
      <c r="M473" s="21">
        <f t="shared" si="71"/>
        <v>1</v>
      </c>
      <c r="N473" s="666"/>
      <c r="O473" s="21">
        <f t="shared" si="72"/>
        <v>1</v>
      </c>
      <c r="P473" s="666"/>
      <c r="Q473" s="21">
        <f t="shared" si="73"/>
        <v>0</v>
      </c>
      <c r="R473" s="662">
        <f t="shared" si="74"/>
        <v>0</v>
      </c>
      <c r="S473" s="316">
        <f t="shared" si="75"/>
        <v>0</v>
      </c>
    </row>
    <row r="474" spans="1:19">
      <c r="A474" s="150"/>
      <c r="B474" s="54"/>
      <c r="C474" s="21">
        <f t="shared" ref="C474:C524" si="76">IF(B474="",1,(LOOKUP(B474,$3:$3,$4:$4)-LOOKUP($B$24,$3:$3,$4:$4)+100)/100)</f>
        <v>1</v>
      </c>
      <c r="D474" s="666"/>
      <c r="E474" s="21">
        <f t="shared" ref="E474:E524" si="77">(SUMIF($5:$5,D474,$6:$6)-SUMIF($5:$5,$D$24,$6:$6)+100)/100</f>
        <v>0.03</v>
      </c>
      <c r="F474" s="666"/>
      <c r="G474" s="21">
        <f t="shared" ref="G474:G524" si="78">(SUMIF($7:$7,F474,$8:$8)-SUMIF($7:$7,$F$24,$8:$8)+100)/100</f>
        <v>0.05</v>
      </c>
      <c r="H474" s="666"/>
      <c r="I474" s="21">
        <f t="shared" ref="I474:I524" si="79">(SUMIF($9:$9,H474,$10:$10)-SUMIF($9:$9,$H$24,$10:$10)+100)/100</f>
        <v>0.01</v>
      </c>
      <c r="J474" s="666"/>
      <c r="K474" s="21">
        <f t="shared" ref="K474:K524" si="80">(SUMIF($11:$11,J474,$12:$12)-SUMIF($11:$11,$J$24,$12:$12)+100)/100</f>
        <v>0</v>
      </c>
      <c r="L474" s="666"/>
      <c r="M474" s="21">
        <f t="shared" ref="M474:M524" si="81">(SUMIF($13:$13,L474,$14:$14)-SUMIF($13:$13,$L$24,$14:$14)+100)/100</f>
        <v>1</v>
      </c>
      <c r="N474" s="666"/>
      <c r="O474" s="21">
        <f t="shared" ref="O474:O524" si="82">(SUMIF($15:$15,N474,$16:$16)-SUMIF($15:$15,$N$24,$16:$16)+100)/100</f>
        <v>1</v>
      </c>
      <c r="P474" s="666"/>
      <c r="Q474" s="21">
        <f t="shared" ref="Q474:Q524" si="83">(SUMIF($17:$17,P474,$18:$18)-SUMIF($17:$17,$P$24,$18:$18)+100)/100</f>
        <v>0</v>
      </c>
      <c r="R474" s="662">
        <f t="shared" ref="R474:R524" si="84">IF(B474="",0,ROUND($R$24*C474*E474*G474*I474*K474*M474*O474*Q474,0))</f>
        <v>0</v>
      </c>
      <c r="S474" s="316">
        <f t="shared" si="75"/>
        <v>0</v>
      </c>
    </row>
    <row r="475" spans="1:19">
      <c r="A475" s="150"/>
      <c r="B475" s="54"/>
      <c r="C475" s="21">
        <f t="shared" si="76"/>
        <v>1</v>
      </c>
      <c r="D475" s="666"/>
      <c r="E475" s="21">
        <f t="shared" si="77"/>
        <v>0.03</v>
      </c>
      <c r="F475" s="666"/>
      <c r="G475" s="21">
        <f t="shared" si="78"/>
        <v>0.05</v>
      </c>
      <c r="H475" s="666"/>
      <c r="I475" s="21">
        <f t="shared" si="79"/>
        <v>0.01</v>
      </c>
      <c r="J475" s="666"/>
      <c r="K475" s="21">
        <f t="shared" si="80"/>
        <v>0</v>
      </c>
      <c r="L475" s="666"/>
      <c r="M475" s="21">
        <f t="shared" si="81"/>
        <v>1</v>
      </c>
      <c r="N475" s="666"/>
      <c r="O475" s="21">
        <f t="shared" si="82"/>
        <v>1</v>
      </c>
      <c r="P475" s="666"/>
      <c r="Q475" s="21">
        <f t="shared" si="83"/>
        <v>0</v>
      </c>
      <c r="R475" s="662">
        <f t="shared" si="84"/>
        <v>0</v>
      </c>
      <c r="S475" s="316">
        <f t="shared" si="75"/>
        <v>0</v>
      </c>
    </row>
    <row r="476" spans="1:19">
      <c r="A476" s="150"/>
      <c r="B476" s="54"/>
      <c r="C476" s="21">
        <f t="shared" si="76"/>
        <v>1</v>
      </c>
      <c r="D476" s="666"/>
      <c r="E476" s="21">
        <f t="shared" si="77"/>
        <v>0.03</v>
      </c>
      <c r="F476" s="666"/>
      <c r="G476" s="21">
        <f t="shared" si="78"/>
        <v>0.05</v>
      </c>
      <c r="H476" s="666"/>
      <c r="I476" s="21">
        <f t="shared" si="79"/>
        <v>0.01</v>
      </c>
      <c r="J476" s="666"/>
      <c r="K476" s="21">
        <f t="shared" si="80"/>
        <v>0</v>
      </c>
      <c r="L476" s="666"/>
      <c r="M476" s="21">
        <f t="shared" si="81"/>
        <v>1</v>
      </c>
      <c r="N476" s="666"/>
      <c r="O476" s="21">
        <f t="shared" si="82"/>
        <v>1</v>
      </c>
      <c r="P476" s="666"/>
      <c r="Q476" s="21">
        <f t="shared" si="83"/>
        <v>0</v>
      </c>
      <c r="R476" s="662">
        <f t="shared" si="84"/>
        <v>0</v>
      </c>
      <c r="S476" s="316">
        <f t="shared" si="75"/>
        <v>0</v>
      </c>
    </row>
    <row r="477" spans="1:19">
      <c r="A477" s="150"/>
      <c r="B477" s="54"/>
      <c r="C477" s="21">
        <f t="shared" si="76"/>
        <v>1</v>
      </c>
      <c r="D477" s="666"/>
      <c r="E477" s="21">
        <f t="shared" si="77"/>
        <v>0.03</v>
      </c>
      <c r="F477" s="666"/>
      <c r="G477" s="21">
        <f t="shared" si="78"/>
        <v>0.05</v>
      </c>
      <c r="H477" s="666"/>
      <c r="I477" s="21">
        <f t="shared" si="79"/>
        <v>0.01</v>
      </c>
      <c r="J477" s="666"/>
      <c r="K477" s="21">
        <f t="shared" si="80"/>
        <v>0</v>
      </c>
      <c r="L477" s="666"/>
      <c r="M477" s="21">
        <f t="shared" si="81"/>
        <v>1</v>
      </c>
      <c r="N477" s="666"/>
      <c r="O477" s="21">
        <f t="shared" si="82"/>
        <v>1</v>
      </c>
      <c r="P477" s="666"/>
      <c r="Q477" s="21">
        <f t="shared" si="83"/>
        <v>0</v>
      </c>
      <c r="R477" s="662">
        <f t="shared" si="84"/>
        <v>0</v>
      </c>
      <c r="S477" s="316">
        <f t="shared" si="75"/>
        <v>0</v>
      </c>
    </row>
    <row r="478" spans="1:19">
      <c r="A478" s="150"/>
      <c r="B478" s="54"/>
      <c r="C478" s="21">
        <f t="shared" si="76"/>
        <v>1</v>
      </c>
      <c r="D478" s="666"/>
      <c r="E478" s="21">
        <f t="shared" si="77"/>
        <v>0.03</v>
      </c>
      <c r="F478" s="666"/>
      <c r="G478" s="21">
        <f t="shared" si="78"/>
        <v>0.05</v>
      </c>
      <c r="H478" s="666"/>
      <c r="I478" s="21">
        <f t="shared" si="79"/>
        <v>0.01</v>
      </c>
      <c r="J478" s="666"/>
      <c r="K478" s="21">
        <f t="shared" si="80"/>
        <v>0</v>
      </c>
      <c r="L478" s="666"/>
      <c r="M478" s="21">
        <f t="shared" si="81"/>
        <v>1</v>
      </c>
      <c r="N478" s="666"/>
      <c r="O478" s="21">
        <f t="shared" si="82"/>
        <v>1</v>
      </c>
      <c r="P478" s="666"/>
      <c r="Q478" s="21">
        <f t="shared" si="83"/>
        <v>0</v>
      </c>
      <c r="R478" s="662">
        <f t="shared" si="84"/>
        <v>0</v>
      </c>
      <c r="S478" s="316">
        <f t="shared" si="75"/>
        <v>0</v>
      </c>
    </row>
    <row r="479" spans="1:19">
      <c r="A479" s="150"/>
      <c r="B479" s="54"/>
      <c r="C479" s="21">
        <f t="shared" si="76"/>
        <v>1</v>
      </c>
      <c r="D479" s="666"/>
      <c r="E479" s="21">
        <f t="shared" si="77"/>
        <v>0.03</v>
      </c>
      <c r="F479" s="666"/>
      <c r="G479" s="21">
        <f t="shared" si="78"/>
        <v>0.05</v>
      </c>
      <c r="H479" s="666"/>
      <c r="I479" s="21">
        <f t="shared" si="79"/>
        <v>0.01</v>
      </c>
      <c r="J479" s="666"/>
      <c r="K479" s="21">
        <f t="shared" si="80"/>
        <v>0</v>
      </c>
      <c r="L479" s="666"/>
      <c r="M479" s="21">
        <f t="shared" si="81"/>
        <v>1</v>
      </c>
      <c r="N479" s="666"/>
      <c r="O479" s="21">
        <f t="shared" si="82"/>
        <v>1</v>
      </c>
      <c r="P479" s="666"/>
      <c r="Q479" s="21">
        <f t="shared" si="83"/>
        <v>0</v>
      </c>
      <c r="R479" s="662">
        <f t="shared" si="84"/>
        <v>0</v>
      </c>
      <c r="S479" s="316">
        <f t="shared" si="75"/>
        <v>0</v>
      </c>
    </row>
    <row r="480" spans="1:19">
      <c r="A480" s="150"/>
      <c r="B480" s="54"/>
      <c r="C480" s="21">
        <f t="shared" si="76"/>
        <v>1</v>
      </c>
      <c r="D480" s="666"/>
      <c r="E480" s="21">
        <f t="shared" si="77"/>
        <v>0.03</v>
      </c>
      <c r="F480" s="666"/>
      <c r="G480" s="21">
        <f t="shared" si="78"/>
        <v>0.05</v>
      </c>
      <c r="H480" s="666"/>
      <c r="I480" s="21">
        <f t="shared" si="79"/>
        <v>0.01</v>
      </c>
      <c r="J480" s="666"/>
      <c r="K480" s="21">
        <f t="shared" si="80"/>
        <v>0</v>
      </c>
      <c r="L480" s="666"/>
      <c r="M480" s="21">
        <f t="shared" si="81"/>
        <v>1</v>
      </c>
      <c r="N480" s="666"/>
      <c r="O480" s="21">
        <f t="shared" si="82"/>
        <v>1</v>
      </c>
      <c r="P480" s="666"/>
      <c r="Q480" s="21">
        <f t="shared" si="83"/>
        <v>0</v>
      </c>
      <c r="R480" s="662">
        <f t="shared" si="84"/>
        <v>0</v>
      </c>
      <c r="S480" s="316">
        <f t="shared" si="75"/>
        <v>0</v>
      </c>
    </row>
    <row r="481" spans="1:19">
      <c r="A481" s="150"/>
      <c r="B481" s="54"/>
      <c r="C481" s="21">
        <f t="shared" si="76"/>
        <v>1</v>
      </c>
      <c r="D481" s="666"/>
      <c r="E481" s="21">
        <f t="shared" si="77"/>
        <v>0.03</v>
      </c>
      <c r="F481" s="666"/>
      <c r="G481" s="21">
        <f t="shared" si="78"/>
        <v>0.05</v>
      </c>
      <c r="H481" s="666"/>
      <c r="I481" s="21">
        <f t="shared" si="79"/>
        <v>0.01</v>
      </c>
      <c r="J481" s="666"/>
      <c r="K481" s="21">
        <f t="shared" si="80"/>
        <v>0</v>
      </c>
      <c r="L481" s="666"/>
      <c r="M481" s="21">
        <f t="shared" si="81"/>
        <v>1</v>
      </c>
      <c r="N481" s="666"/>
      <c r="O481" s="21">
        <f t="shared" si="82"/>
        <v>1</v>
      </c>
      <c r="P481" s="666"/>
      <c r="Q481" s="21">
        <f t="shared" si="83"/>
        <v>0</v>
      </c>
      <c r="R481" s="662">
        <f t="shared" si="84"/>
        <v>0</v>
      </c>
      <c r="S481" s="316">
        <f t="shared" si="75"/>
        <v>0</v>
      </c>
    </row>
    <row r="482" spans="1:19">
      <c r="A482" s="150"/>
      <c r="B482" s="54"/>
      <c r="C482" s="21">
        <f t="shared" si="76"/>
        <v>1</v>
      </c>
      <c r="D482" s="666"/>
      <c r="E482" s="21">
        <f t="shared" si="77"/>
        <v>0.03</v>
      </c>
      <c r="F482" s="666"/>
      <c r="G482" s="21">
        <f t="shared" si="78"/>
        <v>0.05</v>
      </c>
      <c r="H482" s="666"/>
      <c r="I482" s="21">
        <f t="shared" si="79"/>
        <v>0.01</v>
      </c>
      <c r="J482" s="666"/>
      <c r="K482" s="21">
        <f t="shared" si="80"/>
        <v>0</v>
      </c>
      <c r="L482" s="666"/>
      <c r="M482" s="21">
        <f t="shared" si="81"/>
        <v>1</v>
      </c>
      <c r="N482" s="666"/>
      <c r="O482" s="21">
        <f t="shared" si="82"/>
        <v>1</v>
      </c>
      <c r="P482" s="666"/>
      <c r="Q482" s="21">
        <f t="shared" si="83"/>
        <v>0</v>
      </c>
      <c r="R482" s="662">
        <f t="shared" si="84"/>
        <v>0</v>
      </c>
      <c r="S482" s="316">
        <f t="shared" si="75"/>
        <v>0</v>
      </c>
    </row>
    <row r="483" spans="1:19">
      <c r="A483" s="150"/>
      <c r="B483" s="54"/>
      <c r="C483" s="21">
        <f t="shared" si="76"/>
        <v>1</v>
      </c>
      <c r="D483" s="666"/>
      <c r="E483" s="21">
        <f t="shared" si="77"/>
        <v>0.03</v>
      </c>
      <c r="F483" s="666"/>
      <c r="G483" s="21">
        <f t="shared" si="78"/>
        <v>0.05</v>
      </c>
      <c r="H483" s="666"/>
      <c r="I483" s="21">
        <f t="shared" si="79"/>
        <v>0.01</v>
      </c>
      <c r="J483" s="666"/>
      <c r="K483" s="21">
        <f t="shared" si="80"/>
        <v>0</v>
      </c>
      <c r="L483" s="666"/>
      <c r="M483" s="21">
        <f t="shared" si="81"/>
        <v>1</v>
      </c>
      <c r="N483" s="666"/>
      <c r="O483" s="21">
        <f t="shared" si="82"/>
        <v>1</v>
      </c>
      <c r="P483" s="666"/>
      <c r="Q483" s="21">
        <f t="shared" si="83"/>
        <v>0</v>
      </c>
      <c r="R483" s="662">
        <f t="shared" si="84"/>
        <v>0</v>
      </c>
      <c r="S483" s="316">
        <f t="shared" si="75"/>
        <v>0</v>
      </c>
    </row>
    <row r="484" spans="1:19">
      <c r="A484" s="150"/>
      <c r="B484" s="54"/>
      <c r="C484" s="21">
        <f t="shared" si="76"/>
        <v>1</v>
      </c>
      <c r="D484" s="666"/>
      <c r="E484" s="21">
        <f t="shared" si="77"/>
        <v>0.03</v>
      </c>
      <c r="F484" s="666"/>
      <c r="G484" s="21">
        <f t="shared" si="78"/>
        <v>0.05</v>
      </c>
      <c r="H484" s="666"/>
      <c r="I484" s="21">
        <f t="shared" si="79"/>
        <v>0.01</v>
      </c>
      <c r="J484" s="666"/>
      <c r="K484" s="21">
        <f t="shared" si="80"/>
        <v>0</v>
      </c>
      <c r="L484" s="666"/>
      <c r="M484" s="21">
        <f t="shared" si="81"/>
        <v>1</v>
      </c>
      <c r="N484" s="666"/>
      <c r="O484" s="21">
        <f t="shared" si="82"/>
        <v>1</v>
      </c>
      <c r="P484" s="666"/>
      <c r="Q484" s="21">
        <f t="shared" si="83"/>
        <v>0</v>
      </c>
      <c r="R484" s="662">
        <f t="shared" si="84"/>
        <v>0</v>
      </c>
      <c r="S484" s="316">
        <f t="shared" si="75"/>
        <v>0</v>
      </c>
    </row>
    <row r="485" spans="1:19">
      <c r="A485" s="150"/>
      <c r="B485" s="54"/>
      <c r="C485" s="21">
        <f t="shared" si="76"/>
        <v>1</v>
      </c>
      <c r="D485" s="666"/>
      <c r="E485" s="21">
        <f t="shared" si="77"/>
        <v>0.03</v>
      </c>
      <c r="F485" s="666"/>
      <c r="G485" s="21">
        <f t="shared" si="78"/>
        <v>0.05</v>
      </c>
      <c r="H485" s="666"/>
      <c r="I485" s="21">
        <f t="shared" si="79"/>
        <v>0.01</v>
      </c>
      <c r="J485" s="666"/>
      <c r="K485" s="21">
        <f t="shared" si="80"/>
        <v>0</v>
      </c>
      <c r="L485" s="666"/>
      <c r="M485" s="21">
        <f t="shared" si="81"/>
        <v>1</v>
      </c>
      <c r="N485" s="666"/>
      <c r="O485" s="21">
        <f t="shared" si="82"/>
        <v>1</v>
      </c>
      <c r="P485" s="666"/>
      <c r="Q485" s="21">
        <f t="shared" si="83"/>
        <v>0</v>
      </c>
      <c r="R485" s="662">
        <f t="shared" si="84"/>
        <v>0</v>
      </c>
      <c r="S485" s="316">
        <f t="shared" si="75"/>
        <v>0</v>
      </c>
    </row>
    <row r="486" spans="1:19">
      <c r="A486" s="150"/>
      <c r="B486" s="54"/>
      <c r="C486" s="21">
        <f t="shared" si="76"/>
        <v>1</v>
      </c>
      <c r="D486" s="666"/>
      <c r="E486" s="21">
        <f t="shared" si="77"/>
        <v>0.03</v>
      </c>
      <c r="F486" s="666"/>
      <c r="G486" s="21">
        <f t="shared" si="78"/>
        <v>0.05</v>
      </c>
      <c r="H486" s="666"/>
      <c r="I486" s="21">
        <f t="shared" si="79"/>
        <v>0.01</v>
      </c>
      <c r="J486" s="666"/>
      <c r="K486" s="21">
        <f t="shared" si="80"/>
        <v>0</v>
      </c>
      <c r="L486" s="666"/>
      <c r="M486" s="21">
        <f t="shared" si="81"/>
        <v>1</v>
      </c>
      <c r="N486" s="666"/>
      <c r="O486" s="21">
        <f t="shared" si="82"/>
        <v>1</v>
      </c>
      <c r="P486" s="666"/>
      <c r="Q486" s="21">
        <f t="shared" si="83"/>
        <v>0</v>
      </c>
      <c r="R486" s="662">
        <f t="shared" si="84"/>
        <v>0</v>
      </c>
      <c r="S486" s="316">
        <f t="shared" si="75"/>
        <v>0</v>
      </c>
    </row>
    <row r="487" spans="1:19">
      <c r="A487" s="150"/>
      <c r="B487" s="54"/>
      <c r="C487" s="21">
        <f t="shared" si="76"/>
        <v>1</v>
      </c>
      <c r="D487" s="666"/>
      <c r="E487" s="21">
        <f t="shared" si="77"/>
        <v>0.03</v>
      </c>
      <c r="F487" s="666"/>
      <c r="G487" s="21">
        <f t="shared" si="78"/>
        <v>0.05</v>
      </c>
      <c r="H487" s="666"/>
      <c r="I487" s="21">
        <f t="shared" si="79"/>
        <v>0.01</v>
      </c>
      <c r="J487" s="666"/>
      <c r="K487" s="21">
        <f t="shared" si="80"/>
        <v>0</v>
      </c>
      <c r="L487" s="666"/>
      <c r="M487" s="21">
        <f t="shared" si="81"/>
        <v>1</v>
      </c>
      <c r="N487" s="666"/>
      <c r="O487" s="21">
        <f t="shared" si="82"/>
        <v>1</v>
      </c>
      <c r="P487" s="666"/>
      <c r="Q487" s="21">
        <f t="shared" si="83"/>
        <v>0</v>
      </c>
      <c r="R487" s="662">
        <f t="shared" si="84"/>
        <v>0</v>
      </c>
      <c r="S487" s="316">
        <f t="shared" si="75"/>
        <v>0</v>
      </c>
    </row>
    <row r="488" spans="1:19">
      <c r="A488" s="150"/>
      <c r="B488" s="54"/>
      <c r="C488" s="21">
        <f t="shared" si="76"/>
        <v>1</v>
      </c>
      <c r="D488" s="666"/>
      <c r="E488" s="21">
        <f t="shared" si="77"/>
        <v>0.03</v>
      </c>
      <c r="F488" s="666"/>
      <c r="G488" s="21">
        <f t="shared" si="78"/>
        <v>0.05</v>
      </c>
      <c r="H488" s="666"/>
      <c r="I488" s="21">
        <f t="shared" si="79"/>
        <v>0.01</v>
      </c>
      <c r="J488" s="666"/>
      <c r="K488" s="21">
        <f t="shared" si="80"/>
        <v>0</v>
      </c>
      <c r="L488" s="666"/>
      <c r="M488" s="21">
        <f t="shared" si="81"/>
        <v>1</v>
      </c>
      <c r="N488" s="666"/>
      <c r="O488" s="21">
        <f t="shared" si="82"/>
        <v>1</v>
      </c>
      <c r="P488" s="666"/>
      <c r="Q488" s="21">
        <f t="shared" si="83"/>
        <v>0</v>
      </c>
      <c r="R488" s="662">
        <f t="shared" si="84"/>
        <v>0</v>
      </c>
      <c r="S488" s="316">
        <f t="shared" si="75"/>
        <v>0</v>
      </c>
    </row>
    <row r="489" spans="1:19">
      <c r="A489" s="150"/>
      <c r="B489" s="54"/>
      <c r="C489" s="21">
        <f t="shared" si="76"/>
        <v>1</v>
      </c>
      <c r="D489" s="666"/>
      <c r="E489" s="21">
        <f t="shared" si="77"/>
        <v>0.03</v>
      </c>
      <c r="F489" s="666"/>
      <c r="G489" s="21">
        <f t="shared" si="78"/>
        <v>0.05</v>
      </c>
      <c r="H489" s="666"/>
      <c r="I489" s="21">
        <f t="shared" si="79"/>
        <v>0.01</v>
      </c>
      <c r="J489" s="666"/>
      <c r="K489" s="21">
        <f t="shared" si="80"/>
        <v>0</v>
      </c>
      <c r="L489" s="666"/>
      <c r="M489" s="21">
        <f t="shared" si="81"/>
        <v>1</v>
      </c>
      <c r="N489" s="666"/>
      <c r="O489" s="21">
        <f t="shared" si="82"/>
        <v>1</v>
      </c>
      <c r="P489" s="666"/>
      <c r="Q489" s="21">
        <f t="shared" si="83"/>
        <v>0</v>
      </c>
      <c r="R489" s="662">
        <f t="shared" si="84"/>
        <v>0</v>
      </c>
      <c r="S489" s="316">
        <f t="shared" si="75"/>
        <v>0</v>
      </c>
    </row>
    <row r="490" spans="1:19">
      <c r="A490" s="150"/>
      <c r="B490" s="54"/>
      <c r="C490" s="21">
        <f t="shared" si="76"/>
        <v>1</v>
      </c>
      <c r="D490" s="666"/>
      <c r="E490" s="21">
        <f t="shared" si="77"/>
        <v>0.03</v>
      </c>
      <c r="F490" s="666"/>
      <c r="G490" s="21">
        <f t="shared" si="78"/>
        <v>0.05</v>
      </c>
      <c r="H490" s="666"/>
      <c r="I490" s="21">
        <f t="shared" si="79"/>
        <v>0.01</v>
      </c>
      <c r="J490" s="666"/>
      <c r="K490" s="21">
        <f t="shared" si="80"/>
        <v>0</v>
      </c>
      <c r="L490" s="666"/>
      <c r="M490" s="21">
        <f t="shared" si="81"/>
        <v>1</v>
      </c>
      <c r="N490" s="666"/>
      <c r="O490" s="21">
        <f t="shared" si="82"/>
        <v>1</v>
      </c>
      <c r="P490" s="666"/>
      <c r="Q490" s="21">
        <f t="shared" si="83"/>
        <v>0</v>
      </c>
      <c r="R490" s="662">
        <f t="shared" si="84"/>
        <v>0</v>
      </c>
      <c r="S490" s="316">
        <f t="shared" si="75"/>
        <v>0</v>
      </c>
    </row>
    <row r="491" spans="1:19">
      <c r="A491" s="150"/>
      <c r="B491" s="54"/>
      <c r="C491" s="21">
        <f t="shared" si="76"/>
        <v>1</v>
      </c>
      <c r="D491" s="666"/>
      <c r="E491" s="21">
        <f t="shared" si="77"/>
        <v>0.03</v>
      </c>
      <c r="F491" s="666"/>
      <c r="G491" s="21">
        <f t="shared" si="78"/>
        <v>0.05</v>
      </c>
      <c r="H491" s="666"/>
      <c r="I491" s="21">
        <f t="shared" si="79"/>
        <v>0.01</v>
      </c>
      <c r="J491" s="666"/>
      <c r="K491" s="21">
        <f t="shared" si="80"/>
        <v>0</v>
      </c>
      <c r="L491" s="666"/>
      <c r="M491" s="21">
        <f t="shared" si="81"/>
        <v>1</v>
      </c>
      <c r="N491" s="666"/>
      <c r="O491" s="21">
        <f t="shared" si="82"/>
        <v>1</v>
      </c>
      <c r="P491" s="666"/>
      <c r="Q491" s="21">
        <f t="shared" si="83"/>
        <v>0</v>
      </c>
      <c r="R491" s="662">
        <f t="shared" si="84"/>
        <v>0</v>
      </c>
      <c r="S491" s="316">
        <f t="shared" si="75"/>
        <v>0</v>
      </c>
    </row>
    <row r="492" spans="1:19">
      <c r="A492" s="150"/>
      <c r="B492" s="54"/>
      <c r="C492" s="21">
        <f t="shared" si="76"/>
        <v>1</v>
      </c>
      <c r="D492" s="666"/>
      <c r="E492" s="21">
        <f t="shared" si="77"/>
        <v>0.03</v>
      </c>
      <c r="F492" s="666"/>
      <c r="G492" s="21">
        <f t="shared" si="78"/>
        <v>0.05</v>
      </c>
      <c r="H492" s="666"/>
      <c r="I492" s="21">
        <f t="shared" si="79"/>
        <v>0.01</v>
      </c>
      <c r="J492" s="666"/>
      <c r="K492" s="21">
        <f t="shared" si="80"/>
        <v>0</v>
      </c>
      <c r="L492" s="666"/>
      <c r="M492" s="21">
        <f t="shared" si="81"/>
        <v>1</v>
      </c>
      <c r="N492" s="666"/>
      <c r="O492" s="21">
        <f t="shared" si="82"/>
        <v>1</v>
      </c>
      <c r="P492" s="666"/>
      <c r="Q492" s="21">
        <f t="shared" si="83"/>
        <v>0</v>
      </c>
      <c r="R492" s="662">
        <f t="shared" si="84"/>
        <v>0</v>
      </c>
      <c r="S492" s="316">
        <f t="shared" si="75"/>
        <v>0</v>
      </c>
    </row>
    <row r="493" spans="1:19">
      <c r="A493" s="150"/>
      <c r="B493" s="54"/>
      <c r="C493" s="21">
        <f t="shared" si="76"/>
        <v>1</v>
      </c>
      <c r="D493" s="666"/>
      <c r="E493" s="21">
        <f t="shared" si="77"/>
        <v>0.03</v>
      </c>
      <c r="F493" s="666"/>
      <c r="G493" s="21">
        <f t="shared" si="78"/>
        <v>0.05</v>
      </c>
      <c r="H493" s="666"/>
      <c r="I493" s="21">
        <f t="shared" si="79"/>
        <v>0.01</v>
      </c>
      <c r="J493" s="666"/>
      <c r="K493" s="21">
        <f t="shared" si="80"/>
        <v>0</v>
      </c>
      <c r="L493" s="666"/>
      <c r="M493" s="21">
        <f t="shared" si="81"/>
        <v>1</v>
      </c>
      <c r="N493" s="666"/>
      <c r="O493" s="21">
        <f t="shared" si="82"/>
        <v>1</v>
      </c>
      <c r="P493" s="666"/>
      <c r="Q493" s="21">
        <f t="shared" si="83"/>
        <v>0</v>
      </c>
      <c r="R493" s="662">
        <f t="shared" si="84"/>
        <v>0</v>
      </c>
      <c r="S493" s="316">
        <f t="shared" si="75"/>
        <v>0</v>
      </c>
    </row>
    <row r="494" spans="1:19">
      <c r="A494" s="150"/>
      <c r="B494" s="54"/>
      <c r="C494" s="21">
        <f t="shared" si="76"/>
        <v>1</v>
      </c>
      <c r="D494" s="666"/>
      <c r="E494" s="21">
        <f t="shared" si="77"/>
        <v>0.03</v>
      </c>
      <c r="F494" s="666"/>
      <c r="G494" s="21">
        <f t="shared" si="78"/>
        <v>0.05</v>
      </c>
      <c r="H494" s="666"/>
      <c r="I494" s="21">
        <f t="shared" si="79"/>
        <v>0.01</v>
      </c>
      <c r="J494" s="666"/>
      <c r="K494" s="21">
        <f t="shared" si="80"/>
        <v>0</v>
      </c>
      <c r="L494" s="666"/>
      <c r="M494" s="21">
        <f t="shared" si="81"/>
        <v>1</v>
      </c>
      <c r="N494" s="666"/>
      <c r="O494" s="21">
        <f t="shared" si="82"/>
        <v>1</v>
      </c>
      <c r="P494" s="666"/>
      <c r="Q494" s="21">
        <f t="shared" si="83"/>
        <v>0</v>
      </c>
      <c r="R494" s="662">
        <f t="shared" si="84"/>
        <v>0</v>
      </c>
      <c r="S494" s="316">
        <f t="shared" si="75"/>
        <v>0</v>
      </c>
    </row>
    <row r="495" spans="1:19">
      <c r="A495" s="150"/>
      <c r="B495" s="54"/>
      <c r="C495" s="21">
        <f t="shared" si="76"/>
        <v>1</v>
      </c>
      <c r="D495" s="666"/>
      <c r="E495" s="21">
        <f t="shared" si="77"/>
        <v>0.03</v>
      </c>
      <c r="F495" s="666"/>
      <c r="G495" s="21">
        <f t="shared" si="78"/>
        <v>0.05</v>
      </c>
      <c r="H495" s="666"/>
      <c r="I495" s="21">
        <f t="shared" si="79"/>
        <v>0.01</v>
      </c>
      <c r="J495" s="666"/>
      <c r="K495" s="21">
        <f t="shared" si="80"/>
        <v>0</v>
      </c>
      <c r="L495" s="666"/>
      <c r="M495" s="21">
        <f t="shared" si="81"/>
        <v>1</v>
      </c>
      <c r="N495" s="666"/>
      <c r="O495" s="21">
        <f t="shared" si="82"/>
        <v>1</v>
      </c>
      <c r="P495" s="666"/>
      <c r="Q495" s="21">
        <f t="shared" si="83"/>
        <v>0</v>
      </c>
      <c r="R495" s="662">
        <f t="shared" si="84"/>
        <v>0</v>
      </c>
      <c r="S495" s="316">
        <f t="shared" si="75"/>
        <v>0</v>
      </c>
    </row>
    <row r="496" spans="1:19">
      <c r="A496" s="150"/>
      <c r="B496" s="54"/>
      <c r="C496" s="21">
        <f t="shared" si="76"/>
        <v>1</v>
      </c>
      <c r="D496" s="666"/>
      <c r="E496" s="21">
        <f t="shared" si="77"/>
        <v>0.03</v>
      </c>
      <c r="F496" s="666"/>
      <c r="G496" s="21">
        <f t="shared" si="78"/>
        <v>0.05</v>
      </c>
      <c r="H496" s="666"/>
      <c r="I496" s="21">
        <f t="shared" si="79"/>
        <v>0.01</v>
      </c>
      <c r="J496" s="666"/>
      <c r="K496" s="21">
        <f t="shared" si="80"/>
        <v>0</v>
      </c>
      <c r="L496" s="666"/>
      <c r="M496" s="21">
        <f t="shared" si="81"/>
        <v>1</v>
      </c>
      <c r="N496" s="666"/>
      <c r="O496" s="21">
        <f t="shared" si="82"/>
        <v>1</v>
      </c>
      <c r="P496" s="666"/>
      <c r="Q496" s="21">
        <f t="shared" si="83"/>
        <v>0</v>
      </c>
      <c r="R496" s="662">
        <f t="shared" si="84"/>
        <v>0</v>
      </c>
      <c r="S496" s="316">
        <f t="shared" si="75"/>
        <v>0</v>
      </c>
    </row>
    <row r="497" spans="1:19">
      <c r="A497" s="150"/>
      <c r="B497" s="54"/>
      <c r="C497" s="21">
        <f t="shared" si="76"/>
        <v>1</v>
      </c>
      <c r="D497" s="666"/>
      <c r="E497" s="21">
        <f t="shared" si="77"/>
        <v>0.03</v>
      </c>
      <c r="F497" s="666"/>
      <c r="G497" s="21">
        <f t="shared" si="78"/>
        <v>0.05</v>
      </c>
      <c r="H497" s="666"/>
      <c r="I497" s="21">
        <f t="shared" si="79"/>
        <v>0.01</v>
      </c>
      <c r="J497" s="666"/>
      <c r="K497" s="21">
        <f t="shared" si="80"/>
        <v>0</v>
      </c>
      <c r="L497" s="666"/>
      <c r="M497" s="21">
        <f t="shared" si="81"/>
        <v>1</v>
      </c>
      <c r="N497" s="666"/>
      <c r="O497" s="21">
        <f t="shared" si="82"/>
        <v>1</v>
      </c>
      <c r="P497" s="666"/>
      <c r="Q497" s="21">
        <f t="shared" si="83"/>
        <v>0</v>
      </c>
      <c r="R497" s="662">
        <f t="shared" si="84"/>
        <v>0</v>
      </c>
      <c r="S497" s="316">
        <f t="shared" si="75"/>
        <v>0</v>
      </c>
    </row>
    <row r="498" spans="1:19">
      <c r="A498" s="150"/>
      <c r="B498" s="54"/>
      <c r="C498" s="21">
        <f t="shared" si="76"/>
        <v>1</v>
      </c>
      <c r="D498" s="666"/>
      <c r="E498" s="21">
        <f t="shared" si="77"/>
        <v>0.03</v>
      </c>
      <c r="F498" s="666"/>
      <c r="G498" s="21">
        <f t="shared" si="78"/>
        <v>0.05</v>
      </c>
      <c r="H498" s="666"/>
      <c r="I498" s="21">
        <f t="shared" si="79"/>
        <v>0.01</v>
      </c>
      <c r="J498" s="666"/>
      <c r="K498" s="21">
        <f t="shared" si="80"/>
        <v>0</v>
      </c>
      <c r="L498" s="666"/>
      <c r="M498" s="21">
        <f t="shared" si="81"/>
        <v>1</v>
      </c>
      <c r="N498" s="666"/>
      <c r="O498" s="21">
        <f t="shared" si="82"/>
        <v>1</v>
      </c>
      <c r="P498" s="666"/>
      <c r="Q498" s="21">
        <f t="shared" si="83"/>
        <v>0</v>
      </c>
      <c r="R498" s="662">
        <f t="shared" si="84"/>
        <v>0</v>
      </c>
      <c r="S498" s="316">
        <f t="shared" si="75"/>
        <v>0</v>
      </c>
    </row>
    <row r="499" spans="1:19">
      <c r="A499" s="150"/>
      <c r="B499" s="54"/>
      <c r="C499" s="21">
        <f t="shared" si="76"/>
        <v>1</v>
      </c>
      <c r="D499" s="666"/>
      <c r="E499" s="21">
        <f t="shared" si="77"/>
        <v>0.03</v>
      </c>
      <c r="F499" s="666"/>
      <c r="G499" s="21">
        <f t="shared" si="78"/>
        <v>0.05</v>
      </c>
      <c r="H499" s="666"/>
      <c r="I499" s="21">
        <f t="shared" si="79"/>
        <v>0.01</v>
      </c>
      <c r="J499" s="666"/>
      <c r="K499" s="21">
        <f t="shared" si="80"/>
        <v>0</v>
      </c>
      <c r="L499" s="666"/>
      <c r="M499" s="21">
        <f t="shared" si="81"/>
        <v>1</v>
      </c>
      <c r="N499" s="666"/>
      <c r="O499" s="21">
        <f t="shared" si="82"/>
        <v>1</v>
      </c>
      <c r="P499" s="666"/>
      <c r="Q499" s="21">
        <f t="shared" si="83"/>
        <v>0</v>
      </c>
      <c r="R499" s="662">
        <f t="shared" si="84"/>
        <v>0</v>
      </c>
      <c r="S499" s="316">
        <f t="shared" si="75"/>
        <v>0</v>
      </c>
    </row>
    <row r="500" spans="1:19">
      <c r="A500" s="150"/>
      <c r="B500" s="54"/>
      <c r="C500" s="21">
        <f t="shared" si="76"/>
        <v>1</v>
      </c>
      <c r="D500" s="666"/>
      <c r="E500" s="21">
        <f t="shared" si="77"/>
        <v>0.03</v>
      </c>
      <c r="F500" s="666"/>
      <c r="G500" s="21">
        <f t="shared" si="78"/>
        <v>0.05</v>
      </c>
      <c r="H500" s="666"/>
      <c r="I500" s="21">
        <f t="shared" si="79"/>
        <v>0.01</v>
      </c>
      <c r="J500" s="666"/>
      <c r="K500" s="21">
        <f t="shared" si="80"/>
        <v>0</v>
      </c>
      <c r="L500" s="666"/>
      <c r="M500" s="21">
        <f t="shared" si="81"/>
        <v>1</v>
      </c>
      <c r="N500" s="666"/>
      <c r="O500" s="21">
        <f t="shared" si="82"/>
        <v>1</v>
      </c>
      <c r="P500" s="666"/>
      <c r="Q500" s="21">
        <f t="shared" si="83"/>
        <v>0</v>
      </c>
      <c r="R500" s="662">
        <f t="shared" si="84"/>
        <v>0</v>
      </c>
      <c r="S500" s="316">
        <f t="shared" si="75"/>
        <v>0</v>
      </c>
    </row>
    <row r="501" spans="1:19">
      <c r="A501" s="150"/>
      <c r="B501" s="54"/>
      <c r="C501" s="21">
        <f t="shared" si="76"/>
        <v>1</v>
      </c>
      <c r="D501" s="666"/>
      <c r="E501" s="21">
        <f t="shared" si="77"/>
        <v>0.03</v>
      </c>
      <c r="F501" s="666"/>
      <c r="G501" s="21">
        <f t="shared" si="78"/>
        <v>0.05</v>
      </c>
      <c r="H501" s="666"/>
      <c r="I501" s="21">
        <f t="shared" si="79"/>
        <v>0.01</v>
      </c>
      <c r="J501" s="666"/>
      <c r="K501" s="21">
        <f t="shared" si="80"/>
        <v>0</v>
      </c>
      <c r="L501" s="666"/>
      <c r="M501" s="21">
        <f t="shared" si="81"/>
        <v>1</v>
      </c>
      <c r="N501" s="666"/>
      <c r="O501" s="21">
        <f t="shared" si="82"/>
        <v>1</v>
      </c>
      <c r="P501" s="666"/>
      <c r="Q501" s="21">
        <f t="shared" si="83"/>
        <v>0</v>
      </c>
      <c r="R501" s="662">
        <f t="shared" si="84"/>
        <v>0</v>
      </c>
      <c r="S501" s="316">
        <f t="shared" si="75"/>
        <v>0</v>
      </c>
    </row>
    <row r="502" spans="1:19">
      <c r="A502" s="150"/>
      <c r="B502" s="54"/>
      <c r="C502" s="21">
        <f t="shared" si="76"/>
        <v>1</v>
      </c>
      <c r="D502" s="666"/>
      <c r="E502" s="21">
        <f t="shared" si="77"/>
        <v>0.03</v>
      </c>
      <c r="F502" s="666"/>
      <c r="G502" s="21">
        <f t="shared" si="78"/>
        <v>0.05</v>
      </c>
      <c r="H502" s="666"/>
      <c r="I502" s="21">
        <f t="shared" si="79"/>
        <v>0.01</v>
      </c>
      <c r="J502" s="666"/>
      <c r="K502" s="21">
        <f t="shared" si="80"/>
        <v>0</v>
      </c>
      <c r="L502" s="666"/>
      <c r="M502" s="21">
        <f t="shared" si="81"/>
        <v>1</v>
      </c>
      <c r="N502" s="666"/>
      <c r="O502" s="21">
        <f t="shared" si="82"/>
        <v>1</v>
      </c>
      <c r="P502" s="666"/>
      <c r="Q502" s="21">
        <f t="shared" si="83"/>
        <v>0</v>
      </c>
      <c r="R502" s="662">
        <f t="shared" si="84"/>
        <v>0</v>
      </c>
      <c r="S502" s="316">
        <f t="shared" si="75"/>
        <v>0</v>
      </c>
    </row>
    <row r="503" spans="1:19">
      <c r="A503" s="150"/>
      <c r="B503" s="54"/>
      <c r="C503" s="21">
        <f t="shared" si="76"/>
        <v>1</v>
      </c>
      <c r="D503" s="666"/>
      <c r="E503" s="21">
        <f t="shared" si="77"/>
        <v>0.03</v>
      </c>
      <c r="F503" s="666"/>
      <c r="G503" s="21">
        <f t="shared" si="78"/>
        <v>0.05</v>
      </c>
      <c r="H503" s="666"/>
      <c r="I503" s="21">
        <f t="shared" si="79"/>
        <v>0.01</v>
      </c>
      <c r="J503" s="666"/>
      <c r="K503" s="21">
        <f t="shared" si="80"/>
        <v>0</v>
      </c>
      <c r="L503" s="666"/>
      <c r="M503" s="21">
        <f t="shared" si="81"/>
        <v>1</v>
      </c>
      <c r="N503" s="666"/>
      <c r="O503" s="21">
        <f t="shared" si="82"/>
        <v>1</v>
      </c>
      <c r="P503" s="666"/>
      <c r="Q503" s="21">
        <f t="shared" si="83"/>
        <v>0</v>
      </c>
      <c r="R503" s="662">
        <f t="shared" si="84"/>
        <v>0</v>
      </c>
      <c r="S503" s="316">
        <f t="shared" si="75"/>
        <v>0</v>
      </c>
    </row>
    <row r="504" spans="1:19">
      <c r="A504" s="150"/>
      <c r="B504" s="54"/>
      <c r="C504" s="21">
        <f t="shared" si="76"/>
        <v>1</v>
      </c>
      <c r="D504" s="666"/>
      <c r="E504" s="21">
        <f t="shared" si="77"/>
        <v>0.03</v>
      </c>
      <c r="F504" s="666"/>
      <c r="G504" s="21">
        <f t="shared" si="78"/>
        <v>0.05</v>
      </c>
      <c r="H504" s="666"/>
      <c r="I504" s="21">
        <f t="shared" si="79"/>
        <v>0.01</v>
      </c>
      <c r="J504" s="666"/>
      <c r="K504" s="21">
        <f t="shared" si="80"/>
        <v>0</v>
      </c>
      <c r="L504" s="666"/>
      <c r="M504" s="21">
        <f t="shared" si="81"/>
        <v>1</v>
      </c>
      <c r="N504" s="666"/>
      <c r="O504" s="21">
        <f t="shared" si="82"/>
        <v>1</v>
      </c>
      <c r="P504" s="666"/>
      <c r="Q504" s="21">
        <f t="shared" si="83"/>
        <v>0</v>
      </c>
      <c r="R504" s="662">
        <f t="shared" si="84"/>
        <v>0</v>
      </c>
      <c r="S504" s="316">
        <f t="shared" si="75"/>
        <v>0</v>
      </c>
    </row>
    <row r="505" spans="1:19">
      <c r="A505" s="150"/>
      <c r="B505" s="54"/>
      <c r="C505" s="21">
        <f t="shared" si="76"/>
        <v>1</v>
      </c>
      <c r="D505" s="666"/>
      <c r="E505" s="21">
        <f t="shared" si="77"/>
        <v>0.03</v>
      </c>
      <c r="F505" s="666"/>
      <c r="G505" s="21">
        <f t="shared" si="78"/>
        <v>0.05</v>
      </c>
      <c r="H505" s="666"/>
      <c r="I505" s="21">
        <f t="shared" si="79"/>
        <v>0.01</v>
      </c>
      <c r="J505" s="666"/>
      <c r="K505" s="21">
        <f t="shared" si="80"/>
        <v>0</v>
      </c>
      <c r="L505" s="666"/>
      <c r="M505" s="21">
        <f t="shared" si="81"/>
        <v>1</v>
      </c>
      <c r="N505" s="666"/>
      <c r="O505" s="21">
        <f t="shared" si="82"/>
        <v>1</v>
      </c>
      <c r="P505" s="666"/>
      <c r="Q505" s="21">
        <f t="shared" si="83"/>
        <v>0</v>
      </c>
      <c r="R505" s="662">
        <f t="shared" si="84"/>
        <v>0</v>
      </c>
      <c r="S505" s="316">
        <f t="shared" si="75"/>
        <v>0</v>
      </c>
    </row>
    <row r="506" spans="1:19">
      <c r="A506" s="150"/>
      <c r="B506" s="54"/>
      <c r="C506" s="21">
        <f t="shared" si="76"/>
        <v>1</v>
      </c>
      <c r="D506" s="666"/>
      <c r="E506" s="21">
        <f t="shared" si="77"/>
        <v>0.03</v>
      </c>
      <c r="F506" s="666"/>
      <c r="G506" s="21">
        <f t="shared" si="78"/>
        <v>0.05</v>
      </c>
      <c r="H506" s="666"/>
      <c r="I506" s="21">
        <f t="shared" si="79"/>
        <v>0.01</v>
      </c>
      <c r="J506" s="666"/>
      <c r="K506" s="21">
        <f t="shared" si="80"/>
        <v>0</v>
      </c>
      <c r="L506" s="666"/>
      <c r="M506" s="21">
        <f t="shared" si="81"/>
        <v>1</v>
      </c>
      <c r="N506" s="666"/>
      <c r="O506" s="21">
        <f t="shared" si="82"/>
        <v>1</v>
      </c>
      <c r="P506" s="666"/>
      <c r="Q506" s="21">
        <f t="shared" si="83"/>
        <v>0</v>
      </c>
      <c r="R506" s="662">
        <f t="shared" si="84"/>
        <v>0</v>
      </c>
      <c r="S506" s="316">
        <f t="shared" si="75"/>
        <v>0</v>
      </c>
    </row>
    <row r="507" spans="1:19">
      <c r="A507" s="150"/>
      <c r="B507" s="54"/>
      <c r="C507" s="21">
        <f t="shared" si="76"/>
        <v>1</v>
      </c>
      <c r="D507" s="666"/>
      <c r="E507" s="21">
        <f t="shared" si="77"/>
        <v>0.03</v>
      </c>
      <c r="F507" s="666"/>
      <c r="G507" s="21">
        <f t="shared" si="78"/>
        <v>0.05</v>
      </c>
      <c r="H507" s="666"/>
      <c r="I507" s="21">
        <f t="shared" si="79"/>
        <v>0.01</v>
      </c>
      <c r="J507" s="666"/>
      <c r="K507" s="21">
        <f t="shared" si="80"/>
        <v>0</v>
      </c>
      <c r="L507" s="666"/>
      <c r="M507" s="21">
        <f t="shared" si="81"/>
        <v>1</v>
      </c>
      <c r="N507" s="666"/>
      <c r="O507" s="21">
        <f t="shared" si="82"/>
        <v>1</v>
      </c>
      <c r="P507" s="666"/>
      <c r="Q507" s="21">
        <f t="shared" si="83"/>
        <v>0</v>
      </c>
      <c r="R507" s="662">
        <f t="shared" si="84"/>
        <v>0</v>
      </c>
      <c r="S507" s="316">
        <f t="shared" si="75"/>
        <v>0</v>
      </c>
    </row>
    <row r="508" spans="1:19">
      <c r="A508" s="150"/>
      <c r="B508" s="54"/>
      <c r="C508" s="21">
        <f t="shared" si="76"/>
        <v>1</v>
      </c>
      <c r="D508" s="666"/>
      <c r="E508" s="21">
        <f t="shared" si="77"/>
        <v>0.03</v>
      </c>
      <c r="F508" s="666"/>
      <c r="G508" s="21">
        <f t="shared" si="78"/>
        <v>0.05</v>
      </c>
      <c r="H508" s="666"/>
      <c r="I508" s="21">
        <f t="shared" si="79"/>
        <v>0.01</v>
      </c>
      <c r="J508" s="666"/>
      <c r="K508" s="21">
        <f t="shared" si="80"/>
        <v>0</v>
      </c>
      <c r="L508" s="666"/>
      <c r="M508" s="21">
        <f t="shared" si="81"/>
        <v>1</v>
      </c>
      <c r="N508" s="666"/>
      <c r="O508" s="21">
        <f t="shared" si="82"/>
        <v>1</v>
      </c>
      <c r="P508" s="666"/>
      <c r="Q508" s="21">
        <f t="shared" si="83"/>
        <v>0</v>
      </c>
      <c r="R508" s="662">
        <f t="shared" si="84"/>
        <v>0</v>
      </c>
      <c r="S508" s="316">
        <f t="shared" si="75"/>
        <v>0</v>
      </c>
    </row>
    <row r="509" spans="1:19">
      <c r="A509" s="150"/>
      <c r="B509" s="54"/>
      <c r="C509" s="21">
        <f t="shared" si="76"/>
        <v>1</v>
      </c>
      <c r="D509" s="666"/>
      <c r="E509" s="21">
        <f t="shared" si="77"/>
        <v>0.03</v>
      </c>
      <c r="F509" s="666"/>
      <c r="G509" s="21">
        <f t="shared" si="78"/>
        <v>0.05</v>
      </c>
      <c r="H509" s="666"/>
      <c r="I509" s="21">
        <f t="shared" si="79"/>
        <v>0.01</v>
      </c>
      <c r="J509" s="666"/>
      <c r="K509" s="21">
        <f t="shared" si="80"/>
        <v>0</v>
      </c>
      <c r="L509" s="666"/>
      <c r="M509" s="21">
        <f t="shared" si="81"/>
        <v>1</v>
      </c>
      <c r="N509" s="666"/>
      <c r="O509" s="21">
        <f t="shared" si="82"/>
        <v>1</v>
      </c>
      <c r="P509" s="666"/>
      <c r="Q509" s="21">
        <f t="shared" si="83"/>
        <v>0</v>
      </c>
      <c r="R509" s="662">
        <f t="shared" si="84"/>
        <v>0</v>
      </c>
      <c r="S509" s="316">
        <f t="shared" si="75"/>
        <v>0</v>
      </c>
    </row>
    <row r="510" spans="1:19">
      <c r="A510" s="150"/>
      <c r="B510" s="54"/>
      <c r="C510" s="21">
        <f t="shared" si="76"/>
        <v>1</v>
      </c>
      <c r="D510" s="666"/>
      <c r="E510" s="21">
        <f t="shared" si="77"/>
        <v>0.03</v>
      </c>
      <c r="F510" s="666"/>
      <c r="G510" s="21">
        <f t="shared" si="78"/>
        <v>0.05</v>
      </c>
      <c r="H510" s="666"/>
      <c r="I510" s="21">
        <f t="shared" si="79"/>
        <v>0.01</v>
      </c>
      <c r="J510" s="666"/>
      <c r="K510" s="21">
        <f t="shared" si="80"/>
        <v>0</v>
      </c>
      <c r="L510" s="666"/>
      <c r="M510" s="21">
        <f t="shared" si="81"/>
        <v>1</v>
      </c>
      <c r="N510" s="666"/>
      <c r="O510" s="21">
        <f t="shared" si="82"/>
        <v>1</v>
      </c>
      <c r="P510" s="666"/>
      <c r="Q510" s="21">
        <f t="shared" si="83"/>
        <v>0</v>
      </c>
      <c r="R510" s="662">
        <f t="shared" si="84"/>
        <v>0</v>
      </c>
      <c r="S510" s="316">
        <f t="shared" si="75"/>
        <v>0</v>
      </c>
    </row>
    <row r="511" spans="1:19">
      <c r="A511" s="150"/>
      <c r="B511" s="54"/>
      <c r="C511" s="21">
        <f t="shared" si="76"/>
        <v>1</v>
      </c>
      <c r="D511" s="666"/>
      <c r="E511" s="21">
        <f t="shared" si="77"/>
        <v>0.03</v>
      </c>
      <c r="F511" s="666"/>
      <c r="G511" s="21">
        <f t="shared" si="78"/>
        <v>0.05</v>
      </c>
      <c r="H511" s="666"/>
      <c r="I511" s="21">
        <f t="shared" si="79"/>
        <v>0.01</v>
      </c>
      <c r="J511" s="666"/>
      <c r="K511" s="21">
        <f t="shared" si="80"/>
        <v>0</v>
      </c>
      <c r="L511" s="666"/>
      <c r="M511" s="21">
        <f t="shared" si="81"/>
        <v>1</v>
      </c>
      <c r="N511" s="666"/>
      <c r="O511" s="21">
        <f t="shared" si="82"/>
        <v>1</v>
      </c>
      <c r="P511" s="666"/>
      <c r="Q511" s="21">
        <f t="shared" si="83"/>
        <v>0</v>
      </c>
      <c r="R511" s="662">
        <f t="shared" si="84"/>
        <v>0</v>
      </c>
      <c r="S511" s="316">
        <f t="shared" si="75"/>
        <v>0</v>
      </c>
    </row>
    <row r="512" spans="1:19">
      <c r="A512" s="150"/>
      <c r="B512" s="54"/>
      <c r="C512" s="21">
        <f t="shared" si="76"/>
        <v>1</v>
      </c>
      <c r="D512" s="666"/>
      <c r="E512" s="21">
        <f t="shared" si="77"/>
        <v>0.03</v>
      </c>
      <c r="F512" s="666"/>
      <c r="G512" s="21">
        <f t="shared" si="78"/>
        <v>0.05</v>
      </c>
      <c r="H512" s="666"/>
      <c r="I512" s="21">
        <f t="shared" si="79"/>
        <v>0.01</v>
      </c>
      <c r="J512" s="666"/>
      <c r="K512" s="21">
        <f t="shared" si="80"/>
        <v>0</v>
      </c>
      <c r="L512" s="666"/>
      <c r="M512" s="21">
        <f t="shared" si="81"/>
        <v>1</v>
      </c>
      <c r="N512" s="666"/>
      <c r="O512" s="21">
        <f t="shared" si="82"/>
        <v>1</v>
      </c>
      <c r="P512" s="666"/>
      <c r="Q512" s="21">
        <f t="shared" si="83"/>
        <v>0</v>
      </c>
      <c r="R512" s="662">
        <f t="shared" si="84"/>
        <v>0</v>
      </c>
      <c r="S512" s="316">
        <f t="shared" si="75"/>
        <v>0</v>
      </c>
    </row>
    <row r="513" spans="1:19">
      <c r="A513" s="150"/>
      <c r="B513" s="54"/>
      <c r="C513" s="21">
        <f t="shared" si="76"/>
        <v>1</v>
      </c>
      <c r="D513" s="666"/>
      <c r="E513" s="21">
        <f t="shared" si="77"/>
        <v>0.03</v>
      </c>
      <c r="F513" s="666"/>
      <c r="G513" s="21">
        <f t="shared" si="78"/>
        <v>0.05</v>
      </c>
      <c r="H513" s="666"/>
      <c r="I513" s="21">
        <f t="shared" si="79"/>
        <v>0.01</v>
      </c>
      <c r="J513" s="666"/>
      <c r="K513" s="21">
        <f t="shared" si="80"/>
        <v>0</v>
      </c>
      <c r="L513" s="666"/>
      <c r="M513" s="21">
        <f t="shared" si="81"/>
        <v>1</v>
      </c>
      <c r="N513" s="666"/>
      <c r="O513" s="21">
        <f t="shared" si="82"/>
        <v>1</v>
      </c>
      <c r="P513" s="666"/>
      <c r="Q513" s="21">
        <f t="shared" si="83"/>
        <v>0</v>
      </c>
      <c r="R513" s="662">
        <f t="shared" si="84"/>
        <v>0</v>
      </c>
      <c r="S513" s="316">
        <f t="shared" si="75"/>
        <v>0</v>
      </c>
    </row>
    <row r="514" spans="1:19">
      <c r="A514" s="150"/>
      <c r="B514" s="54"/>
      <c r="C514" s="21">
        <f t="shared" si="76"/>
        <v>1</v>
      </c>
      <c r="D514" s="666"/>
      <c r="E514" s="21">
        <f t="shared" si="77"/>
        <v>0.03</v>
      </c>
      <c r="F514" s="666"/>
      <c r="G514" s="21">
        <f t="shared" si="78"/>
        <v>0.05</v>
      </c>
      <c r="H514" s="666"/>
      <c r="I514" s="21">
        <f t="shared" si="79"/>
        <v>0.01</v>
      </c>
      <c r="J514" s="666"/>
      <c r="K514" s="21">
        <f t="shared" si="80"/>
        <v>0</v>
      </c>
      <c r="L514" s="666"/>
      <c r="M514" s="21">
        <f t="shared" si="81"/>
        <v>1</v>
      </c>
      <c r="N514" s="666"/>
      <c r="O514" s="21">
        <f t="shared" si="82"/>
        <v>1</v>
      </c>
      <c r="P514" s="666"/>
      <c r="Q514" s="21">
        <f t="shared" si="83"/>
        <v>0</v>
      </c>
      <c r="R514" s="662">
        <f t="shared" si="84"/>
        <v>0</v>
      </c>
      <c r="S514" s="316">
        <f t="shared" si="75"/>
        <v>0</v>
      </c>
    </row>
    <row r="515" spans="1:19">
      <c r="A515" s="150"/>
      <c r="B515" s="54"/>
      <c r="C515" s="21">
        <f t="shared" si="76"/>
        <v>1</v>
      </c>
      <c r="D515" s="666"/>
      <c r="E515" s="21">
        <f t="shared" si="77"/>
        <v>0.03</v>
      </c>
      <c r="F515" s="666"/>
      <c r="G515" s="21">
        <f t="shared" si="78"/>
        <v>0.05</v>
      </c>
      <c r="H515" s="666"/>
      <c r="I515" s="21">
        <f t="shared" si="79"/>
        <v>0.01</v>
      </c>
      <c r="J515" s="666"/>
      <c r="K515" s="21">
        <f t="shared" si="80"/>
        <v>0</v>
      </c>
      <c r="L515" s="666"/>
      <c r="M515" s="21">
        <f t="shared" si="81"/>
        <v>1</v>
      </c>
      <c r="N515" s="666"/>
      <c r="O515" s="21">
        <f t="shared" si="82"/>
        <v>1</v>
      </c>
      <c r="P515" s="666"/>
      <c r="Q515" s="21">
        <f t="shared" si="83"/>
        <v>0</v>
      </c>
      <c r="R515" s="662">
        <f t="shared" si="84"/>
        <v>0</v>
      </c>
      <c r="S515" s="316">
        <f t="shared" si="75"/>
        <v>0</v>
      </c>
    </row>
    <row r="516" spans="1:19">
      <c r="A516" s="150"/>
      <c r="B516" s="54"/>
      <c r="C516" s="21">
        <f t="shared" si="76"/>
        <v>1</v>
      </c>
      <c r="D516" s="666"/>
      <c r="E516" s="21">
        <f t="shared" si="77"/>
        <v>0.03</v>
      </c>
      <c r="F516" s="666"/>
      <c r="G516" s="21">
        <f t="shared" si="78"/>
        <v>0.05</v>
      </c>
      <c r="H516" s="666"/>
      <c r="I516" s="21">
        <f t="shared" si="79"/>
        <v>0.01</v>
      </c>
      <c r="J516" s="666"/>
      <c r="K516" s="21">
        <f t="shared" si="80"/>
        <v>0</v>
      </c>
      <c r="L516" s="666"/>
      <c r="M516" s="21">
        <f t="shared" si="81"/>
        <v>1</v>
      </c>
      <c r="N516" s="666"/>
      <c r="O516" s="21">
        <f t="shared" si="82"/>
        <v>1</v>
      </c>
      <c r="P516" s="666"/>
      <c r="Q516" s="21">
        <f t="shared" si="83"/>
        <v>0</v>
      </c>
      <c r="R516" s="662">
        <f t="shared" si="84"/>
        <v>0</v>
      </c>
      <c r="S516" s="316">
        <f t="shared" si="75"/>
        <v>0</v>
      </c>
    </row>
    <row r="517" spans="1:19">
      <c r="A517" s="150"/>
      <c r="B517" s="54"/>
      <c r="C517" s="21">
        <f t="shared" si="76"/>
        <v>1</v>
      </c>
      <c r="D517" s="666"/>
      <c r="E517" s="21">
        <f t="shared" si="77"/>
        <v>0.03</v>
      </c>
      <c r="F517" s="666"/>
      <c r="G517" s="21">
        <f t="shared" si="78"/>
        <v>0.05</v>
      </c>
      <c r="H517" s="666"/>
      <c r="I517" s="21">
        <f t="shared" si="79"/>
        <v>0.01</v>
      </c>
      <c r="J517" s="666"/>
      <c r="K517" s="21">
        <f t="shared" si="80"/>
        <v>0</v>
      </c>
      <c r="L517" s="666"/>
      <c r="M517" s="21">
        <f t="shared" si="81"/>
        <v>1</v>
      </c>
      <c r="N517" s="666"/>
      <c r="O517" s="21">
        <f t="shared" si="82"/>
        <v>1</v>
      </c>
      <c r="P517" s="666"/>
      <c r="Q517" s="21">
        <f t="shared" si="83"/>
        <v>0</v>
      </c>
      <c r="R517" s="662">
        <f t="shared" si="84"/>
        <v>0</v>
      </c>
      <c r="S517" s="316">
        <f t="shared" si="75"/>
        <v>0</v>
      </c>
    </row>
    <row r="518" spans="1:19">
      <c r="A518" s="150"/>
      <c r="B518" s="54"/>
      <c r="C518" s="21">
        <f t="shared" si="76"/>
        <v>1</v>
      </c>
      <c r="D518" s="666"/>
      <c r="E518" s="21">
        <f t="shared" si="77"/>
        <v>0.03</v>
      </c>
      <c r="F518" s="666"/>
      <c r="G518" s="21">
        <f t="shared" si="78"/>
        <v>0.05</v>
      </c>
      <c r="H518" s="666"/>
      <c r="I518" s="21">
        <f t="shared" si="79"/>
        <v>0.01</v>
      </c>
      <c r="J518" s="666"/>
      <c r="K518" s="21">
        <f t="shared" si="80"/>
        <v>0</v>
      </c>
      <c r="L518" s="666"/>
      <c r="M518" s="21">
        <f t="shared" si="81"/>
        <v>1</v>
      </c>
      <c r="N518" s="666"/>
      <c r="O518" s="21">
        <f t="shared" si="82"/>
        <v>1</v>
      </c>
      <c r="P518" s="666"/>
      <c r="Q518" s="21">
        <f t="shared" si="83"/>
        <v>0</v>
      </c>
      <c r="R518" s="662">
        <f t="shared" si="84"/>
        <v>0</v>
      </c>
      <c r="S518" s="316">
        <f t="shared" si="75"/>
        <v>0</v>
      </c>
    </row>
    <row r="519" spans="1:19">
      <c r="A519" s="150"/>
      <c r="B519" s="54"/>
      <c r="C519" s="21">
        <f t="shared" si="76"/>
        <v>1</v>
      </c>
      <c r="D519" s="666"/>
      <c r="E519" s="21">
        <f t="shared" si="77"/>
        <v>0.03</v>
      </c>
      <c r="F519" s="666"/>
      <c r="G519" s="21">
        <f t="shared" si="78"/>
        <v>0.05</v>
      </c>
      <c r="H519" s="666"/>
      <c r="I519" s="21">
        <f t="shared" si="79"/>
        <v>0.01</v>
      </c>
      <c r="J519" s="666"/>
      <c r="K519" s="21">
        <f t="shared" si="80"/>
        <v>0</v>
      </c>
      <c r="L519" s="666"/>
      <c r="M519" s="21">
        <f t="shared" si="81"/>
        <v>1</v>
      </c>
      <c r="N519" s="666"/>
      <c r="O519" s="21">
        <f t="shared" si="82"/>
        <v>1</v>
      </c>
      <c r="P519" s="666"/>
      <c r="Q519" s="21">
        <f t="shared" si="83"/>
        <v>0</v>
      </c>
      <c r="R519" s="662">
        <f t="shared" si="84"/>
        <v>0</v>
      </c>
      <c r="S519" s="316">
        <f t="shared" si="75"/>
        <v>0</v>
      </c>
    </row>
    <row r="520" spans="1:19">
      <c r="A520" s="150"/>
      <c r="B520" s="54"/>
      <c r="C520" s="21">
        <f t="shared" si="76"/>
        <v>1</v>
      </c>
      <c r="D520" s="666"/>
      <c r="E520" s="21">
        <f t="shared" si="77"/>
        <v>0.03</v>
      </c>
      <c r="F520" s="666"/>
      <c r="G520" s="21">
        <f t="shared" si="78"/>
        <v>0.05</v>
      </c>
      <c r="H520" s="666"/>
      <c r="I520" s="21">
        <f t="shared" si="79"/>
        <v>0.01</v>
      </c>
      <c r="J520" s="666"/>
      <c r="K520" s="21">
        <f t="shared" si="80"/>
        <v>0</v>
      </c>
      <c r="L520" s="666"/>
      <c r="M520" s="21">
        <f t="shared" si="81"/>
        <v>1</v>
      </c>
      <c r="N520" s="666"/>
      <c r="O520" s="21">
        <f t="shared" si="82"/>
        <v>1</v>
      </c>
      <c r="P520" s="666"/>
      <c r="Q520" s="21">
        <f t="shared" si="83"/>
        <v>0</v>
      </c>
      <c r="R520" s="662">
        <f t="shared" si="84"/>
        <v>0</v>
      </c>
      <c r="S520" s="316">
        <f t="shared" si="75"/>
        <v>0</v>
      </c>
    </row>
    <row r="521" spans="1:19">
      <c r="A521" s="150"/>
      <c r="B521" s="54"/>
      <c r="C521" s="21">
        <f t="shared" si="76"/>
        <v>1</v>
      </c>
      <c r="D521" s="666"/>
      <c r="E521" s="21">
        <f t="shared" si="77"/>
        <v>0.03</v>
      </c>
      <c r="F521" s="666"/>
      <c r="G521" s="21">
        <f t="shared" si="78"/>
        <v>0.05</v>
      </c>
      <c r="H521" s="666"/>
      <c r="I521" s="21">
        <f t="shared" si="79"/>
        <v>0.01</v>
      </c>
      <c r="J521" s="666"/>
      <c r="K521" s="21">
        <f t="shared" si="80"/>
        <v>0</v>
      </c>
      <c r="L521" s="666"/>
      <c r="M521" s="21">
        <f t="shared" si="81"/>
        <v>1</v>
      </c>
      <c r="N521" s="666"/>
      <c r="O521" s="21">
        <f t="shared" si="82"/>
        <v>1</v>
      </c>
      <c r="P521" s="666"/>
      <c r="Q521" s="21">
        <f t="shared" si="83"/>
        <v>0</v>
      </c>
      <c r="R521" s="662">
        <f t="shared" si="84"/>
        <v>0</v>
      </c>
      <c r="S521" s="316">
        <f t="shared" si="75"/>
        <v>0</v>
      </c>
    </row>
    <row r="522" spans="1:19">
      <c r="A522" s="150"/>
      <c r="B522" s="54"/>
      <c r="C522" s="21">
        <f t="shared" si="76"/>
        <v>1</v>
      </c>
      <c r="D522" s="666"/>
      <c r="E522" s="21">
        <f t="shared" si="77"/>
        <v>0.03</v>
      </c>
      <c r="F522" s="666"/>
      <c r="G522" s="21">
        <f t="shared" si="78"/>
        <v>0.05</v>
      </c>
      <c r="H522" s="666"/>
      <c r="I522" s="21">
        <f t="shared" si="79"/>
        <v>0.01</v>
      </c>
      <c r="J522" s="666"/>
      <c r="K522" s="21">
        <f t="shared" si="80"/>
        <v>0</v>
      </c>
      <c r="L522" s="666"/>
      <c r="M522" s="21">
        <f t="shared" si="81"/>
        <v>1</v>
      </c>
      <c r="N522" s="666"/>
      <c r="O522" s="21">
        <f t="shared" si="82"/>
        <v>1</v>
      </c>
      <c r="P522" s="666"/>
      <c r="Q522" s="21">
        <f t="shared" si="83"/>
        <v>0</v>
      </c>
      <c r="R522" s="662">
        <f t="shared" si="84"/>
        <v>0</v>
      </c>
      <c r="S522" s="316">
        <f t="shared" si="75"/>
        <v>0</v>
      </c>
    </row>
    <row r="523" spans="1:19">
      <c r="A523" s="150"/>
      <c r="B523" s="54"/>
      <c r="C523" s="21">
        <f t="shared" si="76"/>
        <v>1</v>
      </c>
      <c r="D523" s="666"/>
      <c r="E523" s="21">
        <f t="shared" si="77"/>
        <v>0.03</v>
      </c>
      <c r="F523" s="666"/>
      <c r="G523" s="21">
        <f t="shared" si="78"/>
        <v>0.05</v>
      </c>
      <c r="H523" s="666"/>
      <c r="I523" s="21">
        <f t="shared" si="79"/>
        <v>0.01</v>
      </c>
      <c r="J523" s="666"/>
      <c r="K523" s="21">
        <f t="shared" si="80"/>
        <v>0</v>
      </c>
      <c r="L523" s="666"/>
      <c r="M523" s="21">
        <f t="shared" si="81"/>
        <v>1</v>
      </c>
      <c r="N523" s="666"/>
      <c r="O523" s="21">
        <f t="shared" si="82"/>
        <v>1</v>
      </c>
      <c r="P523" s="666"/>
      <c r="Q523" s="21">
        <f t="shared" si="83"/>
        <v>0</v>
      </c>
      <c r="R523" s="662">
        <f t="shared" si="84"/>
        <v>0</v>
      </c>
      <c r="S523" s="316">
        <f t="shared" si="75"/>
        <v>0</v>
      </c>
    </row>
    <row r="524" spans="1:19">
      <c r="A524" s="150"/>
      <c r="B524" s="54"/>
      <c r="C524" s="21">
        <f t="shared" si="76"/>
        <v>1</v>
      </c>
      <c r="D524" s="666"/>
      <c r="E524" s="21">
        <f t="shared" si="77"/>
        <v>0.03</v>
      </c>
      <c r="F524" s="666"/>
      <c r="G524" s="21">
        <f t="shared" si="78"/>
        <v>0.05</v>
      </c>
      <c r="H524" s="666"/>
      <c r="I524" s="21">
        <f t="shared" si="79"/>
        <v>0.01</v>
      </c>
      <c r="J524" s="666"/>
      <c r="K524" s="21">
        <f t="shared" si="80"/>
        <v>0</v>
      </c>
      <c r="L524" s="666"/>
      <c r="M524" s="21">
        <f t="shared" si="81"/>
        <v>1</v>
      </c>
      <c r="N524" s="666"/>
      <c r="O524" s="21">
        <f t="shared" si="82"/>
        <v>1</v>
      </c>
      <c r="P524" s="666"/>
      <c r="Q524" s="21">
        <f t="shared" si="83"/>
        <v>0</v>
      </c>
      <c r="R524" s="662">
        <f t="shared" si="84"/>
        <v>0</v>
      </c>
      <c r="S524" s="316">
        <f t="shared" si="75"/>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J39" sqref="J39"/>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45" t="s">
        <v>2836</v>
      </c>
      <c r="B1" s="3845"/>
      <c r="C1" s="3845"/>
      <c r="D1" s="3845"/>
      <c r="E1" s="3845"/>
      <c r="F1" s="3845"/>
      <c r="G1" s="3846"/>
      <c r="I1" s="3219" t="s">
        <v>2837</v>
      </c>
      <c r="J1" s="3220" t="s">
        <v>2838</v>
      </c>
      <c r="K1" s="3220" t="s">
        <v>2839</v>
      </c>
      <c r="L1" s="3220" t="s">
        <v>2840</v>
      </c>
      <c r="M1" s="3220" t="s">
        <v>2841</v>
      </c>
      <c r="N1" s="3220" t="s">
        <v>2842</v>
      </c>
      <c r="O1" s="3220" t="s">
        <v>2843</v>
      </c>
      <c r="P1" s="3220" t="s">
        <v>2844</v>
      </c>
      <c r="Q1" s="3220" t="s">
        <v>2845</v>
      </c>
      <c r="R1" s="3220" t="s">
        <v>2846</v>
      </c>
      <c r="S1" s="3220" t="s">
        <v>2847</v>
      </c>
      <c r="T1" s="3221" t="s">
        <v>2848</v>
      </c>
    </row>
    <row r="2" spans="1:20" ht="12" thickBot="1">
      <c r="A2" s="3223" t="s">
        <v>2849</v>
      </c>
      <c r="B2" s="3223"/>
      <c r="C2" s="3223"/>
      <c r="D2" s="3223"/>
      <c r="E2" s="3223"/>
      <c r="F2" s="3223"/>
      <c r="G2" s="3224" t="s">
        <v>2850</v>
      </c>
      <c r="I2" s="3225" t="s">
        <v>2851</v>
      </c>
      <c r="J2" s="3225" t="s">
        <v>2852</v>
      </c>
      <c r="K2" s="3225" t="s">
        <v>2853</v>
      </c>
      <c r="L2" s="3225" t="s">
        <v>2854</v>
      </c>
      <c r="M2" s="3225" t="s">
        <v>2855</v>
      </c>
      <c r="N2" s="3225" t="s">
        <v>2856</v>
      </c>
      <c r="O2" s="3225" t="s">
        <v>2857</v>
      </c>
      <c r="P2" s="3225" t="s">
        <v>2858</v>
      </c>
      <c r="Q2" s="3225" t="s">
        <v>2859</v>
      </c>
      <c r="R2" s="3225" t="s">
        <v>2860</v>
      </c>
      <c r="S2" s="3225" t="s">
        <v>2861</v>
      </c>
      <c r="T2" s="3225" t="s">
        <v>2862</v>
      </c>
    </row>
    <row r="3" spans="1:20" s="3231" customFormat="1">
      <c r="A3" s="3843" t="s">
        <v>2863</v>
      </c>
      <c r="B3" s="3226"/>
      <c r="C3" s="3227" t="s">
        <v>2808</v>
      </c>
      <c r="D3" s="3227" t="s">
        <v>2864</v>
      </c>
      <c r="E3" s="3227" t="s">
        <v>2810</v>
      </c>
      <c r="F3" s="3227" t="s">
        <v>2865</v>
      </c>
      <c r="G3" s="3227" t="s">
        <v>2628</v>
      </c>
      <c r="H3" s="3228"/>
      <c r="I3" s="3229" t="s">
        <v>2866</v>
      </c>
      <c r="J3" s="3230" t="s">
        <v>128</v>
      </c>
      <c r="K3" s="3230" t="s">
        <v>129</v>
      </c>
      <c r="L3" s="3229" t="s">
        <v>130</v>
      </c>
      <c r="M3" s="3229" t="s">
        <v>131</v>
      </c>
      <c r="N3" s="3229" t="s">
        <v>132</v>
      </c>
      <c r="O3" s="3229" t="s">
        <v>133</v>
      </c>
      <c r="P3" s="3229" t="s">
        <v>134</v>
      </c>
      <c r="Q3" s="3229" t="s">
        <v>135</v>
      </c>
      <c r="R3" s="3229" t="s">
        <v>136</v>
      </c>
      <c r="S3" s="3229" t="s">
        <v>2867</v>
      </c>
      <c r="T3" s="3229" t="s">
        <v>2868</v>
      </c>
    </row>
    <row r="4" spans="1:20" s="3231" customFormat="1" ht="12" thickBot="1">
      <c r="A4" s="3844"/>
      <c r="B4" s="3232" t="s">
        <v>2869</v>
      </c>
      <c r="C4" s="3232" t="s">
        <v>2870</v>
      </c>
      <c r="D4" s="3232" t="s">
        <v>2870</v>
      </c>
      <c r="E4" s="3232" t="s">
        <v>2870</v>
      </c>
      <c r="F4" s="3233" t="s">
        <v>2870</v>
      </c>
      <c r="G4" s="3233" t="s">
        <v>2870</v>
      </c>
      <c r="H4" s="3228"/>
      <c r="I4" s="3230" t="s">
        <v>137</v>
      </c>
      <c r="J4" s="3230" t="s">
        <v>111</v>
      </c>
      <c r="K4" s="3230" t="s">
        <v>138</v>
      </c>
      <c r="L4" s="3229" t="s">
        <v>139</v>
      </c>
      <c r="M4" s="3229" t="s">
        <v>140</v>
      </c>
      <c r="N4" s="3229" t="s">
        <v>141</v>
      </c>
      <c r="O4" s="3229" t="s">
        <v>142</v>
      </c>
      <c r="P4" s="3229" t="s">
        <v>143</v>
      </c>
      <c r="Q4" s="3229" t="s">
        <v>2871</v>
      </c>
      <c r="R4" s="3229" t="s">
        <v>2872</v>
      </c>
      <c r="S4" s="3229" t="s">
        <v>2873</v>
      </c>
      <c r="T4" s="3229" t="s">
        <v>2874</v>
      </c>
    </row>
    <row r="5" spans="1:20">
      <c r="A5" s="3234" t="s">
        <v>2837</v>
      </c>
      <c r="B5" s="3225" t="s">
        <v>2851</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2875</v>
      </c>
      <c r="R5" s="3229" t="s">
        <v>2876</v>
      </c>
      <c r="S5" s="3229" t="s">
        <v>153</v>
      </c>
      <c r="T5" s="3229" t="s">
        <v>2877</v>
      </c>
    </row>
    <row r="6" spans="1:20" ht="12" thickBot="1">
      <c r="A6" s="3229" t="s">
        <v>144</v>
      </c>
      <c r="B6" s="3229" t="s">
        <v>2866</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2878</v>
      </c>
      <c r="Q6" s="3229" t="s">
        <v>2879</v>
      </c>
      <c r="R6" s="3229" t="s">
        <v>161</v>
      </c>
      <c r="S6" s="3229" t="s">
        <v>2880</v>
      </c>
      <c r="T6" s="3229" t="s">
        <v>2881</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2882</v>
      </c>
      <c r="Q7" s="3229" t="s">
        <v>2883</v>
      </c>
      <c r="R7" s="3229" t="s">
        <v>2884</v>
      </c>
      <c r="S7" s="3229" t="s">
        <v>2885</v>
      </c>
      <c r="T7" s="3229" t="s">
        <v>2886</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2887</v>
      </c>
      <c r="Q8" s="3229" t="s">
        <v>174</v>
      </c>
      <c r="R8" s="3229" t="s">
        <v>2888</v>
      </c>
      <c r="S8" s="3229" t="s">
        <v>2889</v>
      </c>
      <c r="T8" s="3236" t="s">
        <v>2890</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2891</v>
      </c>
      <c r="Q9" s="3229" t="s">
        <v>182</v>
      </c>
      <c r="R9" s="3229" t="s">
        <v>183</v>
      </c>
      <c r="S9" s="3229" t="s">
        <v>200</v>
      </c>
    </row>
    <row r="10" spans="1:20">
      <c r="A10" s="3234" t="s">
        <v>184</v>
      </c>
      <c r="B10" s="3225" t="s">
        <v>2852</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2892</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2893</v>
      </c>
      <c r="P11" s="3229" t="s">
        <v>191</v>
      </c>
      <c r="Q11" s="3229" t="s">
        <v>199</v>
      </c>
      <c r="R11" s="3229" t="s">
        <v>2894</v>
      </c>
      <c r="S11" s="3229" t="s">
        <v>2895</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2896</v>
      </c>
      <c r="P12" s="3229" t="s">
        <v>2897</v>
      </c>
      <c r="Q12" s="3229" t="s">
        <v>2898</v>
      </c>
      <c r="R12" s="3229" t="s">
        <v>2899</v>
      </c>
      <c r="S12" s="3229" t="s">
        <v>2900</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2901</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2902</v>
      </c>
      <c r="K14" s="3230" t="s">
        <v>215</v>
      </c>
      <c r="L14" s="3229" t="s">
        <v>216</v>
      </c>
      <c r="M14" s="3229" t="s">
        <v>217</v>
      </c>
      <c r="N14" s="3229" t="s">
        <v>218</v>
      </c>
      <c r="O14" s="3229" t="s">
        <v>240</v>
      </c>
      <c r="P14" s="3229" t="s">
        <v>213</v>
      </c>
      <c r="Q14" s="3229" t="s">
        <v>2903</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2904</v>
      </c>
      <c r="P15" s="3229" t="s">
        <v>2905</v>
      </c>
      <c r="Q15" s="3229" t="s">
        <v>242</v>
      </c>
      <c r="R15" s="3229" t="s">
        <v>2906</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2907</v>
      </c>
      <c r="P16" s="3229" t="s">
        <v>227</v>
      </c>
      <c r="Q16" s="3229" t="s">
        <v>250</v>
      </c>
      <c r="R16" s="3229" t="s">
        <v>207</v>
      </c>
      <c r="S16" s="3229" t="s">
        <v>2908</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2909</v>
      </c>
      <c r="P17" s="3229" t="s">
        <v>2910</v>
      </c>
      <c r="Q17" s="3229" t="s">
        <v>256</v>
      </c>
      <c r="R17" s="3229" t="s">
        <v>2911</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2912</v>
      </c>
      <c r="P18" s="3229" t="s">
        <v>241</v>
      </c>
      <c r="Q18" s="3229" t="s">
        <v>2913</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2914</v>
      </c>
      <c r="P19" s="3229" t="s">
        <v>249</v>
      </c>
      <c r="Q19" s="3229" t="s">
        <v>2915</v>
      </c>
      <c r="R19" s="3229" t="s">
        <v>265</v>
      </c>
      <c r="S19" s="3229" t="s">
        <v>2916</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2917</v>
      </c>
      <c r="P20" s="3229" t="s">
        <v>2918</v>
      </c>
      <c r="Q20" s="3229" t="s">
        <v>290</v>
      </c>
      <c r="R20" s="3229" t="s">
        <v>2919</v>
      </c>
      <c r="S20" s="3229" t="s">
        <v>277</v>
      </c>
    </row>
    <row r="21" spans="1:19" ht="14.25" customHeight="1" thickBot="1">
      <c r="A21" s="3229" t="s">
        <v>184</v>
      </c>
      <c r="B21" s="3230" t="s">
        <v>208</v>
      </c>
      <c r="C21" s="3229">
        <v>32370</v>
      </c>
      <c r="D21" s="3229">
        <v>26730</v>
      </c>
      <c r="E21" s="3229">
        <v>26640</v>
      </c>
      <c r="F21" s="3229"/>
      <c r="G21" s="3229">
        <v>19440</v>
      </c>
      <c r="J21" s="3236" t="s">
        <v>2920</v>
      </c>
      <c r="K21" s="3230" t="s">
        <v>267</v>
      </c>
      <c r="L21" s="3229" t="s">
        <v>268</v>
      </c>
      <c r="M21" s="3229" t="s">
        <v>269</v>
      </c>
      <c r="N21" s="3229" t="s">
        <v>270</v>
      </c>
      <c r="O21" s="3229" t="s">
        <v>264</v>
      </c>
      <c r="P21" s="3229" t="s">
        <v>283</v>
      </c>
      <c r="Q21" s="3229" t="s">
        <v>293</v>
      </c>
      <c r="R21" s="3229" t="s">
        <v>2921</v>
      </c>
      <c r="S21" s="3236" t="s">
        <v>2922</v>
      </c>
    </row>
    <row r="22" spans="1:19" ht="14.25" customHeight="1">
      <c r="A22" s="3229" t="s">
        <v>184</v>
      </c>
      <c r="B22" s="3230" t="s">
        <v>2902</v>
      </c>
      <c r="C22" s="3229">
        <v>29830</v>
      </c>
      <c r="D22" s="3229">
        <v>27600</v>
      </c>
      <c r="E22" s="3229">
        <v>28150</v>
      </c>
      <c r="F22" s="3229"/>
      <c r="G22" s="3229">
        <v>20080</v>
      </c>
      <c r="K22" s="3230" t="s">
        <v>2923</v>
      </c>
      <c r="L22" s="3229" t="s">
        <v>272</v>
      </c>
      <c r="M22" s="3229" t="s">
        <v>273</v>
      </c>
      <c r="N22" s="3229" t="s">
        <v>274</v>
      </c>
      <c r="O22" s="3229" t="s">
        <v>2924</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2925</v>
      </c>
      <c r="L23" s="3229" t="s">
        <v>278</v>
      </c>
      <c r="M23" s="3229" t="s">
        <v>279</v>
      </c>
      <c r="N23" s="3229" t="s">
        <v>2926</v>
      </c>
      <c r="O23" s="3229" t="s">
        <v>2927</v>
      </c>
      <c r="P23" s="3229" t="s">
        <v>289</v>
      </c>
      <c r="Q23" s="3229" t="s">
        <v>298</v>
      </c>
      <c r="R23" s="3229" t="s">
        <v>2928</v>
      </c>
    </row>
    <row r="24" spans="1:19" ht="14.25" customHeight="1">
      <c r="A24" s="3229" t="s">
        <v>184</v>
      </c>
      <c r="B24" s="3230" t="s">
        <v>230</v>
      </c>
      <c r="C24" s="3229">
        <v>27930</v>
      </c>
      <c r="D24" s="3229">
        <v>32260</v>
      </c>
      <c r="E24" s="3229">
        <v>32120</v>
      </c>
      <c r="F24" s="3229"/>
      <c r="G24" s="3229">
        <v>23470</v>
      </c>
      <c r="K24" s="3230" t="s">
        <v>2929</v>
      </c>
      <c r="L24" s="3229" t="s">
        <v>281</v>
      </c>
      <c r="M24" s="3229" t="s">
        <v>282</v>
      </c>
      <c r="N24" s="3229" t="s">
        <v>2930</v>
      </c>
      <c r="O24" s="3229" t="s">
        <v>285</v>
      </c>
      <c r="P24" s="3229" t="s">
        <v>2931</v>
      </c>
      <c r="Q24" s="3238" t="s">
        <v>2932</v>
      </c>
      <c r="R24" s="3229" t="s">
        <v>2933</v>
      </c>
    </row>
    <row r="25" spans="1:19" ht="14.25" customHeight="1">
      <c r="A25" s="3229" t="s">
        <v>184</v>
      </c>
      <c r="B25" s="3230" t="s">
        <v>235</v>
      </c>
      <c r="C25" s="3229">
        <v>32230</v>
      </c>
      <c r="D25" s="3229">
        <v>29640</v>
      </c>
      <c r="E25" s="3229">
        <v>29510</v>
      </c>
      <c r="F25" s="3229"/>
      <c r="G25" s="3229">
        <v>21560</v>
      </c>
      <c r="K25" s="3230" t="s">
        <v>2934</v>
      </c>
      <c r="L25" s="3229" t="s">
        <v>2935</v>
      </c>
      <c r="M25" s="3229" t="s">
        <v>284</v>
      </c>
      <c r="N25" s="3229" t="s">
        <v>292</v>
      </c>
      <c r="O25" s="3229" t="s">
        <v>288</v>
      </c>
      <c r="P25" s="3229" t="s">
        <v>275</v>
      </c>
      <c r="Q25" s="3238" t="s">
        <v>271</v>
      </c>
      <c r="R25" s="3229" t="s">
        <v>2936</v>
      </c>
    </row>
    <row r="26" spans="1:19" ht="14.25" customHeight="1" thickBot="1">
      <c r="A26" s="3229" t="s">
        <v>184</v>
      </c>
      <c r="B26" s="3230" t="s">
        <v>244</v>
      </c>
      <c r="C26" s="3229">
        <v>31690</v>
      </c>
      <c r="D26" s="3229">
        <v>27650</v>
      </c>
      <c r="E26" s="3229">
        <v>28200</v>
      </c>
      <c r="F26" s="3229"/>
      <c r="G26" s="3229">
        <v>20110</v>
      </c>
      <c r="K26" s="3235" t="s">
        <v>2937</v>
      </c>
      <c r="L26" s="3229" t="s">
        <v>2938</v>
      </c>
      <c r="M26" s="3229" t="s">
        <v>287</v>
      </c>
      <c r="N26" s="3229" t="s">
        <v>294</v>
      </c>
      <c r="O26" s="3229" t="s">
        <v>2939</v>
      </c>
      <c r="P26" s="3229" t="s">
        <v>2940</v>
      </c>
      <c r="Q26" s="3238" t="s">
        <v>276</v>
      </c>
      <c r="R26" s="3229" t="s">
        <v>2941</v>
      </c>
    </row>
    <row r="27" spans="1:19" ht="14.25" customHeight="1">
      <c r="A27" s="3229" t="s">
        <v>184</v>
      </c>
      <c r="B27" s="3230" t="s">
        <v>251</v>
      </c>
      <c r="C27" s="3229">
        <v>29610</v>
      </c>
      <c r="D27" s="3229">
        <v>27770</v>
      </c>
      <c r="E27" s="3229">
        <v>28300</v>
      </c>
      <c r="F27" s="3229"/>
      <c r="G27" s="3229">
        <v>20210</v>
      </c>
      <c r="L27" s="3229" t="s">
        <v>2942</v>
      </c>
      <c r="M27" s="3229" t="s">
        <v>291</v>
      </c>
      <c r="N27" s="3229" t="s">
        <v>297</v>
      </c>
      <c r="O27" s="3229" t="s">
        <v>2943</v>
      </c>
      <c r="P27" s="3229" t="s">
        <v>2944</v>
      </c>
      <c r="Q27" s="3229" t="s">
        <v>2945</v>
      </c>
      <c r="R27" s="3229" t="s">
        <v>2946</v>
      </c>
    </row>
    <row r="28" spans="1:19" ht="14.25" customHeight="1">
      <c r="A28" s="3229" t="s">
        <v>184</v>
      </c>
      <c r="B28" s="3230" t="s">
        <v>259</v>
      </c>
      <c r="C28" s="3229"/>
      <c r="D28" s="3229">
        <v>31520</v>
      </c>
      <c r="E28" s="3229">
        <v>31410</v>
      </c>
      <c r="F28" s="3229"/>
      <c r="G28" s="3229">
        <v>22940</v>
      </c>
      <c r="L28" s="3229" t="s">
        <v>2947</v>
      </c>
      <c r="M28" s="3229" t="s">
        <v>2948</v>
      </c>
      <c r="N28" s="3229" t="s">
        <v>2949</v>
      </c>
      <c r="O28" s="3229" t="s">
        <v>2950</v>
      </c>
      <c r="P28" s="3229" t="s">
        <v>2951</v>
      </c>
      <c r="Q28" s="3229" t="s">
        <v>2952</v>
      </c>
      <c r="R28" s="3229" t="s">
        <v>2953</v>
      </c>
    </row>
    <row r="29" spans="1:19" ht="14.25" customHeight="1" thickBot="1">
      <c r="A29" s="3237" t="s">
        <v>184</v>
      </c>
      <c r="B29" s="3239" t="s">
        <v>2920</v>
      </c>
      <c r="C29" s="3240"/>
      <c r="D29" s="3240">
        <v>29460</v>
      </c>
      <c r="E29" s="3240">
        <v>28640</v>
      </c>
      <c r="F29" s="3240"/>
      <c r="G29" s="3240">
        <v>21430</v>
      </c>
      <c r="L29" s="3229" t="s">
        <v>2954</v>
      </c>
      <c r="M29" s="3229" t="s">
        <v>2955</v>
      </c>
      <c r="N29" s="3229" t="s">
        <v>2956</v>
      </c>
      <c r="O29" s="3229" t="s">
        <v>2957</v>
      </c>
      <c r="P29" s="3229" t="s">
        <v>2958</v>
      </c>
      <c r="Q29" s="3229" t="s">
        <v>2959</v>
      </c>
      <c r="R29" s="3229" t="s">
        <v>280</v>
      </c>
    </row>
    <row r="30" spans="1:19" ht="14.25" customHeight="1">
      <c r="A30" s="3234" t="s">
        <v>296</v>
      </c>
      <c r="B30" s="3225" t="s">
        <v>2853</v>
      </c>
      <c r="C30" s="3225">
        <v>26890</v>
      </c>
      <c r="D30" s="3225">
        <v>26770</v>
      </c>
      <c r="E30" s="3225">
        <v>25700</v>
      </c>
      <c r="F30" s="3225">
        <v>8180</v>
      </c>
      <c r="G30" s="3241">
        <v>18740</v>
      </c>
      <c r="L30" s="3229" t="s">
        <v>2960</v>
      </c>
      <c r="M30" s="3229" t="s">
        <v>2961</v>
      </c>
      <c r="N30" s="3229" t="s">
        <v>2962</v>
      </c>
      <c r="O30" s="3229" t="s">
        <v>2963</v>
      </c>
      <c r="P30" s="3229" t="s">
        <v>2964</v>
      </c>
      <c r="Q30" s="3229" t="s">
        <v>2965</v>
      </c>
      <c r="R30" s="3229" t="s">
        <v>2966</v>
      </c>
    </row>
    <row r="31" spans="1:19" ht="14.25" customHeight="1">
      <c r="A31" s="3229" t="s">
        <v>296</v>
      </c>
      <c r="B31" s="3230" t="s">
        <v>129</v>
      </c>
      <c r="C31" s="3229">
        <v>24550</v>
      </c>
      <c r="D31" s="3229">
        <v>23990</v>
      </c>
      <c r="E31" s="3229">
        <v>22930</v>
      </c>
      <c r="F31" s="3229">
        <v>7470</v>
      </c>
      <c r="G31" s="3242">
        <v>16790</v>
      </c>
      <c r="L31" s="3229" t="s">
        <v>2967</v>
      </c>
      <c r="M31" s="3229" t="s">
        <v>2968</v>
      </c>
      <c r="N31" s="3229" t="s">
        <v>2969</v>
      </c>
      <c r="O31" s="3229" t="s">
        <v>2970</v>
      </c>
      <c r="P31" s="3229" t="s">
        <v>2971</v>
      </c>
      <c r="Q31" s="3229" t="s">
        <v>2972</v>
      </c>
      <c r="R31" s="3229" t="s">
        <v>2973</v>
      </c>
    </row>
    <row r="32" spans="1:19" ht="14.25" customHeight="1" thickBot="1">
      <c r="A32" s="3229" t="s">
        <v>296</v>
      </c>
      <c r="B32" s="3230" t="s">
        <v>138</v>
      </c>
      <c r="C32" s="3229">
        <v>27210</v>
      </c>
      <c r="D32" s="3229">
        <v>23240</v>
      </c>
      <c r="E32" s="3229">
        <v>23260</v>
      </c>
      <c r="F32" s="3229">
        <v>7130</v>
      </c>
      <c r="G32" s="3242">
        <v>16270</v>
      </c>
      <c r="L32" s="3229" t="s">
        <v>2974</v>
      </c>
      <c r="M32" s="3229" t="s">
        <v>2975</v>
      </c>
      <c r="N32" s="3229" t="s">
        <v>300</v>
      </c>
      <c r="O32" s="3229" t="s">
        <v>2976</v>
      </c>
      <c r="P32" s="3229" t="s">
        <v>299</v>
      </c>
      <c r="Q32" s="3229" t="s">
        <v>2977</v>
      </c>
      <c r="R32" s="3236" t="s">
        <v>2978</v>
      </c>
    </row>
    <row r="33" spans="1:17" ht="14.25" customHeight="1" thickBot="1">
      <c r="A33" s="3229" t="s">
        <v>296</v>
      </c>
      <c r="B33" s="3230" t="s">
        <v>147</v>
      </c>
      <c r="C33" s="3229">
        <v>27300</v>
      </c>
      <c r="D33" s="3229">
        <v>22980</v>
      </c>
      <c r="E33" s="3229">
        <v>24260</v>
      </c>
      <c r="F33" s="3229">
        <v>5860</v>
      </c>
      <c r="G33" s="3242">
        <v>16090</v>
      </c>
      <c r="L33" s="3236" t="s">
        <v>2979</v>
      </c>
      <c r="M33" s="3229" t="s">
        <v>2980</v>
      </c>
      <c r="N33" s="3229" t="s">
        <v>301</v>
      </c>
      <c r="O33" s="3229" t="s">
        <v>2981</v>
      </c>
      <c r="P33" s="3229" t="s">
        <v>2982</v>
      </c>
      <c r="Q33" s="3229" t="s">
        <v>2983</v>
      </c>
    </row>
    <row r="34" spans="1:17" ht="14.25" customHeight="1">
      <c r="A34" s="3229" t="s">
        <v>296</v>
      </c>
      <c r="B34" s="3230" t="s">
        <v>156</v>
      </c>
      <c r="C34" s="3229">
        <v>23090</v>
      </c>
      <c r="D34" s="3229">
        <v>23390</v>
      </c>
      <c r="E34" s="3229">
        <v>23510</v>
      </c>
      <c r="F34" s="3229">
        <v>6700</v>
      </c>
      <c r="G34" s="3242">
        <v>16370</v>
      </c>
      <c r="M34" s="3229" t="s">
        <v>2984</v>
      </c>
      <c r="N34" s="3229" t="s">
        <v>302</v>
      </c>
      <c r="O34" s="3229" t="s">
        <v>2985</v>
      </c>
      <c r="P34" s="3229" t="s">
        <v>2986</v>
      </c>
      <c r="Q34" s="3229" t="s">
        <v>2987</v>
      </c>
    </row>
    <row r="35" spans="1:17" ht="14.25" customHeight="1">
      <c r="A35" s="3229" t="s">
        <v>296</v>
      </c>
      <c r="B35" s="3230" t="s">
        <v>163</v>
      </c>
      <c r="C35" s="3229">
        <v>27270</v>
      </c>
      <c r="D35" s="3229">
        <v>24270</v>
      </c>
      <c r="E35" s="3229">
        <v>24950</v>
      </c>
      <c r="F35" s="3229">
        <v>6600</v>
      </c>
      <c r="G35" s="3242">
        <v>16990</v>
      </c>
      <c r="M35" s="3229" t="s">
        <v>2988</v>
      </c>
      <c r="N35" s="3229" t="s">
        <v>2989</v>
      </c>
      <c r="O35" s="3229" t="s">
        <v>2990</v>
      </c>
      <c r="P35" s="3229" t="s">
        <v>2991</v>
      </c>
      <c r="Q35" s="3229" t="s">
        <v>2992</v>
      </c>
    </row>
    <row r="36" spans="1:17" ht="14.25" customHeight="1">
      <c r="A36" s="3229" t="s">
        <v>296</v>
      </c>
      <c r="B36" s="3230" t="s">
        <v>169</v>
      </c>
      <c r="C36" s="3229">
        <v>23490</v>
      </c>
      <c r="D36" s="3229">
        <v>23020</v>
      </c>
      <c r="E36" s="3229">
        <v>25230</v>
      </c>
      <c r="F36" s="3229">
        <v>6780</v>
      </c>
      <c r="G36" s="3242">
        <v>16120</v>
      </c>
      <c r="M36" s="3229" t="s">
        <v>2993</v>
      </c>
      <c r="N36" s="3229" t="s">
        <v>2994</v>
      </c>
      <c r="O36" s="3229" t="s">
        <v>2995</v>
      </c>
      <c r="P36" s="3229" t="s">
        <v>2996</v>
      </c>
      <c r="Q36" s="3229" t="s">
        <v>2997</v>
      </c>
    </row>
    <row r="37" spans="1:17" ht="14.25" customHeight="1">
      <c r="A37" s="3229" t="s">
        <v>296</v>
      </c>
      <c r="B37" s="3230" t="s">
        <v>176</v>
      </c>
      <c r="C37" s="3229">
        <v>24380</v>
      </c>
      <c r="D37" s="3229">
        <v>22240</v>
      </c>
      <c r="E37" s="3229">
        <v>25980</v>
      </c>
      <c r="F37" s="3229">
        <v>8160</v>
      </c>
      <c r="G37" s="3242">
        <v>15570</v>
      </c>
      <c r="M37" s="3229" t="s">
        <v>2998</v>
      </c>
      <c r="N37" s="3229" t="s">
        <v>2999</v>
      </c>
      <c r="O37" s="3229" t="s">
        <v>3000</v>
      </c>
      <c r="P37" s="3229" t="s">
        <v>3001</v>
      </c>
      <c r="Q37" s="3229" t="s">
        <v>3002</v>
      </c>
    </row>
    <row r="38" spans="1:17" ht="14.25" customHeight="1">
      <c r="A38" s="3229" t="s">
        <v>296</v>
      </c>
      <c r="B38" s="3230" t="s">
        <v>186</v>
      </c>
      <c r="C38" s="3229">
        <v>23120</v>
      </c>
      <c r="D38" s="3229">
        <v>24630</v>
      </c>
      <c r="E38" s="3229">
        <v>25030</v>
      </c>
      <c r="F38" s="3229">
        <v>7710</v>
      </c>
      <c r="G38" s="3242">
        <v>17240</v>
      </c>
      <c r="M38" s="3229" t="s">
        <v>3003</v>
      </c>
      <c r="N38" s="3229" t="s">
        <v>3004</v>
      </c>
      <c r="O38" s="3229" t="s">
        <v>3005</v>
      </c>
      <c r="P38" s="3229" t="s">
        <v>3006</v>
      </c>
      <c r="Q38" s="3229" t="s">
        <v>3007</v>
      </c>
    </row>
    <row r="39" spans="1:17" ht="14.25" customHeight="1">
      <c r="A39" s="3229" t="s">
        <v>296</v>
      </c>
      <c r="B39" s="3230" t="s">
        <v>195</v>
      </c>
      <c r="C39" s="3229">
        <v>22330</v>
      </c>
      <c r="D39" s="3229">
        <v>21140</v>
      </c>
      <c r="E39" s="3229">
        <v>23970</v>
      </c>
      <c r="F39" s="3229">
        <v>7940</v>
      </c>
      <c r="G39" s="3242">
        <v>14790</v>
      </c>
      <c r="M39" s="3229" t="s">
        <v>3008</v>
      </c>
      <c r="N39" s="3229" t="s">
        <v>3009</v>
      </c>
      <c r="O39" s="3229" t="s">
        <v>3010</v>
      </c>
      <c r="P39" s="3229" t="s">
        <v>3011</v>
      </c>
      <c r="Q39" s="3229" t="s">
        <v>3012</v>
      </c>
    </row>
    <row r="40" spans="1:17" ht="14.25" customHeight="1">
      <c r="A40" s="3229" t="s">
        <v>296</v>
      </c>
      <c r="B40" s="3230" t="s">
        <v>202</v>
      </c>
      <c r="C40" s="3229">
        <v>24740</v>
      </c>
      <c r="D40" s="3229">
        <v>24690</v>
      </c>
      <c r="E40" s="3229">
        <v>22610</v>
      </c>
      <c r="F40" s="3229"/>
      <c r="G40" s="3242">
        <v>17280</v>
      </c>
      <c r="M40" s="3229" t="s">
        <v>3013</v>
      </c>
      <c r="N40" s="3229" t="s">
        <v>3014</v>
      </c>
      <c r="O40" s="3229" t="s">
        <v>3015</v>
      </c>
      <c r="P40" s="3229" t="s">
        <v>3016</v>
      </c>
      <c r="Q40" s="3229" t="s">
        <v>3017</v>
      </c>
    </row>
    <row r="41" spans="1:17" ht="14.25" customHeight="1" thickBot="1">
      <c r="A41" s="3229" t="s">
        <v>296</v>
      </c>
      <c r="B41" s="3230" t="s">
        <v>209</v>
      </c>
      <c r="C41" s="3229">
        <v>21220</v>
      </c>
      <c r="D41" s="3229">
        <v>21120</v>
      </c>
      <c r="E41" s="3229">
        <v>22590</v>
      </c>
      <c r="F41" s="3229"/>
      <c r="G41" s="3242">
        <v>14780</v>
      </c>
      <c r="M41" s="3236" t="s">
        <v>3018</v>
      </c>
      <c r="N41" s="3229" t="s">
        <v>3019</v>
      </c>
      <c r="O41" s="3229" t="s">
        <v>3020</v>
      </c>
      <c r="P41" s="3229" t="s">
        <v>3021</v>
      </c>
      <c r="Q41" s="3229" t="s">
        <v>3022</v>
      </c>
    </row>
    <row r="42" spans="1:17" ht="14.25" customHeight="1">
      <c r="A42" s="3229" t="s">
        <v>296</v>
      </c>
      <c r="B42" s="3230" t="s">
        <v>215</v>
      </c>
      <c r="C42" s="3229">
        <v>24800</v>
      </c>
      <c r="D42" s="3229">
        <v>22280</v>
      </c>
      <c r="E42" s="3229">
        <v>24350</v>
      </c>
      <c r="F42" s="3229"/>
      <c r="G42" s="3242">
        <v>15590</v>
      </c>
      <c r="N42" s="3229" t="s">
        <v>3023</v>
      </c>
      <c r="O42" s="3229" t="s">
        <v>3024</v>
      </c>
      <c r="P42" s="3229" t="s">
        <v>3025</v>
      </c>
      <c r="Q42" s="3229" t="s">
        <v>3026</v>
      </c>
    </row>
    <row r="43" spans="1:17" ht="14.25" customHeight="1">
      <c r="A43" s="3229" t="s">
        <v>3027</v>
      </c>
      <c r="B43" s="3230" t="s">
        <v>223</v>
      </c>
      <c r="C43" s="3229">
        <v>21210</v>
      </c>
      <c r="D43" s="3229">
        <v>21160</v>
      </c>
      <c r="E43" s="3229">
        <v>22650</v>
      </c>
      <c r="F43" s="3229"/>
      <c r="G43" s="3242">
        <v>14800</v>
      </c>
      <c r="N43" s="3229" t="s">
        <v>3028</v>
      </c>
      <c r="O43" s="3229" t="s">
        <v>3029</v>
      </c>
      <c r="P43" s="3229" t="s">
        <v>3030</v>
      </c>
      <c r="Q43" s="3229" t="s">
        <v>3031</v>
      </c>
    </row>
    <row r="44" spans="1:17" ht="14.25" customHeight="1" thickBot="1">
      <c r="A44" s="3229" t="s">
        <v>296</v>
      </c>
      <c r="B44" s="3230" t="s">
        <v>231</v>
      </c>
      <c r="C44" s="3229">
        <v>22370</v>
      </c>
      <c r="D44" s="3229">
        <v>23140</v>
      </c>
      <c r="E44" s="3229">
        <v>25090</v>
      </c>
      <c r="F44" s="3229"/>
      <c r="G44" s="3242">
        <v>16190</v>
      </c>
      <c r="N44" s="3229" t="s">
        <v>3032</v>
      </c>
      <c r="O44" s="3229" t="s">
        <v>3033</v>
      </c>
      <c r="P44" s="3236" t="s">
        <v>3034</v>
      </c>
      <c r="Q44" s="3229" t="s">
        <v>3035</v>
      </c>
    </row>
    <row r="45" spans="1:17" ht="14.25" customHeight="1" thickBot="1">
      <c r="A45" s="3229" t="s">
        <v>296</v>
      </c>
      <c r="B45" s="3230" t="s">
        <v>236</v>
      </c>
      <c r="C45" s="3229">
        <v>21240</v>
      </c>
      <c r="D45" s="3229">
        <v>27050</v>
      </c>
      <c r="E45" s="3229">
        <v>28000</v>
      </c>
      <c r="F45" s="3229"/>
      <c r="G45" s="3242">
        <v>18940</v>
      </c>
      <c r="N45" s="3229" t="s">
        <v>3036</v>
      </c>
      <c r="O45" s="3236" t="s">
        <v>3037</v>
      </c>
      <c r="Q45" s="3229" t="s">
        <v>3038</v>
      </c>
    </row>
    <row r="46" spans="1:17" ht="14.25" customHeight="1">
      <c r="A46" s="3229" t="s">
        <v>296</v>
      </c>
      <c r="B46" s="3230" t="s">
        <v>245</v>
      </c>
      <c r="C46" s="3229">
        <v>23240</v>
      </c>
      <c r="D46" s="3229">
        <v>23000</v>
      </c>
      <c r="E46" s="3229">
        <v>24980</v>
      </c>
      <c r="F46" s="3229"/>
      <c r="G46" s="3242">
        <v>16100</v>
      </c>
      <c r="N46" s="3229" t="s">
        <v>3039</v>
      </c>
      <c r="Q46" s="3229" t="s">
        <v>3040</v>
      </c>
    </row>
    <row r="47" spans="1:17" ht="14.25" customHeight="1">
      <c r="A47" s="3229" t="s">
        <v>296</v>
      </c>
      <c r="B47" s="3230" t="s">
        <v>252</v>
      </c>
      <c r="C47" s="3229">
        <v>27150</v>
      </c>
      <c r="D47" s="3229">
        <v>23310</v>
      </c>
      <c r="E47" s="3229">
        <v>25150</v>
      </c>
      <c r="F47" s="3229"/>
      <c r="G47" s="3242">
        <v>16310</v>
      </c>
      <c r="N47" s="3229" t="s">
        <v>3041</v>
      </c>
      <c r="Q47" s="3229" t="s">
        <v>3042</v>
      </c>
    </row>
    <row r="48" spans="1:17" ht="14.25" customHeight="1">
      <c r="A48" s="3229" t="s">
        <v>296</v>
      </c>
      <c r="B48" s="3230" t="s">
        <v>260</v>
      </c>
      <c r="C48" s="3229">
        <v>23100</v>
      </c>
      <c r="D48" s="3229">
        <v>21110</v>
      </c>
      <c r="E48" s="3229">
        <v>23080</v>
      </c>
      <c r="F48" s="3229"/>
      <c r="G48" s="3242">
        <v>14780</v>
      </c>
      <c r="N48" s="3229" t="s">
        <v>3043</v>
      </c>
      <c r="Q48" s="3229" t="s">
        <v>3044</v>
      </c>
    </row>
    <row r="49" spans="1:17" ht="14.25" customHeight="1">
      <c r="A49" s="3229" t="s">
        <v>296</v>
      </c>
      <c r="B49" s="3230" t="s">
        <v>267</v>
      </c>
      <c r="C49" s="3229">
        <v>23400</v>
      </c>
      <c r="D49" s="3229">
        <v>22920</v>
      </c>
      <c r="E49" s="3229">
        <v>24900</v>
      </c>
      <c r="F49" s="3229"/>
      <c r="G49" s="3242">
        <v>16040</v>
      </c>
      <c r="N49" s="3229" t="s">
        <v>3045</v>
      </c>
      <c r="Q49" s="3229" t="s">
        <v>3046</v>
      </c>
    </row>
    <row r="50" spans="1:17" ht="14.25" customHeight="1">
      <c r="A50" s="3229" t="s">
        <v>296</v>
      </c>
      <c r="B50" s="3230" t="s">
        <v>2923</v>
      </c>
      <c r="C50" s="3229">
        <v>21200</v>
      </c>
      <c r="D50" s="3229">
        <v>26540</v>
      </c>
      <c r="E50" s="3229">
        <v>23200</v>
      </c>
      <c r="F50" s="3229"/>
      <c r="G50" s="3242">
        <v>18580</v>
      </c>
      <c r="N50" s="3229" t="s">
        <v>3047</v>
      </c>
      <c r="Q50" s="3230" t="s">
        <v>3048</v>
      </c>
    </row>
    <row r="51" spans="1:17" ht="14.25" customHeight="1" thickBot="1">
      <c r="A51" s="3229" t="s">
        <v>296</v>
      </c>
      <c r="B51" s="3230" t="s">
        <v>2925</v>
      </c>
      <c r="C51" s="3229">
        <v>23000</v>
      </c>
      <c r="D51" s="3229">
        <v>23460</v>
      </c>
      <c r="E51" s="3229">
        <v>25290</v>
      </c>
      <c r="F51" s="3229"/>
      <c r="G51" s="3242">
        <v>16420</v>
      </c>
      <c r="N51" s="3229" t="s">
        <v>3049</v>
      </c>
      <c r="Q51" s="3236" t="s">
        <v>3050</v>
      </c>
    </row>
    <row r="52" spans="1:17" ht="14.25" customHeight="1">
      <c r="A52" s="3229" t="s">
        <v>296</v>
      </c>
      <c r="B52" s="3230" t="s">
        <v>2929</v>
      </c>
      <c r="C52" s="3229">
        <v>26660</v>
      </c>
      <c r="D52" s="3229">
        <v>22350</v>
      </c>
      <c r="E52" s="3229">
        <v>22920</v>
      </c>
      <c r="F52" s="3229"/>
      <c r="G52" s="3242">
        <v>15640</v>
      </c>
      <c r="N52" s="3229" t="s">
        <v>3051</v>
      </c>
    </row>
    <row r="53" spans="1:17" ht="14.25" customHeight="1">
      <c r="A53" s="3229" t="s">
        <v>296</v>
      </c>
      <c r="B53" s="3230" t="s">
        <v>2934</v>
      </c>
      <c r="C53" s="3229">
        <v>23580</v>
      </c>
      <c r="D53" s="3229"/>
      <c r="E53" s="3229">
        <v>24280</v>
      </c>
      <c r="F53" s="3229"/>
      <c r="G53" s="3242"/>
      <c r="N53" s="3229" t="s">
        <v>3052</v>
      </c>
    </row>
    <row r="54" spans="1:17" ht="14.25" customHeight="1" thickBot="1">
      <c r="A54" s="3243" t="s">
        <v>296</v>
      </c>
      <c r="B54" s="3235" t="s">
        <v>2937</v>
      </c>
      <c r="C54" s="3236">
        <v>22460</v>
      </c>
      <c r="D54" s="3236"/>
      <c r="E54" s="3236"/>
      <c r="F54" s="3236"/>
      <c r="G54" s="3244"/>
      <c r="N54" s="3229" t="s">
        <v>3053</v>
      </c>
    </row>
    <row r="55" spans="1:17" ht="14.25" customHeight="1">
      <c r="A55" s="3234" t="s">
        <v>110</v>
      </c>
      <c r="B55" s="3225" t="s">
        <v>3054</v>
      </c>
      <c r="C55" s="3229">
        <v>21970</v>
      </c>
      <c r="D55" s="3229">
        <v>20370</v>
      </c>
      <c r="E55" s="3229">
        <v>20180</v>
      </c>
      <c r="F55" s="3229">
        <v>5730</v>
      </c>
      <c r="G55" s="3229">
        <v>13820</v>
      </c>
      <c r="N55" s="3229" t="s">
        <v>3055</v>
      </c>
    </row>
    <row r="56" spans="1:17" ht="14.25" customHeight="1">
      <c r="A56" s="3229" t="s">
        <v>110</v>
      </c>
      <c r="B56" s="3229" t="s">
        <v>130</v>
      </c>
      <c r="C56" s="3229">
        <v>20470</v>
      </c>
      <c r="D56" s="3229">
        <v>20700</v>
      </c>
      <c r="E56" s="3229">
        <v>20380</v>
      </c>
      <c r="F56" s="3229">
        <v>4760</v>
      </c>
      <c r="G56" s="3229">
        <v>14050</v>
      </c>
      <c r="N56" s="3229" t="s">
        <v>3056</v>
      </c>
    </row>
    <row r="57" spans="1:17" ht="14.25" customHeight="1">
      <c r="A57" s="3229" t="s">
        <v>110</v>
      </c>
      <c r="B57" s="3229" t="s">
        <v>139</v>
      </c>
      <c r="C57" s="3229">
        <v>20790</v>
      </c>
      <c r="D57" s="3229">
        <v>21370</v>
      </c>
      <c r="E57" s="3229">
        <v>20890</v>
      </c>
      <c r="F57" s="3229">
        <v>4910</v>
      </c>
      <c r="G57" s="3229">
        <v>14510</v>
      </c>
      <c r="N57" s="3229" t="s">
        <v>3057</v>
      </c>
    </row>
    <row r="58" spans="1:17" ht="14.25" customHeight="1">
      <c r="A58" s="3229" t="s">
        <v>110</v>
      </c>
      <c r="B58" s="3229" t="s">
        <v>148</v>
      </c>
      <c r="C58" s="3229">
        <v>21460</v>
      </c>
      <c r="D58" s="3229">
        <v>20920</v>
      </c>
      <c r="E58" s="3229">
        <v>23410</v>
      </c>
      <c r="F58" s="3229">
        <v>5100</v>
      </c>
      <c r="G58" s="3229">
        <v>14200</v>
      </c>
      <c r="N58" s="3229" t="s">
        <v>3058</v>
      </c>
    </row>
    <row r="59" spans="1:17" ht="14.25" customHeight="1">
      <c r="A59" s="3229" t="s">
        <v>110</v>
      </c>
      <c r="B59" s="3229" t="s">
        <v>157</v>
      </c>
      <c r="C59" s="3229">
        <v>21000</v>
      </c>
      <c r="D59" s="3229">
        <v>21550</v>
      </c>
      <c r="E59" s="3229">
        <v>21150</v>
      </c>
      <c r="F59" s="3229">
        <v>5250</v>
      </c>
      <c r="G59" s="3229">
        <v>14630</v>
      </c>
      <c r="N59" s="3229" t="s">
        <v>3059</v>
      </c>
    </row>
    <row r="60" spans="1:17" ht="14.25" customHeight="1">
      <c r="A60" s="3229" t="s">
        <v>110</v>
      </c>
      <c r="B60" s="3229" t="s">
        <v>164</v>
      </c>
      <c r="C60" s="3229">
        <v>21640</v>
      </c>
      <c r="D60" s="3229">
        <v>21260</v>
      </c>
      <c r="E60" s="3229">
        <v>24040</v>
      </c>
      <c r="F60" s="3229">
        <v>4470</v>
      </c>
      <c r="G60" s="3229">
        <v>14430</v>
      </c>
      <c r="N60" s="3229" t="s">
        <v>3060</v>
      </c>
    </row>
    <row r="61" spans="1:17" ht="14.25" customHeight="1">
      <c r="A61" s="3229" t="s">
        <v>110</v>
      </c>
      <c r="B61" s="3229" t="s">
        <v>170</v>
      </c>
      <c r="C61" s="3229">
        <v>21330</v>
      </c>
      <c r="D61" s="3229">
        <v>18640</v>
      </c>
      <c r="E61" s="3229">
        <v>21190</v>
      </c>
      <c r="F61" s="3229">
        <v>4180</v>
      </c>
      <c r="G61" s="3229">
        <v>12650</v>
      </c>
      <c r="N61" s="3229" t="s">
        <v>3061</v>
      </c>
    </row>
    <row r="62" spans="1:17" ht="14.25" customHeight="1">
      <c r="A62" s="3229" t="s">
        <v>110</v>
      </c>
      <c r="B62" s="3229" t="s">
        <v>177</v>
      </c>
      <c r="C62" s="3229">
        <v>18710</v>
      </c>
      <c r="D62" s="3229">
        <v>19400</v>
      </c>
      <c r="E62" s="3229">
        <v>23750</v>
      </c>
      <c r="F62" s="3229">
        <v>4860</v>
      </c>
      <c r="G62" s="3229">
        <v>13170</v>
      </c>
      <c r="N62" s="3229" t="s">
        <v>3062</v>
      </c>
    </row>
    <row r="63" spans="1:17" ht="14.25" customHeight="1">
      <c r="A63" s="3229" t="s">
        <v>110</v>
      </c>
      <c r="B63" s="3229" t="s">
        <v>187</v>
      </c>
      <c r="C63" s="3229">
        <v>19480</v>
      </c>
      <c r="D63" s="3229">
        <v>16830</v>
      </c>
      <c r="E63" s="3229">
        <v>21590</v>
      </c>
      <c r="F63" s="3229">
        <v>4560</v>
      </c>
      <c r="G63" s="3229">
        <v>11420</v>
      </c>
      <c r="N63" s="3229" t="s">
        <v>3063</v>
      </c>
    </row>
    <row r="64" spans="1:17" ht="14.25" customHeight="1" thickBot="1">
      <c r="A64" s="3229" t="s">
        <v>110</v>
      </c>
      <c r="B64" s="3229" t="s">
        <v>196</v>
      </c>
      <c r="C64" s="3229">
        <v>16920</v>
      </c>
      <c r="D64" s="3229">
        <v>19190</v>
      </c>
      <c r="E64" s="3229">
        <v>22200</v>
      </c>
      <c r="F64" s="3229">
        <v>4390</v>
      </c>
      <c r="G64" s="3229">
        <v>13030</v>
      </c>
      <c r="N64" s="3236" t="s">
        <v>3064</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2935</v>
      </c>
      <c r="C78" s="3229">
        <v>19820</v>
      </c>
      <c r="D78" s="3229">
        <v>19780</v>
      </c>
      <c r="E78" s="3229">
        <v>18560</v>
      </c>
      <c r="F78" s="3229"/>
      <c r="G78" s="3229">
        <v>13430</v>
      </c>
    </row>
    <row r="79" spans="1:7" s="3218" customFormat="1" ht="14.25" customHeight="1">
      <c r="A79" s="3229" t="s">
        <v>110</v>
      </c>
      <c r="B79" s="3229" t="s">
        <v>2938</v>
      </c>
      <c r="C79" s="3229">
        <v>21660</v>
      </c>
      <c r="D79" s="3229">
        <v>18000</v>
      </c>
      <c r="E79" s="3229">
        <v>22570</v>
      </c>
      <c r="F79" s="3229"/>
      <c r="G79" s="3229">
        <v>12220</v>
      </c>
    </row>
    <row r="80" spans="1:7" s="3218" customFormat="1" ht="14.25" customHeight="1">
      <c r="A80" s="3229" t="s">
        <v>110</v>
      </c>
      <c r="B80" s="3229" t="s">
        <v>2942</v>
      </c>
      <c r="C80" s="3229">
        <v>19850</v>
      </c>
      <c r="D80" s="3229"/>
      <c r="E80" s="3229">
        <v>21700</v>
      </c>
      <c r="F80" s="3229"/>
      <c r="G80" s="3229"/>
    </row>
    <row r="81" spans="1:7" s="3218" customFormat="1" ht="14.25" customHeight="1">
      <c r="A81" s="3229" t="s">
        <v>110</v>
      </c>
      <c r="B81" s="3229" t="s">
        <v>2947</v>
      </c>
      <c r="C81" s="3229">
        <v>18080</v>
      </c>
      <c r="D81" s="3229"/>
      <c r="E81" s="3229">
        <v>20900</v>
      </c>
      <c r="F81" s="3229"/>
      <c r="G81" s="3229"/>
    </row>
    <row r="82" spans="1:7" s="3218" customFormat="1" ht="14.25" customHeight="1">
      <c r="A82" s="3229" t="s">
        <v>110</v>
      </c>
      <c r="B82" s="3229" t="s">
        <v>2954</v>
      </c>
      <c r="C82" s="3229"/>
      <c r="D82" s="3229"/>
      <c r="E82" s="3229">
        <v>20840</v>
      </c>
      <c r="F82" s="3229"/>
      <c r="G82" s="3229"/>
    </row>
    <row r="83" spans="1:7" s="3218" customFormat="1" ht="14.25" customHeight="1">
      <c r="A83" s="3229" t="s">
        <v>110</v>
      </c>
      <c r="B83" s="3229" t="s">
        <v>3065</v>
      </c>
      <c r="C83" s="3229"/>
      <c r="D83" s="3229"/>
      <c r="E83" s="3229"/>
      <c r="F83" s="3229">
        <v>4770</v>
      </c>
      <c r="G83" s="3229"/>
    </row>
    <row r="84" spans="1:7" s="3218" customFormat="1" ht="14.25" customHeight="1">
      <c r="A84" s="3229" t="s">
        <v>110</v>
      </c>
      <c r="B84" s="3229" t="s">
        <v>3066</v>
      </c>
      <c r="C84" s="3229"/>
      <c r="D84" s="3229"/>
      <c r="E84" s="3229"/>
      <c r="F84" s="3229">
        <v>4600</v>
      </c>
      <c r="G84" s="3229"/>
    </row>
    <row r="85" spans="1:7" s="3218" customFormat="1" ht="14.25" customHeight="1">
      <c r="A85" s="3229" t="s">
        <v>110</v>
      </c>
      <c r="B85" s="3229" t="s">
        <v>3067</v>
      </c>
      <c r="C85" s="3229"/>
      <c r="D85" s="3229"/>
      <c r="E85" s="3229"/>
      <c r="F85" s="3229">
        <v>4680</v>
      </c>
      <c r="G85" s="3229"/>
    </row>
    <row r="86" spans="1:7" s="3218" customFormat="1" ht="14.25" customHeight="1" thickBot="1">
      <c r="A86" s="3237" t="s">
        <v>110</v>
      </c>
      <c r="B86" s="3239" t="s">
        <v>3068</v>
      </c>
      <c r="C86" s="3240">
        <v>16610</v>
      </c>
      <c r="D86" s="3240">
        <v>16540</v>
      </c>
      <c r="E86" s="3240">
        <v>18850</v>
      </c>
      <c r="F86" s="3240"/>
      <c r="G86" s="3240">
        <v>11220</v>
      </c>
    </row>
    <row r="87" spans="1:7" s="3218" customFormat="1" ht="14.25" customHeight="1">
      <c r="A87" s="3234" t="s">
        <v>303</v>
      </c>
      <c r="B87" s="3225" t="s">
        <v>3069</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2948</v>
      </c>
      <c r="C113" s="3229">
        <v>15520</v>
      </c>
      <c r="D113" s="3229">
        <v>15450</v>
      </c>
      <c r="E113" s="3229"/>
      <c r="F113" s="3229"/>
      <c r="G113" s="3242">
        <v>10210</v>
      </c>
    </row>
    <row r="114" spans="1:7" s="3218" customFormat="1" ht="14.25" customHeight="1">
      <c r="A114" s="3229" t="s">
        <v>303</v>
      </c>
      <c r="B114" s="3229" t="s">
        <v>2955</v>
      </c>
      <c r="C114" s="3229">
        <v>13110</v>
      </c>
      <c r="D114" s="3229">
        <v>13050</v>
      </c>
      <c r="E114" s="3229"/>
      <c r="F114" s="3229"/>
      <c r="G114" s="3242">
        <v>8620</v>
      </c>
    </row>
    <row r="115" spans="1:7" s="3218" customFormat="1" ht="14.25" customHeight="1">
      <c r="A115" s="3229" t="s">
        <v>303</v>
      </c>
      <c r="B115" s="3229" t="s">
        <v>2961</v>
      </c>
      <c r="C115" s="3229">
        <v>12460</v>
      </c>
      <c r="D115" s="3229">
        <v>12390</v>
      </c>
      <c r="E115" s="3229"/>
      <c r="F115" s="3229"/>
      <c r="G115" s="3242">
        <v>8190</v>
      </c>
    </row>
    <row r="116" spans="1:7" s="3218" customFormat="1" ht="14.25" customHeight="1">
      <c r="A116" s="3229" t="s">
        <v>303</v>
      </c>
      <c r="B116" s="3229" t="s">
        <v>2968</v>
      </c>
      <c r="C116" s="3229">
        <v>13580</v>
      </c>
      <c r="D116" s="3229">
        <v>13520</v>
      </c>
      <c r="E116" s="3229"/>
      <c r="F116" s="3229"/>
      <c r="G116" s="3242">
        <v>8930</v>
      </c>
    </row>
    <row r="117" spans="1:7" s="3218" customFormat="1" ht="14.25" customHeight="1">
      <c r="A117" s="3229" t="s">
        <v>303</v>
      </c>
      <c r="B117" s="3229" t="s">
        <v>2975</v>
      </c>
      <c r="C117" s="3229">
        <v>17120</v>
      </c>
      <c r="D117" s="3229">
        <v>17040</v>
      </c>
      <c r="E117" s="3229"/>
      <c r="F117" s="3229"/>
      <c r="G117" s="3242">
        <v>11260</v>
      </c>
    </row>
    <row r="118" spans="1:7" s="3218" customFormat="1" ht="14.25" customHeight="1">
      <c r="A118" s="3229" t="s">
        <v>303</v>
      </c>
      <c r="B118" s="3229" t="s">
        <v>2980</v>
      </c>
      <c r="C118" s="3229">
        <v>14860</v>
      </c>
      <c r="D118" s="3229">
        <v>14790</v>
      </c>
      <c r="E118" s="3229"/>
      <c r="F118" s="3229"/>
      <c r="G118" s="3242">
        <v>9780</v>
      </c>
    </row>
    <row r="119" spans="1:7" s="3218" customFormat="1" ht="14.25" customHeight="1">
      <c r="A119" s="3229" t="s">
        <v>303</v>
      </c>
      <c r="B119" s="3229" t="s">
        <v>2984</v>
      </c>
      <c r="C119" s="3229">
        <v>16470</v>
      </c>
      <c r="D119" s="3229">
        <v>16400</v>
      </c>
      <c r="E119" s="3229"/>
      <c r="F119" s="3229"/>
      <c r="G119" s="3242">
        <v>10840</v>
      </c>
    </row>
    <row r="120" spans="1:7" s="3218" customFormat="1" ht="14.25" customHeight="1">
      <c r="A120" s="3229" t="s">
        <v>303</v>
      </c>
      <c r="B120" s="3229" t="s">
        <v>3070</v>
      </c>
      <c r="C120" s="3229"/>
      <c r="D120" s="3229"/>
      <c r="E120" s="3229"/>
      <c r="F120" s="3229">
        <v>4160</v>
      </c>
      <c r="G120" s="3242"/>
    </row>
    <row r="121" spans="1:7" s="3218" customFormat="1" ht="14.25" customHeight="1">
      <c r="A121" s="3229" t="s">
        <v>303</v>
      </c>
      <c r="B121" s="3229" t="s">
        <v>3071</v>
      </c>
      <c r="C121" s="3229"/>
      <c r="D121" s="3229"/>
      <c r="E121" s="3229"/>
      <c r="F121" s="3229">
        <v>3880</v>
      </c>
      <c r="G121" s="3242"/>
    </row>
    <row r="122" spans="1:7" s="3218" customFormat="1" ht="14.25" customHeight="1">
      <c r="A122" s="3229" t="s">
        <v>303</v>
      </c>
      <c r="B122" s="3229" t="s">
        <v>3072</v>
      </c>
      <c r="C122" s="3229">
        <v>13750</v>
      </c>
      <c r="D122" s="3229">
        <v>13680</v>
      </c>
      <c r="E122" s="3229">
        <v>16460</v>
      </c>
      <c r="F122" s="3229">
        <v>2880</v>
      </c>
      <c r="G122" s="3242">
        <v>9040</v>
      </c>
    </row>
    <row r="123" spans="1:7" s="3218" customFormat="1" ht="14.25" customHeight="1">
      <c r="A123" s="3229" t="s">
        <v>303</v>
      </c>
      <c r="B123" s="3229" t="s">
        <v>3003</v>
      </c>
      <c r="C123" s="3229">
        <v>13590</v>
      </c>
      <c r="D123" s="3229">
        <v>13520</v>
      </c>
      <c r="E123" s="3229">
        <v>16290</v>
      </c>
      <c r="F123" s="3229">
        <v>2790</v>
      </c>
      <c r="G123" s="3242">
        <v>8930</v>
      </c>
    </row>
    <row r="124" spans="1:7" s="3218" customFormat="1" ht="14.25" customHeight="1">
      <c r="A124" s="3229" t="s">
        <v>303</v>
      </c>
      <c r="B124" s="3229" t="s">
        <v>3008</v>
      </c>
      <c r="C124" s="3229">
        <v>13400</v>
      </c>
      <c r="D124" s="3229">
        <v>13320</v>
      </c>
      <c r="E124" s="3229">
        <v>16100</v>
      </c>
      <c r="F124" s="3229">
        <v>2320</v>
      </c>
      <c r="G124" s="3242">
        <v>8800</v>
      </c>
    </row>
    <row r="125" spans="1:7" s="3218" customFormat="1" ht="14.25" customHeight="1">
      <c r="A125" s="3229" t="s">
        <v>303</v>
      </c>
      <c r="B125" s="3229" t="s">
        <v>3013</v>
      </c>
      <c r="C125" s="3229">
        <v>12860</v>
      </c>
      <c r="D125" s="3229">
        <v>12790</v>
      </c>
      <c r="E125" s="3229">
        <v>15370</v>
      </c>
      <c r="F125" s="3229">
        <v>2280</v>
      </c>
      <c r="G125" s="3242">
        <v>8450</v>
      </c>
    </row>
    <row r="126" spans="1:7" s="3218" customFormat="1" ht="14.25" customHeight="1" thickBot="1">
      <c r="A126" s="3243" t="s">
        <v>303</v>
      </c>
      <c r="B126" s="3236" t="s">
        <v>3018</v>
      </c>
      <c r="C126" s="3236">
        <v>12960</v>
      </c>
      <c r="D126" s="3236">
        <v>12890</v>
      </c>
      <c r="E126" s="3236">
        <v>15530</v>
      </c>
      <c r="F126" s="3236">
        <v>2910</v>
      </c>
      <c r="G126" s="3244">
        <v>8520</v>
      </c>
    </row>
    <row r="127" spans="1:7" s="3218" customFormat="1" ht="14.25" customHeight="1">
      <c r="A127" s="3234" t="s">
        <v>29</v>
      </c>
      <c r="B127" s="3225" t="s">
        <v>3073</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3074</v>
      </c>
      <c r="C148" s="3229">
        <v>10370</v>
      </c>
      <c r="D148" s="3229">
        <v>10310</v>
      </c>
      <c r="E148" s="3229">
        <v>12970</v>
      </c>
      <c r="F148" s="3229"/>
      <c r="G148" s="3229">
        <v>6630</v>
      </c>
    </row>
    <row r="149" spans="1:7" s="3218" customFormat="1" ht="14.25" customHeight="1">
      <c r="A149" s="3229" t="s">
        <v>29</v>
      </c>
      <c r="B149" s="3229" t="s">
        <v>3075</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2949</v>
      </c>
      <c r="C153" s="3229">
        <v>10880</v>
      </c>
      <c r="D153" s="3229">
        <v>10820</v>
      </c>
      <c r="E153" s="3229">
        <v>13660</v>
      </c>
      <c r="F153" s="3229">
        <v>2260</v>
      </c>
      <c r="G153" s="3229">
        <v>6970</v>
      </c>
    </row>
    <row r="154" spans="1:7" s="3218" customFormat="1" ht="14.25" customHeight="1">
      <c r="A154" s="3229" t="s">
        <v>29</v>
      </c>
      <c r="B154" s="3229" t="s">
        <v>3076</v>
      </c>
      <c r="C154" s="3229">
        <v>11220</v>
      </c>
      <c r="D154" s="3229">
        <v>11160</v>
      </c>
      <c r="E154" s="3229">
        <v>14130</v>
      </c>
      <c r="F154" s="3229">
        <v>2230</v>
      </c>
      <c r="G154" s="3229">
        <v>7180</v>
      </c>
    </row>
    <row r="155" spans="1:7" s="3218" customFormat="1" ht="14.25" customHeight="1">
      <c r="A155" s="3229" t="s">
        <v>29</v>
      </c>
      <c r="B155" s="3229" t="s">
        <v>2962</v>
      </c>
      <c r="C155" s="3229">
        <v>10430</v>
      </c>
      <c r="D155" s="3229">
        <v>10380</v>
      </c>
      <c r="E155" s="3229">
        <v>13140</v>
      </c>
      <c r="F155" s="3229">
        <v>2080</v>
      </c>
      <c r="G155" s="3229">
        <v>6650</v>
      </c>
    </row>
    <row r="156" spans="1:7" s="3218" customFormat="1" ht="14.25" customHeight="1">
      <c r="A156" s="3229" t="s">
        <v>29</v>
      </c>
      <c r="B156" s="3229" t="s">
        <v>3077</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3078</v>
      </c>
      <c r="C160" s="3229">
        <v>11180</v>
      </c>
      <c r="D160" s="3229">
        <v>11140</v>
      </c>
      <c r="E160" s="3229">
        <v>14050</v>
      </c>
      <c r="F160" s="3229">
        <v>2270</v>
      </c>
      <c r="G160" s="3229">
        <v>7170</v>
      </c>
    </row>
    <row r="161" spans="1:7" s="3218" customFormat="1" ht="14.25" customHeight="1">
      <c r="A161" s="3229" t="s">
        <v>29</v>
      </c>
      <c r="B161" s="3229" t="s">
        <v>2994</v>
      </c>
      <c r="C161" s="3229">
        <v>11160</v>
      </c>
      <c r="D161" s="3229">
        <v>11120</v>
      </c>
      <c r="E161" s="3229">
        <v>14020</v>
      </c>
      <c r="F161" s="3229">
        <v>2150</v>
      </c>
      <c r="G161" s="3229">
        <v>7160</v>
      </c>
    </row>
    <row r="162" spans="1:7" s="3218" customFormat="1" ht="14.25" customHeight="1">
      <c r="A162" s="3229" t="s">
        <v>29</v>
      </c>
      <c r="B162" s="3229" t="s">
        <v>2999</v>
      </c>
      <c r="C162" s="3229">
        <v>9620</v>
      </c>
      <c r="D162" s="3229">
        <v>9570</v>
      </c>
      <c r="E162" s="3229">
        <v>12320</v>
      </c>
      <c r="F162" s="3229">
        <v>2010</v>
      </c>
      <c r="G162" s="3229">
        <v>6160</v>
      </c>
    </row>
    <row r="163" spans="1:7" s="3218" customFormat="1" ht="14.25" customHeight="1">
      <c r="A163" s="3229" t="s">
        <v>29</v>
      </c>
      <c r="B163" s="3229" t="s">
        <v>3004</v>
      </c>
      <c r="C163" s="3229">
        <v>9320</v>
      </c>
      <c r="D163" s="3229">
        <v>9270</v>
      </c>
      <c r="E163" s="3229">
        <v>11790</v>
      </c>
      <c r="F163" s="3229">
        <v>1920</v>
      </c>
      <c r="G163" s="3229">
        <v>5960</v>
      </c>
    </row>
    <row r="164" spans="1:7" s="3218" customFormat="1" ht="14.25" customHeight="1">
      <c r="A164" s="3229" t="s">
        <v>29</v>
      </c>
      <c r="B164" s="3229" t="s">
        <v>3009</v>
      </c>
      <c r="C164" s="3229"/>
      <c r="D164" s="3229"/>
      <c r="E164" s="3229"/>
      <c r="F164" s="3229">
        <v>1980</v>
      </c>
      <c r="G164" s="3229"/>
    </row>
    <row r="165" spans="1:7" s="3218" customFormat="1" ht="14.25" customHeight="1">
      <c r="A165" s="3229" t="s">
        <v>29</v>
      </c>
      <c r="B165" s="3229" t="s">
        <v>3079</v>
      </c>
      <c r="C165" s="3229">
        <v>11060</v>
      </c>
      <c r="D165" s="3229">
        <v>11030</v>
      </c>
      <c r="E165" s="3229">
        <v>13850</v>
      </c>
      <c r="F165" s="3229">
        <v>2170</v>
      </c>
      <c r="G165" s="3229">
        <v>7090</v>
      </c>
    </row>
    <row r="166" spans="1:7" s="3218" customFormat="1" ht="14.25" customHeight="1">
      <c r="A166" s="3229" t="s">
        <v>29</v>
      </c>
      <c r="B166" s="3229" t="s">
        <v>3019</v>
      </c>
      <c r="C166" s="3229">
        <v>11050</v>
      </c>
      <c r="D166" s="3229">
        <v>11010</v>
      </c>
      <c r="E166" s="3229">
        <v>13920</v>
      </c>
      <c r="F166" s="3229">
        <v>2140</v>
      </c>
      <c r="G166" s="3229">
        <v>7080</v>
      </c>
    </row>
    <row r="167" spans="1:7" s="3218" customFormat="1" ht="14.25" customHeight="1">
      <c r="A167" s="3229" t="s">
        <v>29</v>
      </c>
      <c r="B167" s="3229" t="s">
        <v>3023</v>
      </c>
      <c r="C167" s="3229">
        <v>10930</v>
      </c>
      <c r="D167" s="3229">
        <v>10890</v>
      </c>
      <c r="E167" s="3229">
        <v>13790</v>
      </c>
      <c r="F167" s="3229">
        <v>2010</v>
      </c>
      <c r="G167" s="3229">
        <v>7000</v>
      </c>
    </row>
    <row r="168" spans="1:7" s="3218" customFormat="1" ht="14.25" customHeight="1">
      <c r="A168" s="3229" t="s">
        <v>29</v>
      </c>
      <c r="B168" s="3229" t="s">
        <v>3028</v>
      </c>
      <c r="C168" s="3229">
        <v>9420</v>
      </c>
      <c r="D168" s="3229">
        <v>9380</v>
      </c>
      <c r="E168" s="3229">
        <v>11970</v>
      </c>
      <c r="F168" s="3229"/>
      <c r="G168" s="3229">
        <v>6040</v>
      </c>
    </row>
    <row r="169" spans="1:7" s="3218" customFormat="1" ht="14.25" customHeight="1">
      <c r="A169" s="3229" t="s">
        <v>29</v>
      </c>
      <c r="B169" s="3229" t="s">
        <v>3080</v>
      </c>
      <c r="C169" s="3229"/>
      <c r="D169" s="3229"/>
      <c r="E169" s="3229"/>
      <c r="F169" s="3229">
        <v>2880</v>
      </c>
      <c r="G169" s="3229"/>
    </row>
    <row r="170" spans="1:7" s="3218" customFormat="1" ht="14.25" customHeight="1">
      <c r="A170" s="3229" t="s">
        <v>29</v>
      </c>
      <c r="B170" s="3229" t="s">
        <v>3036</v>
      </c>
      <c r="C170" s="3229"/>
      <c r="D170" s="3229"/>
      <c r="E170" s="3229"/>
      <c r="F170" s="3229">
        <v>2880</v>
      </c>
      <c r="G170" s="3229"/>
    </row>
    <row r="171" spans="1:7" s="3218" customFormat="1" ht="14.25" customHeight="1">
      <c r="A171" s="3229" t="s">
        <v>29</v>
      </c>
      <c r="B171" s="3229" t="s">
        <v>3039</v>
      </c>
      <c r="C171" s="3229"/>
      <c r="D171" s="3229"/>
      <c r="E171" s="3229"/>
      <c r="F171" s="3229">
        <v>2880</v>
      </c>
      <c r="G171" s="3229"/>
    </row>
    <row r="172" spans="1:7" s="3218" customFormat="1" ht="14.25" customHeight="1">
      <c r="A172" s="3229" t="s">
        <v>29</v>
      </c>
      <c r="B172" s="3229" t="s">
        <v>3041</v>
      </c>
      <c r="C172" s="3229"/>
      <c r="D172" s="3229"/>
      <c r="E172" s="3229"/>
      <c r="F172" s="3229">
        <v>2880</v>
      </c>
      <c r="G172" s="3229"/>
    </row>
    <row r="173" spans="1:7" s="3218" customFormat="1" ht="14.25" customHeight="1">
      <c r="A173" s="3229" t="s">
        <v>29</v>
      </c>
      <c r="B173" s="3229" t="s">
        <v>3043</v>
      </c>
      <c r="C173" s="3229"/>
      <c r="D173" s="3229"/>
      <c r="E173" s="3229"/>
      <c r="F173" s="3229">
        <v>2150</v>
      </c>
      <c r="G173" s="3229"/>
    </row>
    <row r="174" spans="1:7" s="3218" customFormat="1" ht="14.25" customHeight="1">
      <c r="A174" s="3229" t="s">
        <v>29</v>
      </c>
      <c r="B174" s="3229" t="s">
        <v>3045</v>
      </c>
      <c r="C174" s="3229"/>
      <c r="D174" s="3229"/>
      <c r="E174" s="3229"/>
      <c r="F174" s="3229">
        <v>2030</v>
      </c>
      <c r="G174" s="3229"/>
    </row>
    <row r="175" spans="1:7" s="3218" customFormat="1" ht="14.25" customHeight="1">
      <c r="A175" s="3229" t="s">
        <v>29</v>
      </c>
      <c r="B175" s="3229" t="s">
        <v>3047</v>
      </c>
      <c r="C175" s="3229"/>
      <c r="D175" s="3229"/>
      <c r="E175" s="3229"/>
      <c r="F175" s="3229">
        <v>2780</v>
      </c>
      <c r="G175" s="3229"/>
    </row>
    <row r="176" spans="1:7" s="3218" customFormat="1" ht="14.25" customHeight="1">
      <c r="A176" s="3229" t="s">
        <v>29</v>
      </c>
      <c r="B176" s="3229" t="s">
        <v>3049</v>
      </c>
      <c r="C176" s="3229"/>
      <c r="D176" s="3229"/>
      <c r="E176" s="3229"/>
      <c r="F176" s="3229">
        <v>2780</v>
      </c>
      <c r="G176" s="3229"/>
    </row>
    <row r="177" spans="1:7" s="3218" customFormat="1" ht="14.25" customHeight="1">
      <c r="A177" s="3229" t="s">
        <v>29</v>
      </c>
      <c r="B177" s="3229" t="s">
        <v>3081</v>
      </c>
      <c r="C177" s="3229"/>
      <c r="D177" s="3229"/>
      <c r="E177" s="3229"/>
      <c r="F177" s="3229">
        <v>2780</v>
      </c>
      <c r="G177" s="3229"/>
    </row>
    <row r="178" spans="1:7" s="3218" customFormat="1" ht="14.25" customHeight="1">
      <c r="A178" s="3229" t="s">
        <v>29</v>
      </c>
      <c r="B178" s="3229" t="s">
        <v>3082</v>
      </c>
      <c r="C178" s="3229"/>
      <c r="D178" s="3229"/>
      <c r="E178" s="3229"/>
      <c r="F178" s="3229">
        <v>2060</v>
      </c>
      <c r="G178" s="3229"/>
    </row>
    <row r="179" spans="1:7" s="3218" customFormat="1" ht="14.25" customHeight="1">
      <c r="A179" s="3229" t="s">
        <v>29</v>
      </c>
      <c r="B179" s="3229" t="s">
        <v>3083</v>
      </c>
      <c r="C179" s="3229"/>
      <c r="D179" s="3229"/>
      <c r="E179" s="3229"/>
      <c r="F179" s="3229">
        <v>2120</v>
      </c>
      <c r="G179" s="3229"/>
    </row>
    <row r="180" spans="1:7" s="3218" customFormat="1" ht="14.25" customHeight="1">
      <c r="A180" s="3229" t="s">
        <v>29</v>
      </c>
      <c r="B180" s="3229" t="s">
        <v>3055</v>
      </c>
      <c r="C180" s="3229"/>
      <c r="D180" s="3229"/>
      <c r="E180" s="3229"/>
      <c r="F180" s="3229">
        <v>2340</v>
      </c>
      <c r="G180" s="3229"/>
    </row>
    <row r="181" spans="1:7" s="3218" customFormat="1" ht="14.25" customHeight="1">
      <c r="A181" s="3229" t="s">
        <v>29</v>
      </c>
      <c r="B181" s="3229" t="s">
        <v>3056</v>
      </c>
      <c r="C181" s="3229"/>
      <c r="D181" s="3229"/>
      <c r="E181" s="3229"/>
      <c r="F181" s="3229">
        <v>2340</v>
      </c>
      <c r="G181" s="3229"/>
    </row>
    <row r="182" spans="1:7" s="3218" customFormat="1" ht="14.25" customHeight="1">
      <c r="A182" s="3229" t="s">
        <v>29</v>
      </c>
      <c r="B182" s="3229" t="s">
        <v>3057</v>
      </c>
      <c r="C182" s="3229"/>
      <c r="D182" s="3229"/>
      <c r="E182" s="3229"/>
      <c r="F182" s="3229">
        <v>2340</v>
      </c>
      <c r="G182" s="3229"/>
    </row>
    <row r="183" spans="1:7" s="3218" customFormat="1" ht="14.25" customHeight="1">
      <c r="A183" s="3229" t="s">
        <v>29</v>
      </c>
      <c r="B183" s="3229" t="s">
        <v>3058</v>
      </c>
      <c r="C183" s="3229"/>
      <c r="D183" s="3229"/>
      <c r="E183" s="3229"/>
      <c r="F183" s="3229">
        <v>2340</v>
      </c>
      <c r="G183" s="3229"/>
    </row>
    <row r="184" spans="1:7" s="3218" customFormat="1" ht="14.25" customHeight="1">
      <c r="A184" s="3229" t="s">
        <v>29</v>
      </c>
      <c r="B184" s="3229" t="s">
        <v>3059</v>
      </c>
      <c r="C184" s="3229"/>
      <c r="D184" s="3229"/>
      <c r="E184" s="3229"/>
      <c r="F184" s="3229">
        <v>2340</v>
      </c>
      <c r="G184" s="3229"/>
    </row>
    <row r="185" spans="1:7" s="3218" customFormat="1" ht="14.25" customHeight="1">
      <c r="A185" s="3229" t="s">
        <v>29</v>
      </c>
      <c r="B185" s="3229" t="s">
        <v>3060</v>
      </c>
      <c r="C185" s="3229"/>
      <c r="D185" s="3229"/>
      <c r="E185" s="3229"/>
      <c r="F185" s="3229">
        <v>2530</v>
      </c>
      <c r="G185" s="3229"/>
    </row>
    <row r="186" spans="1:7" s="3218" customFormat="1" ht="14.25" customHeight="1">
      <c r="A186" s="3229" t="s">
        <v>29</v>
      </c>
      <c r="B186" s="3229" t="s">
        <v>3061</v>
      </c>
      <c r="C186" s="3229"/>
      <c r="D186" s="3229"/>
      <c r="E186" s="3229"/>
      <c r="F186" s="3229">
        <v>2550</v>
      </c>
      <c r="G186" s="3229"/>
    </row>
    <row r="187" spans="1:7" s="3218" customFormat="1" ht="14.25" customHeight="1">
      <c r="A187" s="3229" t="s">
        <v>29</v>
      </c>
      <c r="B187" s="3229" t="s">
        <v>3062</v>
      </c>
      <c r="C187" s="3229"/>
      <c r="D187" s="3229"/>
      <c r="E187" s="3229"/>
      <c r="F187" s="3229">
        <v>2070</v>
      </c>
      <c r="G187" s="3229"/>
    </row>
    <row r="188" spans="1:7" s="3218" customFormat="1" ht="14.25" customHeight="1">
      <c r="A188" s="3229" t="s">
        <v>29</v>
      </c>
      <c r="B188" s="3229" t="s">
        <v>3063</v>
      </c>
      <c r="C188" s="3229"/>
      <c r="D188" s="3229"/>
      <c r="E188" s="3229"/>
      <c r="F188" s="3229">
        <v>2340</v>
      </c>
      <c r="G188" s="3229"/>
    </row>
    <row r="189" spans="1:7" s="3218" customFormat="1" ht="14.25" customHeight="1" thickBot="1">
      <c r="A189" s="3237" t="s">
        <v>29</v>
      </c>
      <c r="B189" s="3240" t="s">
        <v>3064</v>
      </c>
      <c r="C189" s="3240"/>
      <c r="D189" s="3240"/>
      <c r="E189" s="3240"/>
      <c r="F189" s="3240">
        <v>2050</v>
      </c>
      <c r="G189" s="3240"/>
    </row>
    <row r="190" spans="1:7" s="3218" customFormat="1" ht="14.25" customHeight="1">
      <c r="A190" s="3234" t="s">
        <v>304</v>
      </c>
      <c r="B190" s="3225" t="s">
        <v>3084</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3085</v>
      </c>
      <c r="C199" s="3229">
        <v>8690</v>
      </c>
      <c r="D199" s="3229">
        <v>8630</v>
      </c>
      <c r="E199" s="3229">
        <v>11350</v>
      </c>
      <c r="F199" s="3229">
        <v>1600</v>
      </c>
      <c r="G199" s="3242">
        <v>5450</v>
      </c>
    </row>
    <row r="200" spans="1:7" s="3218" customFormat="1" ht="14.25" customHeight="1">
      <c r="A200" s="3229" t="s">
        <v>304</v>
      </c>
      <c r="B200" s="3229" t="s">
        <v>2896</v>
      </c>
      <c r="C200" s="3229"/>
      <c r="D200" s="3229"/>
      <c r="E200" s="3229"/>
      <c r="F200" s="3229">
        <v>1510</v>
      </c>
      <c r="G200" s="3242"/>
    </row>
    <row r="201" spans="1:7" s="3218" customFormat="1" ht="14.25" customHeight="1">
      <c r="A201" s="3229" t="s">
        <v>304</v>
      </c>
      <c r="B201" s="3229" t="s">
        <v>3086</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3087</v>
      </c>
      <c r="C203" s="3229">
        <v>8130</v>
      </c>
      <c r="D203" s="3229">
        <v>8070</v>
      </c>
      <c r="E203" s="3229">
        <v>10820</v>
      </c>
      <c r="F203" s="3229">
        <v>1690</v>
      </c>
      <c r="G203" s="3242">
        <v>5100</v>
      </c>
    </row>
    <row r="204" spans="1:7" s="3218" customFormat="1" ht="14.25" customHeight="1">
      <c r="A204" s="3229" t="s">
        <v>304</v>
      </c>
      <c r="B204" s="3229" t="s">
        <v>2907</v>
      </c>
      <c r="C204" s="3229">
        <v>8350</v>
      </c>
      <c r="D204" s="3229">
        <v>8290</v>
      </c>
      <c r="E204" s="3229">
        <v>11080</v>
      </c>
      <c r="F204" s="3229">
        <v>1450</v>
      </c>
      <c r="G204" s="3242">
        <v>5240</v>
      </c>
    </row>
    <row r="205" spans="1:7" s="3218" customFormat="1" ht="14.25" customHeight="1">
      <c r="A205" s="3229" t="s">
        <v>304</v>
      </c>
      <c r="B205" s="3229" t="s">
        <v>2909</v>
      </c>
      <c r="C205" s="3229">
        <v>7190</v>
      </c>
      <c r="D205" s="3229">
        <v>7130</v>
      </c>
      <c r="E205" s="3229">
        <v>9490</v>
      </c>
      <c r="F205" s="3229">
        <v>1470</v>
      </c>
      <c r="G205" s="3242">
        <v>4510</v>
      </c>
    </row>
    <row r="206" spans="1:7" s="3218" customFormat="1" ht="14.25" customHeight="1">
      <c r="A206" s="3229" t="s">
        <v>304</v>
      </c>
      <c r="B206" s="3229" t="s">
        <v>2912</v>
      </c>
      <c r="C206" s="3229">
        <v>7000</v>
      </c>
      <c r="D206" s="3229">
        <v>6950</v>
      </c>
      <c r="E206" s="3229">
        <v>9170</v>
      </c>
      <c r="F206" s="3229">
        <v>1400</v>
      </c>
      <c r="G206" s="3242">
        <v>4380</v>
      </c>
    </row>
    <row r="207" spans="1:7" s="3218" customFormat="1" ht="14.25" customHeight="1">
      <c r="A207" s="3229" t="s">
        <v>304</v>
      </c>
      <c r="B207" s="3229" t="s">
        <v>2914</v>
      </c>
      <c r="C207" s="3229">
        <v>6950</v>
      </c>
      <c r="D207" s="3229">
        <v>6900</v>
      </c>
      <c r="E207" s="3229">
        <v>9110</v>
      </c>
      <c r="F207" s="3229">
        <v>1790</v>
      </c>
      <c r="G207" s="3242">
        <v>4360</v>
      </c>
    </row>
    <row r="208" spans="1:7" s="3218" customFormat="1" ht="14.25" customHeight="1">
      <c r="A208" s="3229" t="s">
        <v>304</v>
      </c>
      <c r="B208" s="3229" t="s">
        <v>3088</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2924</v>
      </c>
      <c r="C210" s="3229">
        <v>8710</v>
      </c>
      <c r="D210" s="3229">
        <v>8660</v>
      </c>
      <c r="E210" s="3229">
        <v>11440</v>
      </c>
      <c r="F210" s="3229">
        <v>1740</v>
      </c>
      <c r="G210" s="3242">
        <v>5470</v>
      </c>
    </row>
    <row r="211" spans="1:7" s="3218" customFormat="1" ht="14.25" customHeight="1">
      <c r="A211" s="3229" t="s">
        <v>304</v>
      </c>
      <c r="B211" s="3229" t="s">
        <v>3089</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3090</v>
      </c>
      <c r="C214" s="3229">
        <v>8090</v>
      </c>
      <c r="D214" s="3229">
        <v>8030</v>
      </c>
      <c r="E214" s="3229">
        <v>10780</v>
      </c>
      <c r="F214" s="3229">
        <v>1570</v>
      </c>
      <c r="G214" s="3242">
        <v>5070</v>
      </c>
    </row>
    <row r="215" spans="1:7" s="3218" customFormat="1" ht="14.25" customHeight="1">
      <c r="A215" s="3229" t="s">
        <v>304</v>
      </c>
      <c r="B215" s="3229" t="s">
        <v>3091</v>
      </c>
      <c r="C215" s="3229">
        <v>7950</v>
      </c>
      <c r="D215" s="3229">
        <v>7900</v>
      </c>
      <c r="E215" s="3229">
        <v>10560</v>
      </c>
      <c r="F215" s="3229">
        <v>1630</v>
      </c>
      <c r="G215" s="3242">
        <v>4990</v>
      </c>
    </row>
    <row r="216" spans="1:7" s="3218" customFormat="1" ht="14.25" customHeight="1">
      <c r="A216" s="3229" t="s">
        <v>304</v>
      </c>
      <c r="B216" s="3229" t="s">
        <v>3092</v>
      </c>
      <c r="C216" s="3229">
        <v>8490</v>
      </c>
      <c r="D216" s="3229">
        <v>8440</v>
      </c>
      <c r="E216" s="3229">
        <v>11260</v>
      </c>
      <c r="F216" s="3229">
        <v>1690</v>
      </c>
      <c r="G216" s="3242">
        <v>5330</v>
      </c>
    </row>
    <row r="217" spans="1:7" s="3218" customFormat="1" ht="14.25" customHeight="1">
      <c r="A217" s="3229" t="s">
        <v>304</v>
      </c>
      <c r="B217" s="3229" t="s">
        <v>2957</v>
      </c>
      <c r="C217" s="3229">
        <v>8200</v>
      </c>
      <c r="D217" s="3229">
        <v>8150</v>
      </c>
      <c r="E217" s="3229">
        <v>10910</v>
      </c>
      <c r="F217" s="3229">
        <v>1670</v>
      </c>
      <c r="G217" s="3242">
        <v>5150</v>
      </c>
    </row>
    <row r="218" spans="1:7" s="3218" customFormat="1" ht="14.25" customHeight="1">
      <c r="A218" s="3229" t="s">
        <v>304</v>
      </c>
      <c r="B218" s="3229" t="s">
        <v>3093</v>
      </c>
      <c r="C218" s="3229"/>
      <c r="D218" s="3229"/>
      <c r="E218" s="3229"/>
      <c r="F218" s="3229">
        <v>2040</v>
      </c>
      <c r="G218" s="3242"/>
    </row>
    <row r="219" spans="1:7" s="3218" customFormat="1" ht="14.25" customHeight="1">
      <c r="A219" s="3229" t="s">
        <v>304</v>
      </c>
      <c r="B219" s="3229" t="s">
        <v>3094</v>
      </c>
      <c r="C219" s="3229"/>
      <c r="D219" s="3229"/>
      <c r="E219" s="3229"/>
      <c r="F219" s="3229">
        <v>2040</v>
      </c>
      <c r="G219" s="3242"/>
    </row>
    <row r="220" spans="1:7" s="3218" customFormat="1" ht="14.25" customHeight="1">
      <c r="A220" s="3229" t="s">
        <v>304</v>
      </c>
      <c r="B220" s="3229" t="s">
        <v>3095</v>
      </c>
      <c r="C220" s="3229"/>
      <c r="D220" s="3229"/>
      <c r="E220" s="3229"/>
      <c r="F220" s="3229">
        <v>2040</v>
      </c>
      <c r="G220" s="3242"/>
    </row>
    <row r="221" spans="1:7" s="3218" customFormat="1" ht="14.25" customHeight="1">
      <c r="A221" s="3229" t="s">
        <v>304</v>
      </c>
      <c r="B221" s="3229" t="s">
        <v>3096</v>
      </c>
      <c r="C221" s="3229"/>
      <c r="D221" s="3229"/>
      <c r="E221" s="3229"/>
      <c r="F221" s="3229">
        <v>2040</v>
      </c>
      <c r="G221" s="3242"/>
    </row>
    <row r="222" spans="1:7" s="3218" customFormat="1" ht="14.25" customHeight="1">
      <c r="A222" s="3229" t="s">
        <v>304</v>
      </c>
      <c r="B222" s="3229" t="s">
        <v>3097</v>
      </c>
      <c r="C222" s="3229"/>
      <c r="D222" s="3229"/>
      <c r="E222" s="3229"/>
      <c r="F222" s="3229">
        <v>2040</v>
      </c>
      <c r="G222" s="3242"/>
    </row>
    <row r="223" spans="1:7" s="3218" customFormat="1" ht="14.25" customHeight="1">
      <c r="A223" s="3229" t="s">
        <v>304</v>
      </c>
      <c r="B223" s="3229" t="s">
        <v>3098</v>
      </c>
      <c r="C223" s="3229"/>
      <c r="D223" s="3229"/>
      <c r="E223" s="3229"/>
      <c r="F223" s="3229">
        <v>1930</v>
      </c>
      <c r="G223" s="3242"/>
    </row>
    <row r="224" spans="1:7" s="3218" customFormat="1" ht="14.25" customHeight="1">
      <c r="A224" s="3229" t="s">
        <v>304</v>
      </c>
      <c r="B224" s="3229" t="s">
        <v>3099</v>
      </c>
      <c r="C224" s="3229"/>
      <c r="D224" s="3229"/>
      <c r="E224" s="3229"/>
      <c r="F224" s="3229">
        <v>1930</v>
      </c>
      <c r="G224" s="3242"/>
    </row>
    <row r="225" spans="1:7" s="3218" customFormat="1" ht="14.25" customHeight="1">
      <c r="A225" s="3229" t="s">
        <v>304</v>
      </c>
      <c r="B225" s="3229" t="s">
        <v>3100</v>
      </c>
      <c r="C225" s="3229"/>
      <c r="D225" s="3229"/>
      <c r="E225" s="3229"/>
      <c r="F225" s="3229">
        <v>1930</v>
      </c>
      <c r="G225" s="3242"/>
    </row>
    <row r="226" spans="1:7" s="3218" customFormat="1" ht="14.25" customHeight="1">
      <c r="A226" s="3229" t="s">
        <v>304</v>
      </c>
      <c r="B226" s="3229" t="s">
        <v>3101</v>
      </c>
      <c r="C226" s="3229"/>
      <c r="D226" s="3229"/>
      <c r="E226" s="3229"/>
      <c r="F226" s="3229">
        <v>1700</v>
      </c>
      <c r="G226" s="3242"/>
    </row>
    <row r="227" spans="1:7" s="3218" customFormat="1" ht="14.25" customHeight="1">
      <c r="A227" s="3229" t="s">
        <v>304</v>
      </c>
      <c r="B227" s="3229" t="s">
        <v>3102</v>
      </c>
      <c r="C227" s="3229"/>
      <c r="D227" s="3229"/>
      <c r="E227" s="3229"/>
      <c r="F227" s="3229">
        <v>1520</v>
      </c>
      <c r="G227" s="3242"/>
    </row>
    <row r="228" spans="1:7" s="3218" customFormat="1" ht="14.25" customHeight="1">
      <c r="A228" s="3229" t="s">
        <v>304</v>
      </c>
      <c r="B228" s="3229" t="s">
        <v>3103</v>
      </c>
      <c r="C228" s="3229"/>
      <c r="D228" s="3229"/>
      <c r="E228" s="3229"/>
      <c r="F228" s="3229">
        <v>1520</v>
      </c>
      <c r="G228" s="3242"/>
    </row>
    <row r="229" spans="1:7" s="3218" customFormat="1" ht="14.25" customHeight="1">
      <c r="A229" s="3229" t="s">
        <v>304</v>
      </c>
      <c r="B229" s="3229" t="s">
        <v>3020</v>
      </c>
      <c r="C229" s="3229"/>
      <c r="D229" s="3229"/>
      <c r="E229" s="3229"/>
      <c r="F229" s="3229">
        <v>1520</v>
      </c>
      <c r="G229" s="3242"/>
    </row>
    <row r="230" spans="1:7" s="3218" customFormat="1" ht="14.25" customHeight="1">
      <c r="A230" s="3229" t="s">
        <v>304</v>
      </c>
      <c r="B230" s="3229" t="s">
        <v>3104</v>
      </c>
      <c r="C230" s="3229"/>
      <c r="D230" s="3229"/>
      <c r="E230" s="3229"/>
      <c r="F230" s="3229">
        <v>1820</v>
      </c>
      <c r="G230" s="3242"/>
    </row>
    <row r="231" spans="1:7" s="3218" customFormat="1" ht="14.25" customHeight="1">
      <c r="A231" s="3229" t="s">
        <v>304</v>
      </c>
      <c r="B231" s="3229" t="s">
        <v>3105</v>
      </c>
      <c r="C231" s="3229"/>
      <c r="D231" s="3229"/>
      <c r="E231" s="3229"/>
      <c r="F231" s="3229">
        <v>1760</v>
      </c>
      <c r="G231" s="3242"/>
    </row>
    <row r="232" spans="1:7" s="3218" customFormat="1" ht="14.25" customHeight="1">
      <c r="A232" s="3229" t="s">
        <v>304</v>
      </c>
      <c r="B232" s="3229" t="s">
        <v>3106</v>
      </c>
      <c r="C232" s="3229"/>
      <c r="D232" s="3229"/>
      <c r="E232" s="3229"/>
      <c r="F232" s="3229">
        <v>1840</v>
      </c>
      <c r="G232" s="3242"/>
    </row>
    <row r="233" spans="1:7" s="3218" customFormat="1" ht="14.25" customHeight="1" thickBot="1">
      <c r="A233" s="3243" t="s">
        <v>304</v>
      </c>
      <c r="B233" s="3236" t="s">
        <v>3037</v>
      </c>
      <c r="C233" s="3236"/>
      <c r="D233" s="3236"/>
      <c r="E233" s="3236"/>
      <c r="F233" s="3236">
        <v>1770</v>
      </c>
      <c r="G233" s="3244"/>
    </row>
    <row r="234" spans="1:7" s="3218" customFormat="1" ht="14.25" customHeight="1">
      <c r="A234" s="3234" t="s">
        <v>305</v>
      </c>
      <c r="B234" s="3225" t="s">
        <v>3107</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2878</v>
      </c>
      <c r="C238" s="3229">
        <v>6920</v>
      </c>
      <c r="D238" s="3229">
        <v>6890</v>
      </c>
      <c r="E238" s="3229">
        <v>8640</v>
      </c>
      <c r="F238" s="3229">
        <v>1310</v>
      </c>
      <c r="G238" s="3229">
        <v>4230</v>
      </c>
    </row>
    <row r="239" spans="1:7" s="3218" customFormat="1" ht="14.25" customHeight="1">
      <c r="A239" s="3229" t="s">
        <v>305</v>
      </c>
      <c r="B239" s="3229" t="s">
        <v>3108</v>
      </c>
      <c r="C239" s="3229">
        <v>6780</v>
      </c>
      <c r="D239" s="3229">
        <v>6750</v>
      </c>
      <c r="E239" s="3229">
        <v>8440</v>
      </c>
      <c r="F239" s="3229">
        <v>1160</v>
      </c>
      <c r="G239" s="3229">
        <v>4140</v>
      </c>
    </row>
    <row r="240" spans="1:7" s="3218" customFormat="1" ht="14.25" customHeight="1">
      <c r="A240" s="3229" t="s">
        <v>305</v>
      </c>
      <c r="B240" s="3229" t="s">
        <v>3109</v>
      </c>
      <c r="C240" s="3229">
        <v>5420</v>
      </c>
      <c r="D240" s="3229">
        <v>5380</v>
      </c>
      <c r="E240" s="3229">
        <v>6640</v>
      </c>
      <c r="F240" s="3229">
        <v>1020</v>
      </c>
      <c r="G240" s="3229">
        <v>3300</v>
      </c>
    </row>
    <row r="241" spans="1:7" s="3218" customFormat="1" ht="14.25" customHeight="1">
      <c r="A241" s="3229" t="s">
        <v>305</v>
      </c>
      <c r="B241" s="3229" t="s">
        <v>3110</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3111</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3112</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3113</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3114</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3115</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2940</v>
      </c>
      <c r="C258" s="3229">
        <v>6190</v>
      </c>
      <c r="D258" s="3229">
        <v>6160</v>
      </c>
      <c r="E258" s="3229">
        <v>7680</v>
      </c>
      <c r="F258" s="3229">
        <v>1170</v>
      </c>
      <c r="G258" s="3229">
        <v>3780</v>
      </c>
    </row>
    <row r="259" spans="1:7" s="3218" customFormat="1" ht="14.25" customHeight="1">
      <c r="A259" s="3229" t="s">
        <v>305</v>
      </c>
      <c r="B259" s="3229" t="s">
        <v>3116</v>
      </c>
      <c r="C259" s="3229">
        <v>7610</v>
      </c>
      <c r="D259" s="3229">
        <v>7570</v>
      </c>
      <c r="E259" s="3229">
        <v>9350</v>
      </c>
      <c r="F259" s="3229">
        <v>1350</v>
      </c>
      <c r="G259" s="3229">
        <v>4650</v>
      </c>
    </row>
    <row r="260" spans="1:7" s="3218" customFormat="1" ht="14.25" customHeight="1">
      <c r="A260" s="3229" t="s">
        <v>305</v>
      </c>
      <c r="B260" s="3229" t="s">
        <v>3117</v>
      </c>
      <c r="C260" s="3229">
        <v>6920</v>
      </c>
      <c r="D260" s="3229">
        <v>6880</v>
      </c>
      <c r="E260" s="3229">
        <v>8380</v>
      </c>
      <c r="F260" s="3229">
        <v>1160</v>
      </c>
      <c r="G260" s="3229">
        <v>4220</v>
      </c>
    </row>
    <row r="261" spans="1:7" s="3218" customFormat="1" ht="14.25" customHeight="1">
      <c r="A261" s="3229" t="s">
        <v>305</v>
      </c>
      <c r="B261" s="3229" t="s">
        <v>3118</v>
      </c>
      <c r="C261" s="3229">
        <v>6850</v>
      </c>
      <c r="D261" s="3229">
        <v>6810</v>
      </c>
      <c r="E261" s="3229">
        <v>8290</v>
      </c>
      <c r="F261" s="3229">
        <v>1130</v>
      </c>
      <c r="G261" s="3229">
        <v>4180</v>
      </c>
    </row>
    <row r="262" spans="1:7" s="3218" customFormat="1" ht="14.25" customHeight="1">
      <c r="A262" s="3229" t="s">
        <v>305</v>
      </c>
      <c r="B262" s="3229" t="s">
        <v>3119</v>
      </c>
      <c r="C262" s="3229">
        <v>5860</v>
      </c>
      <c r="D262" s="3229">
        <v>5820</v>
      </c>
      <c r="E262" s="3229">
        <v>7640</v>
      </c>
      <c r="F262" s="3229">
        <v>1070</v>
      </c>
      <c r="G262" s="3229">
        <v>3570</v>
      </c>
    </row>
    <row r="263" spans="1:7" s="3218" customFormat="1" ht="14.25" customHeight="1">
      <c r="A263" s="3229" t="s">
        <v>305</v>
      </c>
      <c r="B263" s="3229" t="s">
        <v>3120</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3121</v>
      </c>
      <c r="C265" s="3229"/>
      <c r="D265" s="3229"/>
      <c r="E265" s="3229"/>
      <c r="F265" s="3229">
        <v>1500</v>
      </c>
      <c r="G265" s="3229"/>
    </row>
    <row r="266" spans="1:7" s="3218" customFormat="1" ht="14.25" customHeight="1">
      <c r="A266" s="3229" t="s">
        <v>305</v>
      </c>
      <c r="B266" s="3229" t="s">
        <v>3122</v>
      </c>
      <c r="C266" s="3229"/>
      <c r="D266" s="3229"/>
      <c r="E266" s="3229"/>
      <c r="F266" s="3229">
        <v>1500</v>
      </c>
      <c r="G266" s="3229"/>
    </row>
    <row r="267" spans="1:7" s="3218" customFormat="1" ht="14.25" customHeight="1">
      <c r="A267" s="3229" t="s">
        <v>305</v>
      </c>
      <c r="B267" s="3229" t="s">
        <v>3123</v>
      </c>
      <c r="C267" s="3229"/>
      <c r="D267" s="3229"/>
      <c r="E267" s="3229"/>
      <c r="F267" s="3229">
        <v>1500</v>
      </c>
      <c r="G267" s="3229"/>
    </row>
    <row r="268" spans="1:7" s="3218" customFormat="1" ht="14.25" customHeight="1">
      <c r="A268" s="3229" t="s">
        <v>305</v>
      </c>
      <c r="B268" s="3229" t="s">
        <v>3124</v>
      </c>
      <c r="C268" s="3229"/>
      <c r="D268" s="3229"/>
      <c r="E268" s="3229"/>
      <c r="F268" s="3229">
        <v>1290</v>
      </c>
      <c r="G268" s="3229"/>
    </row>
    <row r="269" spans="1:7" s="3218" customFormat="1" ht="14.25" customHeight="1">
      <c r="A269" s="3229" t="s">
        <v>305</v>
      </c>
      <c r="B269" s="3229" t="s">
        <v>3125</v>
      </c>
      <c r="C269" s="3229"/>
      <c r="D269" s="3229"/>
      <c r="E269" s="3229"/>
      <c r="F269" s="3229">
        <v>1150</v>
      </c>
      <c r="G269" s="3229"/>
    </row>
    <row r="270" spans="1:7" s="3218" customFormat="1" ht="14.25" customHeight="1">
      <c r="A270" s="3229" t="s">
        <v>305</v>
      </c>
      <c r="B270" s="3229" t="s">
        <v>3126</v>
      </c>
      <c r="C270" s="3229"/>
      <c r="D270" s="3229"/>
      <c r="E270" s="3229"/>
      <c r="F270" s="3229">
        <v>1380</v>
      </c>
      <c r="G270" s="3229"/>
    </row>
    <row r="271" spans="1:7" s="3218" customFormat="1" ht="14.25" customHeight="1">
      <c r="A271" s="3229" t="s">
        <v>305</v>
      </c>
      <c r="B271" s="3229" t="s">
        <v>3127</v>
      </c>
      <c r="C271" s="3229"/>
      <c r="D271" s="3229"/>
      <c r="E271" s="3229"/>
      <c r="F271" s="3229">
        <v>1460</v>
      </c>
      <c r="G271" s="3229"/>
    </row>
    <row r="272" spans="1:7" s="3218" customFormat="1" ht="14.25" customHeight="1">
      <c r="A272" s="3229" t="s">
        <v>305</v>
      </c>
      <c r="B272" s="3229" t="s">
        <v>3128</v>
      </c>
      <c r="C272" s="3229"/>
      <c r="D272" s="3229"/>
      <c r="E272" s="3229"/>
      <c r="F272" s="3229">
        <v>1460</v>
      </c>
      <c r="G272" s="3229"/>
    </row>
    <row r="273" spans="1:7" s="3218" customFormat="1" ht="14.25" customHeight="1">
      <c r="A273" s="3229" t="s">
        <v>305</v>
      </c>
      <c r="B273" s="3229" t="s">
        <v>3021</v>
      </c>
      <c r="C273" s="3229"/>
      <c r="D273" s="3229"/>
      <c r="E273" s="3229"/>
      <c r="F273" s="3229">
        <v>1490</v>
      </c>
      <c r="G273" s="3229"/>
    </row>
    <row r="274" spans="1:7" s="3218" customFormat="1" ht="14.25" customHeight="1">
      <c r="A274" s="3229" t="s">
        <v>305</v>
      </c>
      <c r="B274" s="3229" t="s">
        <v>3129</v>
      </c>
      <c r="C274" s="3229"/>
      <c r="D274" s="3229"/>
      <c r="E274" s="3229"/>
      <c r="F274" s="3229">
        <v>1490</v>
      </c>
      <c r="G274" s="3229"/>
    </row>
    <row r="275" spans="1:7" s="3218" customFormat="1" ht="14.25" customHeight="1">
      <c r="A275" s="3229" t="s">
        <v>305</v>
      </c>
      <c r="B275" s="3229" t="s">
        <v>3130</v>
      </c>
      <c r="C275" s="3229"/>
      <c r="D275" s="3229"/>
      <c r="E275" s="3229"/>
      <c r="F275" s="3229">
        <v>1220</v>
      </c>
      <c r="G275" s="3229"/>
    </row>
    <row r="276" spans="1:7" s="3218" customFormat="1" ht="14.25" customHeight="1" thickBot="1">
      <c r="A276" s="3237" t="s">
        <v>305</v>
      </c>
      <c r="B276" s="3239" t="s">
        <v>3131</v>
      </c>
      <c r="C276" s="3240"/>
      <c r="D276" s="3240"/>
      <c r="E276" s="3240"/>
      <c r="F276" s="3240">
        <v>1380</v>
      </c>
      <c r="G276" s="3240"/>
    </row>
    <row r="277" spans="1:7" s="3218" customFormat="1" ht="14.25" customHeight="1">
      <c r="A277" s="3234" t="s">
        <v>306</v>
      </c>
      <c r="B277" s="3225" t="s">
        <v>3132</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3133</v>
      </c>
      <c r="C279" s="3229">
        <v>4760</v>
      </c>
      <c r="D279" s="3229">
        <v>4720</v>
      </c>
      <c r="E279" s="3229">
        <v>5540</v>
      </c>
      <c r="F279" s="3229">
        <v>810</v>
      </c>
      <c r="G279" s="3242">
        <v>2850</v>
      </c>
    </row>
    <row r="280" spans="1:7" s="3218" customFormat="1" ht="14.25" customHeight="1">
      <c r="A280" s="3229" t="s">
        <v>306</v>
      </c>
      <c r="B280" s="3229" t="s">
        <v>3134</v>
      </c>
      <c r="C280" s="3229">
        <v>4010</v>
      </c>
      <c r="D280" s="3229">
        <v>3950</v>
      </c>
      <c r="E280" s="3229">
        <v>4710</v>
      </c>
      <c r="F280" s="3229">
        <v>800</v>
      </c>
      <c r="G280" s="3242">
        <v>2390</v>
      </c>
    </row>
    <row r="281" spans="1:7" s="3218" customFormat="1" ht="14.25" customHeight="1">
      <c r="A281" s="3229" t="s">
        <v>306</v>
      </c>
      <c r="B281" s="3229" t="s">
        <v>3135</v>
      </c>
      <c r="C281" s="3229">
        <v>4480</v>
      </c>
      <c r="D281" s="3229">
        <v>4420</v>
      </c>
      <c r="E281" s="3229">
        <v>5230</v>
      </c>
      <c r="F281" s="3229">
        <v>870</v>
      </c>
      <c r="G281" s="3242">
        <v>2660</v>
      </c>
    </row>
    <row r="282" spans="1:7" s="3218" customFormat="1" ht="14.25" customHeight="1">
      <c r="A282" s="3229" t="s">
        <v>306</v>
      </c>
      <c r="B282" s="3229" t="s">
        <v>3136</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3137</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3138</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2913</v>
      </c>
      <c r="C293" s="3229">
        <v>5320</v>
      </c>
      <c r="D293" s="3229">
        <v>5270</v>
      </c>
      <c r="E293" s="3229">
        <v>6160</v>
      </c>
      <c r="F293" s="3229">
        <v>990</v>
      </c>
      <c r="G293" s="3242">
        <v>3170</v>
      </c>
    </row>
    <row r="294" spans="1:7" s="3218" customFormat="1" ht="14.25" customHeight="1">
      <c r="A294" s="3229" t="s">
        <v>306</v>
      </c>
      <c r="B294" s="3229" t="s">
        <v>3139</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2932</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3140</v>
      </c>
      <c r="C302" s="3229">
        <v>5520</v>
      </c>
      <c r="D302" s="3229">
        <v>5470</v>
      </c>
      <c r="E302" s="3229">
        <v>6410</v>
      </c>
      <c r="F302" s="3229">
        <v>950</v>
      </c>
      <c r="G302" s="3242">
        <v>3300</v>
      </c>
    </row>
    <row r="303" spans="1:7" s="3218" customFormat="1" ht="14.25" customHeight="1">
      <c r="A303" s="3229" t="s">
        <v>306</v>
      </c>
      <c r="B303" s="3229" t="s">
        <v>2952</v>
      </c>
      <c r="C303" s="3229">
        <v>5630</v>
      </c>
      <c r="D303" s="3229">
        <v>5590</v>
      </c>
      <c r="E303" s="3229">
        <v>6550</v>
      </c>
      <c r="F303" s="3229">
        <v>1010</v>
      </c>
      <c r="G303" s="3242">
        <v>3370</v>
      </c>
    </row>
    <row r="304" spans="1:7" s="3218" customFormat="1" ht="14.25" customHeight="1">
      <c r="A304" s="3229" t="s">
        <v>306</v>
      </c>
      <c r="B304" s="3229" t="s">
        <v>2959</v>
      </c>
      <c r="C304" s="3229">
        <v>5680</v>
      </c>
      <c r="D304" s="3229">
        <v>5620</v>
      </c>
      <c r="E304" s="3229">
        <v>6620</v>
      </c>
      <c r="F304" s="3229">
        <v>1050</v>
      </c>
      <c r="G304" s="3242">
        <v>3390</v>
      </c>
    </row>
    <row r="305" spans="1:7" s="3218" customFormat="1" ht="14.25" customHeight="1">
      <c r="A305" s="3229" t="s">
        <v>306</v>
      </c>
      <c r="B305" s="3229" t="s">
        <v>2965</v>
      </c>
      <c r="C305" s="3229">
        <v>5590</v>
      </c>
      <c r="D305" s="3229">
        <v>5530</v>
      </c>
      <c r="E305" s="3229">
        <v>6460</v>
      </c>
      <c r="F305" s="3229">
        <v>900</v>
      </c>
      <c r="G305" s="3242">
        <v>3340</v>
      </c>
    </row>
    <row r="306" spans="1:7" s="3218" customFormat="1" ht="14.25" customHeight="1">
      <c r="A306" s="3229" t="s">
        <v>306</v>
      </c>
      <c r="B306" s="3229" t="s">
        <v>3141</v>
      </c>
      <c r="C306" s="3229">
        <v>5560</v>
      </c>
      <c r="D306" s="3229">
        <v>5510</v>
      </c>
      <c r="E306" s="3229">
        <v>6440</v>
      </c>
      <c r="F306" s="3229">
        <v>900</v>
      </c>
      <c r="G306" s="3242">
        <v>3320</v>
      </c>
    </row>
    <row r="307" spans="1:7" s="3218" customFormat="1" ht="14.25" customHeight="1">
      <c r="A307" s="3229" t="s">
        <v>306</v>
      </c>
      <c r="B307" s="3229" t="s">
        <v>2977</v>
      </c>
      <c r="C307" s="3229">
        <v>5650</v>
      </c>
      <c r="D307" s="3229">
        <v>5600</v>
      </c>
      <c r="E307" s="3229">
        <v>6590</v>
      </c>
      <c r="F307" s="3229">
        <v>930</v>
      </c>
      <c r="G307" s="3242">
        <v>3380</v>
      </c>
    </row>
    <row r="308" spans="1:7" s="3218" customFormat="1" ht="14.25" customHeight="1">
      <c r="A308" s="3229" t="s">
        <v>306</v>
      </c>
      <c r="B308" s="3229" t="s">
        <v>3142</v>
      </c>
      <c r="C308" s="3229">
        <v>5620</v>
      </c>
      <c r="D308" s="3229">
        <v>5580</v>
      </c>
      <c r="E308" s="3229">
        <v>6540</v>
      </c>
      <c r="F308" s="3229">
        <v>910</v>
      </c>
      <c r="G308" s="3242">
        <v>3370</v>
      </c>
    </row>
    <row r="309" spans="1:7" s="3218" customFormat="1" ht="14.25" customHeight="1">
      <c r="A309" s="3229" t="s">
        <v>306</v>
      </c>
      <c r="B309" s="3229" t="s">
        <v>3143</v>
      </c>
      <c r="C309" s="3229">
        <v>5060</v>
      </c>
      <c r="D309" s="3229">
        <v>5020</v>
      </c>
      <c r="E309" s="3229">
        <v>6370</v>
      </c>
      <c r="F309" s="3229">
        <v>800</v>
      </c>
      <c r="G309" s="3242">
        <v>3020</v>
      </c>
    </row>
    <row r="310" spans="1:7" s="3218" customFormat="1" ht="14.25" customHeight="1">
      <c r="A310" s="3229" t="s">
        <v>306</v>
      </c>
      <c r="B310" s="3229" t="s">
        <v>2992</v>
      </c>
      <c r="C310" s="3229">
        <v>5150</v>
      </c>
      <c r="D310" s="3229">
        <v>5110</v>
      </c>
      <c r="E310" s="3229">
        <v>6500</v>
      </c>
      <c r="F310" s="3229">
        <v>880</v>
      </c>
      <c r="G310" s="3242">
        <v>3080</v>
      </c>
    </row>
    <row r="311" spans="1:7" s="3218" customFormat="1" ht="14.25" customHeight="1">
      <c r="A311" s="3229" t="s">
        <v>306</v>
      </c>
      <c r="B311" s="3229" t="s">
        <v>3144</v>
      </c>
      <c r="C311" s="3229">
        <v>4750</v>
      </c>
      <c r="D311" s="3229">
        <v>4710</v>
      </c>
      <c r="E311" s="3229">
        <v>5510</v>
      </c>
      <c r="F311" s="3229">
        <v>880</v>
      </c>
      <c r="G311" s="3242">
        <v>2840</v>
      </c>
    </row>
    <row r="312" spans="1:7" s="3218" customFormat="1" ht="14.25" customHeight="1">
      <c r="A312" s="3229" t="s">
        <v>306</v>
      </c>
      <c r="B312" s="3229" t="s">
        <v>3002</v>
      </c>
      <c r="C312" s="3229">
        <v>4690</v>
      </c>
      <c r="D312" s="3229">
        <v>4640</v>
      </c>
      <c r="E312" s="3229">
        <v>5420</v>
      </c>
      <c r="F312" s="3229">
        <v>800</v>
      </c>
      <c r="G312" s="3242">
        <v>2800</v>
      </c>
    </row>
    <row r="313" spans="1:7" s="3218" customFormat="1" ht="14.25" customHeight="1">
      <c r="A313" s="3229" t="s">
        <v>306</v>
      </c>
      <c r="B313" s="3229" t="s">
        <v>3007</v>
      </c>
      <c r="C313" s="3229">
        <v>4810</v>
      </c>
      <c r="D313" s="3229">
        <v>4760</v>
      </c>
      <c r="E313" s="3229">
        <v>5550</v>
      </c>
      <c r="F313" s="3229">
        <v>920</v>
      </c>
      <c r="G313" s="3242">
        <v>2870</v>
      </c>
    </row>
    <row r="314" spans="1:7" s="3218" customFormat="1" ht="14.25" customHeight="1">
      <c r="A314" s="3229" t="s">
        <v>306</v>
      </c>
      <c r="B314" s="3229" t="s">
        <v>3145</v>
      </c>
      <c r="C314" s="3229"/>
      <c r="D314" s="3229"/>
      <c r="E314" s="3229"/>
      <c r="F314" s="3229">
        <v>1020</v>
      </c>
      <c r="G314" s="3242"/>
    </row>
    <row r="315" spans="1:7" s="3218" customFormat="1" ht="14.25" customHeight="1">
      <c r="A315" s="3229" t="s">
        <v>306</v>
      </c>
      <c r="B315" s="3229" t="s">
        <v>3146</v>
      </c>
      <c r="C315" s="3229"/>
      <c r="D315" s="3229"/>
      <c r="E315" s="3229"/>
      <c r="F315" s="3229">
        <v>1050</v>
      </c>
      <c r="G315" s="3242"/>
    </row>
    <row r="316" spans="1:7" s="3218" customFormat="1" ht="14.25" customHeight="1">
      <c r="A316" s="3229" t="s">
        <v>306</v>
      </c>
      <c r="B316" s="3229" t="s">
        <v>3022</v>
      </c>
      <c r="C316" s="3229"/>
      <c r="D316" s="3229"/>
      <c r="E316" s="3229"/>
      <c r="F316" s="3229">
        <v>900</v>
      </c>
      <c r="G316" s="3242"/>
    </row>
    <row r="317" spans="1:7" s="3218" customFormat="1" ht="14.25" customHeight="1">
      <c r="A317" s="3229" t="s">
        <v>306</v>
      </c>
      <c r="B317" s="3229" t="s">
        <v>3147</v>
      </c>
      <c r="C317" s="3229"/>
      <c r="D317" s="3229"/>
      <c r="E317" s="3229"/>
      <c r="F317" s="3229">
        <v>920</v>
      </c>
      <c r="G317" s="3242"/>
    </row>
    <row r="318" spans="1:7" s="3218" customFormat="1" ht="14.25" customHeight="1">
      <c r="A318" s="3229" t="s">
        <v>306</v>
      </c>
      <c r="B318" s="3229" t="s">
        <v>3148</v>
      </c>
      <c r="C318" s="3229"/>
      <c r="D318" s="3229"/>
      <c r="E318" s="3229"/>
      <c r="F318" s="3229">
        <v>1080</v>
      </c>
      <c r="G318" s="3242"/>
    </row>
    <row r="319" spans="1:7" s="3218" customFormat="1" ht="14.25" customHeight="1">
      <c r="A319" s="3229" t="s">
        <v>306</v>
      </c>
      <c r="B319" s="3229" t="s">
        <v>3035</v>
      </c>
      <c r="C319" s="3229"/>
      <c r="D319" s="3229"/>
      <c r="E319" s="3229"/>
      <c r="F319" s="3229">
        <v>1020</v>
      </c>
      <c r="G319" s="3242"/>
    </row>
    <row r="320" spans="1:7" s="3218" customFormat="1" ht="14.25" customHeight="1">
      <c r="A320" s="3229" t="s">
        <v>306</v>
      </c>
      <c r="B320" s="3229" t="s">
        <v>3038</v>
      </c>
      <c r="C320" s="3229"/>
      <c r="D320" s="3229"/>
      <c r="E320" s="3229"/>
      <c r="F320" s="3229">
        <v>1050</v>
      </c>
      <c r="G320" s="3242"/>
    </row>
    <row r="321" spans="1:7" s="3218" customFormat="1" ht="14.25" customHeight="1">
      <c r="A321" s="3229" t="s">
        <v>306</v>
      </c>
      <c r="B321" s="3229" t="s">
        <v>3040</v>
      </c>
      <c r="C321" s="3229"/>
      <c r="D321" s="3229"/>
      <c r="E321" s="3229"/>
      <c r="F321" s="3229">
        <v>960</v>
      </c>
      <c r="G321" s="3242"/>
    </row>
    <row r="322" spans="1:7" s="3218" customFormat="1" ht="14.25" customHeight="1">
      <c r="A322" s="3229" t="s">
        <v>306</v>
      </c>
      <c r="B322" s="3229" t="s">
        <v>3042</v>
      </c>
      <c r="C322" s="3229"/>
      <c r="D322" s="3229"/>
      <c r="E322" s="3229"/>
      <c r="F322" s="3229">
        <v>960</v>
      </c>
      <c r="G322" s="3242"/>
    </row>
    <row r="323" spans="1:7" s="3218" customFormat="1" ht="14.25" customHeight="1">
      <c r="A323" s="3229" t="s">
        <v>306</v>
      </c>
      <c r="B323" s="3229" t="s">
        <v>3044</v>
      </c>
      <c r="C323" s="3229"/>
      <c r="D323" s="3229"/>
      <c r="E323" s="3229"/>
      <c r="F323" s="3229">
        <v>880</v>
      </c>
      <c r="G323" s="3242"/>
    </row>
    <row r="324" spans="1:7" s="3218" customFormat="1" ht="14.25" customHeight="1">
      <c r="A324" s="3229" t="s">
        <v>306</v>
      </c>
      <c r="B324" s="3229" t="s">
        <v>3046</v>
      </c>
      <c r="C324" s="3229"/>
      <c r="D324" s="3229"/>
      <c r="E324" s="3229"/>
      <c r="F324" s="3229">
        <v>930</v>
      </c>
      <c r="G324" s="3242"/>
    </row>
    <row r="325" spans="1:7" s="3218" customFormat="1" ht="14.25" customHeight="1">
      <c r="A325" s="3229" t="s">
        <v>306</v>
      </c>
      <c r="B325" s="3230" t="s">
        <v>3048</v>
      </c>
      <c r="C325" s="3229"/>
      <c r="D325" s="3229"/>
      <c r="E325" s="3229"/>
      <c r="F325" s="3229">
        <v>900</v>
      </c>
      <c r="G325" s="3242"/>
    </row>
    <row r="326" spans="1:7" s="3218" customFormat="1" ht="14.25" customHeight="1" thickBot="1">
      <c r="A326" s="3243" t="s">
        <v>306</v>
      </c>
      <c r="B326" s="3236" t="s">
        <v>3050</v>
      </c>
      <c r="C326" s="3236"/>
      <c r="D326" s="3236"/>
      <c r="E326" s="3236"/>
      <c r="F326" s="3236">
        <v>790</v>
      </c>
      <c r="G326" s="3244"/>
    </row>
    <row r="327" spans="1:7" s="3218" customFormat="1" ht="14.25" customHeight="1">
      <c r="A327" s="3234" t="s">
        <v>307</v>
      </c>
      <c r="B327" s="3225" t="s">
        <v>3149</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3150</v>
      </c>
      <c r="C329" s="3229">
        <v>2730</v>
      </c>
      <c r="D329" s="3229">
        <v>2690</v>
      </c>
      <c r="E329" s="3229">
        <v>3100</v>
      </c>
      <c r="F329" s="3229">
        <v>660</v>
      </c>
      <c r="G329" s="3229">
        <v>1610</v>
      </c>
    </row>
    <row r="330" spans="1:7" s="3218" customFormat="1" ht="14.25" customHeight="1">
      <c r="A330" s="3229" t="s">
        <v>307</v>
      </c>
      <c r="B330" s="3229" t="s">
        <v>3151</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2884</v>
      </c>
      <c r="C332" s="3229">
        <v>3520</v>
      </c>
      <c r="D332" s="3229">
        <v>3480</v>
      </c>
      <c r="E332" s="3229">
        <v>3830</v>
      </c>
      <c r="F332" s="3229">
        <v>720</v>
      </c>
      <c r="G332" s="3229">
        <v>2090</v>
      </c>
    </row>
    <row r="333" spans="1:7" s="3218" customFormat="1" ht="14.25" customHeight="1">
      <c r="A333" s="3229" t="s">
        <v>307</v>
      </c>
      <c r="B333" s="3229" t="s">
        <v>3152</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2894</v>
      </c>
      <c r="C336" s="3229">
        <v>3570</v>
      </c>
      <c r="D336" s="3229">
        <v>3530</v>
      </c>
      <c r="E336" s="3229">
        <v>3880</v>
      </c>
      <c r="F336" s="3229">
        <v>770</v>
      </c>
      <c r="G336" s="3229">
        <v>2110</v>
      </c>
    </row>
    <row r="337" spans="1:10" s="3218" customFormat="1" ht="14.25" customHeight="1">
      <c r="A337" s="3229" t="s">
        <v>307</v>
      </c>
      <c r="B337" s="3229" t="s">
        <v>3153</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3154</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3155</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2919</v>
      </c>
      <c r="C345" s="3229">
        <v>3190</v>
      </c>
      <c r="D345" s="3229">
        <v>3140</v>
      </c>
      <c r="E345" s="3229">
        <v>3450</v>
      </c>
      <c r="F345" s="3229">
        <v>720</v>
      </c>
      <c r="G345" s="3229">
        <v>1880</v>
      </c>
      <c r="J345" s="3218"/>
    </row>
    <row r="346" spans="1:10">
      <c r="A346" s="3229" t="s">
        <v>307</v>
      </c>
      <c r="B346" s="3229" t="s">
        <v>3156</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2928</v>
      </c>
      <c r="C348" s="3229">
        <v>4000</v>
      </c>
      <c r="D348" s="3229">
        <v>3950</v>
      </c>
      <c r="E348" s="3229">
        <v>4430</v>
      </c>
      <c r="F348" s="3229">
        <v>760</v>
      </c>
      <c r="G348" s="3229">
        <v>2360</v>
      </c>
      <c r="J348" s="3218"/>
    </row>
    <row r="349" spans="1:10">
      <c r="A349" s="3229" t="s">
        <v>307</v>
      </c>
      <c r="B349" s="3229" t="s">
        <v>2933</v>
      </c>
      <c r="C349" s="3229">
        <v>3820</v>
      </c>
      <c r="D349" s="3229">
        <v>3780</v>
      </c>
      <c r="E349" s="3229">
        <v>4170</v>
      </c>
      <c r="F349" s="3229">
        <v>710</v>
      </c>
      <c r="G349" s="3229">
        <v>2260</v>
      </c>
      <c r="J349" s="3218"/>
    </row>
    <row r="350" spans="1:10">
      <c r="A350" s="3229" t="s">
        <v>307</v>
      </c>
      <c r="B350" s="3229" t="s">
        <v>3157</v>
      </c>
      <c r="C350" s="3229">
        <v>3760</v>
      </c>
      <c r="D350" s="3229">
        <v>3730</v>
      </c>
      <c r="E350" s="3229">
        <v>4100</v>
      </c>
      <c r="F350" s="3229">
        <v>800</v>
      </c>
      <c r="G350" s="3229">
        <v>2230</v>
      </c>
      <c r="J350" s="3218"/>
    </row>
    <row r="351" spans="1:10">
      <c r="A351" s="3229" t="s">
        <v>307</v>
      </c>
      <c r="B351" s="3229" t="s">
        <v>2941</v>
      </c>
      <c r="C351" s="3229">
        <v>3610</v>
      </c>
      <c r="D351" s="3229">
        <v>3580</v>
      </c>
      <c r="E351" s="3229">
        <v>3930</v>
      </c>
      <c r="F351" s="3229">
        <v>700</v>
      </c>
      <c r="G351" s="3229">
        <v>2140</v>
      </c>
      <c r="J351" s="3218"/>
    </row>
    <row r="352" spans="1:10">
      <c r="A352" s="3229" t="s">
        <v>307</v>
      </c>
      <c r="B352" s="3229" t="s">
        <v>2946</v>
      </c>
      <c r="C352" s="3229">
        <v>3670</v>
      </c>
      <c r="D352" s="3229">
        <v>3630</v>
      </c>
      <c r="E352" s="3229">
        <v>4000</v>
      </c>
      <c r="F352" s="3229">
        <v>750</v>
      </c>
      <c r="G352" s="3229">
        <v>2180</v>
      </c>
    </row>
    <row r="353" spans="1:7" s="3222" customFormat="1">
      <c r="A353" s="3229" t="s">
        <v>307</v>
      </c>
      <c r="B353" s="3229" t="s">
        <v>3158</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2966</v>
      </c>
      <c r="C355" s="3229">
        <v>3650</v>
      </c>
      <c r="D355" s="3229">
        <v>3610</v>
      </c>
      <c r="E355" s="3229">
        <v>4200</v>
      </c>
      <c r="F355" s="3229">
        <v>640</v>
      </c>
      <c r="G355" s="3229">
        <v>2160</v>
      </c>
    </row>
    <row r="356" spans="1:7" s="3222" customFormat="1">
      <c r="A356" s="3229" t="s">
        <v>307</v>
      </c>
      <c r="B356" s="3229" t="s">
        <v>2973</v>
      </c>
      <c r="C356" s="3229">
        <v>3260</v>
      </c>
      <c r="D356" s="3229">
        <v>3230</v>
      </c>
      <c r="E356" s="3229">
        <v>3740</v>
      </c>
      <c r="F356" s="3229">
        <v>600</v>
      </c>
      <c r="G356" s="3229">
        <v>1930</v>
      </c>
    </row>
    <row r="357" spans="1:7" s="3222" customFormat="1" ht="12" thickBot="1">
      <c r="A357" s="3237" t="s">
        <v>307</v>
      </c>
      <c r="B357" s="3240" t="s">
        <v>3159</v>
      </c>
      <c r="C357" s="3240">
        <v>3690</v>
      </c>
      <c r="D357" s="3240">
        <v>3650</v>
      </c>
      <c r="E357" s="3240">
        <v>4020</v>
      </c>
      <c r="F357" s="3240">
        <v>700</v>
      </c>
      <c r="G357" s="3240">
        <v>2190</v>
      </c>
    </row>
    <row r="358" spans="1:7" s="3222" customFormat="1">
      <c r="A358" s="3234" t="s">
        <v>3160</v>
      </c>
      <c r="B358" s="3225" t="s">
        <v>3161</v>
      </c>
      <c r="C358" s="3225">
        <v>2080</v>
      </c>
      <c r="D358" s="3225">
        <v>2040</v>
      </c>
      <c r="E358" s="3225">
        <v>2010</v>
      </c>
      <c r="F358" s="3225">
        <v>530</v>
      </c>
      <c r="G358" s="3241">
        <v>1230</v>
      </c>
    </row>
    <row r="359" spans="1:7" s="3222" customFormat="1">
      <c r="A359" s="3229" t="s">
        <v>3160</v>
      </c>
      <c r="B359" s="3229" t="s">
        <v>3162</v>
      </c>
      <c r="C359" s="3229">
        <v>1850</v>
      </c>
      <c r="D359" s="3229">
        <v>1820</v>
      </c>
      <c r="E359" s="3229">
        <v>1780</v>
      </c>
      <c r="F359" s="3229">
        <v>520</v>
      </c>
      <c r="G359" s="3242">
        <v>1100</v>
      </c>
    </row>
    <row r="360" spans="1:7" s="3222" customFormat="1">
      <c r="A360" s="3229" t="s">
        <v>3160</v>
      </c>
      <c r="B360" s="3229" t="s">
        <v>3163</v>
      </c>
      <c r="C360" s="3229">
        <v>2020</v>
      </c>
      <c r="D360" s="3229">
        <v>1990</v>
      </c>
      <c r="E360" s="3229">
        <v>1950</v>
      </c>
      <c r="F360" s="3229">
        <v>500</v>
      </c>
      <c r="G360" s="3242">
        <v>1200</v>
      </c>
    </row>
    <row r="361" spans="1:7" s="3222" customFormat="1">
      <c r="A361" s="3229" t="s">
        <v>3160</v>
      </c>
      <c r="B361" s="3229" t="s">
        <v>153</v>
      </c>
      <c r="C361" s="3229">
        <v>2260</v>
      </c>
      <c r="D361" s="3229">
        <v>2220</v>
      </c>
      <c r="E361" s="3229">
        <v>2180</v>
      </c>
      <c r="F361" s="3229">
        <v>580</v>
      </c>
      <c r="G361" s="3242">
        <v>1340</v>
      </c>
    </row>
    <row r="362" spans="1:7" s="3222" customFormat="1">
      <c r="A362" s="3229" t="s">
        <v>3160</v>
      </c>
      <c r="B362" s="3229" t="s">
        <v>3164</v>
      </c>
      <c r="C362" s="3229">
        <v>2650</v>
      </c>
      <c r="D362" s="3229">
        <v>2610</v>
      </c>
      <c r="E362" s="3229">
        <v>2570</v>
      </c>
      <c r="F362" s="3229">
        <v>630</v>
      </c>
      <c r="G362" s="3242">
        <v>1570</v>
      </c>
    </row>
    <row r="363" spans="1:7" s="3222" customFormat="1">
      <c r="A363" s="3229" t="s">
        <v>3160</v>
      </c>
      <c r="B363" s="3229" t="s">
        <v>2885</v>
      </c>
      <c r="C363" s="3229">
        <v>2390</v>
      </c>
      <c r="D363" s="3229">
        <v>2360</v>
      </c>
      <c r="E363" s="3229">
        <v>2320</v>
      </c>
      <c r="F363" s="3229">
        <v>600</v>
      </c>
      <c r="G363" s="3242">
        <v>1420</v>
      </c>
    </row>
    <row r="364" spans="1:7" s="3222" customFormat="1">
      <c r="A364" s="3229" t="s">
        <v>3160</v>
      </c>
      <c r="B364" s="3229" t="s">
        <v>3165</v>
      </c>
      <c r="C364" s="3229">
        <v>2050</v>
      </c>
      <c r="D364" s="3229">
        <v>2030</v>
      </c>
      <c r="E364" s="3229">
        <v>1990</v>
      </c>
      <c r="F364" s="3229">
        <v>550</v>
      </c>
      <c r="G364" s="3242">
        <v>1220</v>
      </c>
    </row>
    <row r="365" spans="1:7" s="3222" customFormat="1">
      <c r="A365" s="3229" t="s">
        <v>3160</v>
      </c>
      <c r="B365" s="3229" t="s">
        <v>200</v>
      </c>
      <c r="C365" s="3229">
        <v>2140</v>
      </c>
      <c r="D365" s="3229">
        <v>2100</v>
      </c>
      <c r="E365" s="3229">
        <v>2060</v>
      </c>
      <c r="F365" s="3229">
        <v>540</v>
      </c>
      <c r="G365" s="3242">
        <v>1270</v>
      </c>
    </row>
    <row r="366" spans="1:7" s="3222" customFormat="1">
      <c r="A366" s="3229" t="s">
        <v>3160</v>
      </c>
      <c r="B366" s="3229" t="s">
        <v>2892</v>
      </c>
      <c r="C366" s="3229">
        <v>2410</v>
      </c>
      <c r="D366" s="3229">
        <v>2370</v>
      </c>
      <c r="E366" s="3229">
        <v>2330</v>
      </c>
      <c r="F366" s="3229">
        <v>570</v>
      </c>
      <c r="G366" s="3242">
        <v>1440</v>
      </c>
    </row>
    <row r="367" spans="1:7" s="3222" customFormat="1">
      <c r="A367" s="3229" t="s">
        <v>3160</v>
      </c>
      <c r="B367" s="3229" t="s">
        <v>3166</v>
      </c>
      <c r="C367" s="3229">
        <v>2300</v>
      </c>
      <c r="D367" s="3229">
        <v>2260</v>
      </c>
      <c r="E367" s="3229">
        <v>2220</v>
      </c>
      <c r="F367" s="3229">
        <v>560</v>
      </c>
      <c r="G367" s="3242">
        <v>1370</v>
      </c>
    </row>
    <row r="368" spans="1:7" s="3222" customFormat="1">
      <c r="A368" s="3229" t="s">
        <v>3160</v>
      </c>
      <c r="B368" s="3229" t="s">
        <v>3167</v>
      </c>
      <c r="C368" s="3229">
        <v>2430</v>
      </c>
      <c r="D368" s="3229">
        <v>2390</v>
      </c>
      <c r="E368" s="3229">
        <v>2350</v>
      </c>
      <c r="F368" s="3229">
        <v>570</v>
      </c>
      <c r="G368" s="3242">
        <v>1450</v>
      </c>
    </row>
    <row r="369" spans="1:7" s="3222" customFormat="1">
      <c r="A369" s="3229" t="s">
        <v>3160</v>
      </c>
      <c r="B369" s="3229" t="s">
        <v>214</v>
      </c>
      <c r="C369" s="3229">
        <v>2320</v>
      </c>
      <c r="D369" s="3229">
        <v>2290</v>
      </c>
      <c r="E369" s="3229">
        <v>2250</v>
      </c>
      <c r="F369" s="3229">
        <v>550</v>
      </c>
      <c r="G369" s="3242">
        <v>1380</v>
      </c>
    </row>
    <row r="370" spans="1:7" s="3222" customFormat="1">
      <c r="A370" s="3229" t="s">
        <v>3160</v>
      </c>
      <c r="B370" s="3229" t="s">
        <v>221</v>
      </c>
      <c r="C370" s="3229">
        <v>2190</v>
      </c>
      <c r="D370" s="3229">
        <v>2170</v>
      </c>
      <c r="E370" s="3229">
        <v>2130</v>
      </c>
      <c r="F370" s="3229">
        <v>530</v>
      </c>
      <c r="G370" s="3242">
        <v>1310</v>
      </c>
    </row>
    <row r="371" spans="1:7" s="3222" customFormat="1">
      <c r="A371" s="3229" t="s">
        <v>3160</v>
      </c>
      <c r="B371" s="3229" t="s">
        <v>229</v>
      </c>
      <c r="C371" s="3229">
        <v>2460</v>
      </c>
      <c r="D371" s="3229">
        <v>2420</v>
      </c>
      <c r="E371" s="3229">
        <v>2370</v>
      </c>
      <c r="F371" s="3229">
        <v>560</v>
      </c>
      <c r="G371" s="3242">
        <v>1470</v>
      </c>
    </row>
    <row r="372" spans="1:7" s="3222" customFormat="1">
      <c r="A372" s="3229" t="s">
        <v>3160</v>
      </c>
      <c r="B372" s="3229" t="s">
        <v>3168</v>
      </c>
      <c r="C372" s="3229">
        <v>2250</v>
      </c>
      <c r="D372" s="3229">
        <v>2210</v>
      </c>
      <c r="E372" s="3229">
        <v>2180</v>
      </c>
      <c r="F372" s="3229">
        <v>550</v>
      </c>
      <c r="G372" s="3242">
        <v>1340</v>
      </c>
    </row>
    <row r="373" spans="1:7" s="3222" customFormat="1">
      <c r="A373" s="3229" t="s">
        <v>3160</v>
      </c>
      <c r="B373" s="3229" t="s">
        <v>258</v>
      </c>
      <c r="C373" s="3229">
        <v>2210</v>
      </c>
      <c r="D373" s="3229">
        <v>2190</v>
      </c>
      <c r="E373" s="3229">
        <v>2150</v>
      </c>
      <c r="F373" s="3229">
        <v>530</v>
      </c>
      <c r="G373" s="3242">
        <v>1320</v>
      </c>
    </row>
    <row r="374" spans="1:7" s="3222" customFormat="1">
      <c r="A374" s="3229" t="s">
        <v>3160</v>
      </c>
      <c r="B374" s="3229" t="s">
        <v>266</v>
      </c>
      <c r="C374" s="3229">
        <v>2320</v>
      </c>
      <c r="D374" s="3229">
        <v>2280</v>
      </c>
      <c r="E374" s="3229">
        <v>2230</v>
      </c>
      <c r="F374" s="3229">
        <v>580</v>
      </c>
      <c r="G374" s="3242">
        <v>1380</v>
      </c>
    </row>
    <row r="375" spans="1:7" s="3222" customFormat="1">
      <c r="A375" s="3229" t="s">
        <v>3160</v>
      </c>
      <c r="B375" s="3229" t="s">
        <v>3169</v>
      </c>
      <c r="C375" s="3229">
        <v>2090</v>
      </c>
      <c r="D375" s="3229">
        <v>2050</v>
      </c>
      <c r="E375" s="3229">
        <v>2020</v>
      </c>
      <c r="F375" s="3229">
        <v>520</v>
      </c>
      <c r="G375" s="3242">
        <v>1240</v>
      </c>
    </row>
    <row r="376" spans="1:7" s="3222" customFormat="1">
      <c r="A376" s="3229" t="s">
        <v>3160</v>
      </c>
      <c r="B376" s="3229" t="s">
        <v>277</v>
      </c>
      <c r="C376" s="3229">
        <v>2010</v>
      </c>
      <c r="D376" s="3229">
        <v>1980</v>
      </c>
      <c r="E376" s="3229">
        <v>1940</v>
      </c>
      <c r="F376" s="3229">
        <v>540</v>
      </c>
      <c r="G376" s="3242">
        <v>1190</v>
      </c>
    </row>
    <row r="377" spans="1:7" s="3222" customFormat="1" ht="12" thickBot="1">
      <c r="A377" s="3237" t="s">
        <v>3160</v>
      </c>
      <c r="B377" s="3240" t="s">
        <v>2922</v>
      </c>
      <c r="C377" s="3240">
        <v>1930</v>
      </c>
      <c r="D377" s="3240">
        <v>1890</v>
      </c>
      <c r="E377" s="3240">
        <v>1860</v>
      </c>
      <c r="F377" s="3240">
        <v>530</v>
      </c>
      <c r="G377" s="3245">
        <v>1150</v>
      </c>
    </row>
    <row r="378" spans="1:7" s="3222" customFormat="1">
      <c r="A378" s="3246" t="s">
        <v>3170</v>
      </c>
      <c r="B378" s="3225" t="s">
        <v>3171</v>
      </c>
      <c r="C378" s="3225">
        <v>1520</v>
      </c>
      <c r="D378" s="3225">
        <v>1490</v>
      </c>
      <c r="E378" s="3225">
        <v>1460</v>
      </c>
      <c r="F378" s="3225">
        <v>460</v>
      </c>
      <c r="G378" s="3241">
        <v>940</v>
      </c>
    </row>
    <row r="379" spans="1:7" s="3222" customFormat="1">
      <c r="A379" s="3247" t="s">
        <v>3170</v>
      </c>
      <c r="B379" s="3229" t="s">
        <v>3172</v>
      </c>
      <c r="C379" s="3229">
        <v>1500</v>
      </c>
      <c r="D379" s="3229">
        <v>1470</v>
      </c>
      <c r="E379" s="3229">
        <v>1430</v>
      </c>
      <c r="F379" s="3229">
        <v>460</v>
      </c>
      <c r="G379" s="3242">
        <v>920</v>
      </c>
    </row>
    <row r="380" spans="1:7" s="3222" customFormat="1">
      <c r="A380" s="3247" t="s">
        <v>3170</v>
      </c>
      <c r="B380" s="3229" t="s">
        <v>3173</v>
      </c>
      <c r="C380" s="3229">
        <v>1620</v>
      </c>
      <c r="D380" s="3229">
        <v>1590</v>
      </c>
      <c r="E380" s="3229">
        <v>1560</v>
      </c>
      <c r="F380" s="3229">
        <v>480</v>
      </c>
      <c r="G380" s="3242">
        <v>1000</v>
      </c>
    </row>
    <row r="381" spans="1:7" s="3222" customFormat="1">
      <c r="A381" s="3247" t="s">
        <v>3170</v>
      </c>
      <c r="B381" s="3229" t="s">
        <v>3174</v>
      </c>
      <c r="C381" s="3229">
        <v>1460</v>
      </c>
      <c r="D381" s="3229">
        <v>1430</v>
      </c>
      <c r="E381" s="3229">
        <v>1390</v>
      </c>
      <c r="F381" s="3229">
        <v>450</v>
      </c>
      <c r="G381" s="3242">
        <v>900</v>
      </c>
    </row>
    <row r="382" spans="1:7" s="3222" customFormat="1">
      <c r="A382" s="3247" t="s">
        <v>3170</v>
      </c>
      <c r="B382" s="3229" t="s">
        <v>3175</v>
      </c>
      <c r="C382" s="3229">
        <v>1310</v>
      </c>
      <c r="D382" s="3229">
        <v>1280</v>
      </c>
      <c r="E382" s="3229">
        <v>1250</v>
      </c>
      <c r="F382" s="3229">
        <v>440</v>
      </c>
      <c r="G382" s="3242">
        <v>800</v>
      </c>
    </row>
    <row r="383" spans="1:7" s="3222" customFormat="1">
      <c r="A383" s="3247" t="s">
        <v>3170</v>
      </c>
      <c r="B383" s="3229" t="s">
        <v>3176</v>
      </c>
      <c r="C383" s="3229">
        <v>1260</v>
      </c>
      <c r="D383" s="3229">
        <v>1230</v>
      </c>
      <c r="E383" s="3229">
        <v>1200</v>
      </c>
      <c r="F383" s="3229">
        <v>420</v>
      </c>
      <c r="G383" s="3242">
        <v>770</v>
      </c>
    </row>
    <row r="384" spans="1:7" s="3222" customFormat="1" ht="12" thickBot="1">
      <c r="A384" s="3248" t="s">
        <v>3170</v>
      </c>
      <c r="B384" s="3236" t="s">
        <v>3177</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47" t="s">
        <v>3178</v>
      </c>
      <c r="B1" s="3847"/>
    </row>
    <row r="2" spans="1:7" ht="14.25" thickBot="1">
      <c r="A2" s="3251"/>
      <c r="B2" s="3251"/>
    </row>
    <row r="3" spans="1:7" ht="14.25" thickBot="1">
      <c r="A3" s="3251"/>
      <c r="B3" s="3251"/>
      <c r="C3" s="3252" t="s">
        <v>2808</v>
      </c>
      <c r="D3" s="3252" t="s">
        <v>2864</v>
      </c>
      <c r="E3" s="3252" t="s">
        <v>2810</v>
      </c>
      <c r="F3" s="3252" t="s">
        <v>2865</v>
      </c>
      <c r="G3" s="3252" t="s">
        <v>2628</v>
      </c>
    </row>
    <row r="4" spans="1:7" ht="14.25" thickBot="1">
      <c r="A4" s="3253" t="s">
        <v>2863</v>
      </c>
      <c r="B4" s="3254" t="s">
        <v>2869</v>
      </c>
      <c r="C4" s="3252"/>
      <c r="D4" s="3252"/>
      <c r="E4" s="3252"/>
      <c r="F4" s="3252"/>
      <c r="G4" s="3252"/>
    </row>
    <row r="5" spans="1:7">
      <c r="A5" s="3255" t="s">
        <v>2837</v>
      </c>
      <c r="B5" s="3256" t="s">
        <v>2851</v>
      </c>
      <c r="C5" s="3257">
        <v>9.8000000000000004E-2</v>
      </c>
      <c r="D5" s="3257">
        <v>8.6999999999999994E-2</v>
      </c>
      <c r="E5" s="3257">
        <v>8.6999999999999994E-2</v>
      </c>
      <c r="F5" s="3257">
        <v>9.8000000000000004E-2</v>
      </c>
      <c r="G5" s="3258">
        <v>9.5000000000000001E-2</v>
      </c>
    </row>
    <row r="6" spans="1:7">
      <c r="A6" s="3259" t="s">
        <v>144</v>
      </c>
      <c r="B6" s="3260" t="s">
        <v>2866</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2852</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2902</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2920</v>
      </c>
      <c r="C29" s="3269"/>
      <c r="D29" s="3265">
        <v>5.1999999999999998E-2</v>
      </c>
      <c r="E29" s="3265">
        <v>7.0000000000000007E-2</v>
      </c>
      <c r="F29" s="3269"/>
      <c r="G29" s="3267">
        <v>7.0999999999999994E-2</v>
      </c>
    </row>
    <row r="30" spans="1:7">
      <c r="A30" s="3270" t="s">
        <v>296</v>
      </c>
      <c r="B30" s="3256" t="s">
        <v>2853</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2839</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2923</v>
      </c>
      <c r="C50" s="3261">
        <v>9.8000000000000004E-2</v>
      </c>
      <c r="D50" s="3261">
        <v>7.2999999999999995E-2</v>
      </c>
      <c r="E50" s="3261">
        <v>7.0999999999999994E-2</v>
      </c>
      <c r="F50" s="3272"/>
      <c r="G50" s="3262">
        <v>7.2999999999999995E-2</v>
      </c>
    </row>
    <row r="51" spans="1:7">
      <c r="A51" s="3271" t="s">
        <v>296</v>
      </c>
      <c r="B51" s="3260" t="s">
        <v>2925</v>
      </c>
      <c r="C51" s="3261">
        <v>9.9000000000000005E-2</v>
      </c>
      <c r="D51" s="3261">
        <v>8.5000000000000006E-2</v>
      </c>
      <c r="E51" s="3261">
        <v>6.3E-2</v>
      </c>
      <c r="F51" s="3272"/>
      <c r="G51" s="3262">
        <v>9.6000000000000002E-2</v>
      </c>
    </row>
    <row r="52" spans="1:7">
      <c r="A52" s="3271" t="s">
        <v>296</v>
      </c>
      <c r="B52" s="3260" t="s">
        <v>2929</v>
      </c>
      <c r="C52" s="3261">
        <v>7.3999999999999996E-2</v>
      </c>
      <c r="D52" s="3261">
        <v>9.6000000000000002E-2</v>
      </c>
      <c r="E52" s="3261">
        <v>0.05</v>
      </c>
      <c r="F52" s="3272"/>
      <c r="G52" s="3262">
        <v>9.8000000000000004E-2</v>
      </c>
    </row>
    <row r="53" spans="1:7">
      <c r="A53" s="3271" t="s">
        <v>296</v>
      </c>
      <c r="B53" s="3260" t="s">
        <v>2934</v>
      </c>
      <c r="C53" s="3261">
        <v>8.5999999999999993E-2</v>
      </c>
      <c r="D53" s="3272"/>
      <c r="E53" s="3261">
        <v>9.1999999999999998E-2</v>
      </c>
      <c r="F53" s="3272"/>
      <c r="G53" s="3273"/>
    </row>
    <row r="54" spans="1:7" ht="14.25" thickBot="1">
      <c r="A54" s="3274" t="s">
        <v>296</v>
      </c>
      <c r="B54" s="3264" t="s">
        <v>2937</v>
      </c>
      <c r="C54" s="3265">
        <v>9.6000000000000002E-2</v>
      </c>
      <c r="D54" s="3266"/>
      <c r="E54" s="3275"/>
      <c r="F54" s="3266"/>
      <c r="G54" s="3276"/>
    </row>
    <row r="55" spans="1:7">
      <c r="A55" s="3270" t="s">
        <v>110</v>
      </c>
      <c r="B55" s="3256" t="s">
        <v>2854</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2935</v>
      </c>
      <c r="C78" s="3261">
        <v>0.1</v>
      </c>
      <c r="D78" s="3261">
        <v>8.5000000000000006E-2</v>
      </c>
      <c r="E78" s="3261">
        <v>9.6000000000000002E-2</v>
      </c>
      <c r="F78" s="3272"/>
      <c r="G78" s="3262">
        <v>9.6000000000000002E-2</v>
      </c>
    </row>
    <row r="79" spans="1:7">
      <c r="A79" s="3271" t="s">
        <v>110</v>
      </c>
      <c r="B79" s="3260" t="s">
        <v>2938</v>
      </c>
      <c r="C79" s="3261">
        <v>0.05</v>
      </c>
      <c r="D79" s="3261">
        <v>9.6000000000000002E-2</v>
      </c>
      <c r="E79" s="3261">
        <v>9.5000000000000001E-2</v>
      </c>
      <c r="F79" s="3272"/>
      <c r="G79" s="3262">
        <v>9.8000000000000004E-2</v>
      </c>
    </row>
    <row r="80" spans="1:7">
      <c r="A80" s="3271" t="s">
        <v>110</v>
      </c>
      <c r="B80" s="3260" t="s">
        <v>2942</v>
      </c>
      <c r="C80" s="3261">
        <v>8.5999999999999993E-2</v>
      </c>
      <c r="D80" s="3277"/>
      <c r="E80" s="3261">
        <v>0.1</v>
      </c>
      <c r="F80" s="3272"/>
      <c r="G80" s="3273"/>
    </row>
    <row r="81" spans="1:7">
      <c r="A81" s="3271" t="s">
        <v>110</v>
      </c>
      <c r="B81" s="3260" t="s">
        <v>2947</v>
      </c>
      <c r="C81" s="3261">
        <v>9.6000000000000002E-2</v>
      </c>
      <c r="D81" s="3272"/>
      <c r="E81" s="3261">
        <v>9.8000000000000004E-2</v>
      </c>
      <c r="F81" s="3272"/>
      <c r="G81" s="3273"/>
    </row>
    <row r="82" spans="1:7">
      <c r="A82" s="3271" t="s">
        <v>110</v>
      </c>
      <c r="B82" s="3260" t="s">
        <v>2954</v>
      </c>
      <c r="C82" s="3277"/>
      <c r="D82" s="3272"/>
      <c r="E82" s="3261">
        <v>7.6999999999999999E-2</v>
      </c>
      <c r="F82" s="3272"/>
      <c r="G82" s="3273"/>
    </row>
    <row r="83" spans="1:7">
      <c r="A83" s="3271" t="s">
        <v>110</v>
      </c>
      <c r="B83" s="3260" t="s">
        <v>2960</v>
      </c>
      <c r="C83" s="3272"/>
      <c r="D83" s="3272"/>
      <c r="E83" s="3272"/>
      <c r="F83" s="3261">
        <v>0.1</v>
      </c>
      <c r="G83" s="3278"/>
    </row>
    <row r="84" spans="1:7">
      <c r="A84" s="3271" t="s">
        <v>110</v>
      </c>
      <c r="B84" s="3260" t="s">
        <v>2967</v>
      </c>
      <c r="C84" s="3272"/>
      <c r="D84" s="3272"/>
      <c r="E84" s="3272"/>
      <c r="F84" s="3261">
        <v>0.1</v>
      </c>
      <c r="G84" s="3278"/>
    </row>
    <row r="85" spans="1:7">
      <c r="A85" s="3271" t="s">
        <v>110</v>
      </c>
      <c r="B85" s="3260" t="s">
        <v>2974</v>
      </c>
      <c r="C85" s="3272"/>
      <c r="D85" s="3272"/>
      <c r="E85" s="3272"/>
      <c r="F85" s="3261">
        <v>0.1</v>
      </c>
      <c r="G85" s="3278"/>
    </row>
    <row r="86" spans="1:7" ht="14.25" thickBot="1">
      <c r="A86" s="3274" t="s">
        <v>110</v>
      </c>
      <c r="B86" s="3264" t="s">
        <v>2979</v>
      </c>
      <c r="C86" s="3265">
        <v>9.8000000000000004E-2</v>
      </c>
      <c r="D86" s="3265">
        <v>9.8000000000000004E-2</v>
      </c>
      <c r="E86" s="3265">
        <v>9.6000000000000002E-2</v>
      </c>
      <c r="F86" s="3275"/>
      <c r="G86" s="3267">
        <v>0.1</v>
      </c>
    </row>
    <row r="87" spans="1:7">
      <c r="A87" s="3270" t="s">
        <v>303</v>
      </c>
      <c r="B87" s="3256" t="s">
        <v>2855</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2948</v>
      </c>
      <c r="C113" s="3261">
        <v>0.1</v>
      </c>
      <c r="D113" s="3261">
        <v>0.1</v>
      </c>
      <c r="E113" s="3272"/>
      <c r="F113" s="3272"/>
      <c r="G113" s="3262">
        <v>0.1</v>
      </c>
    </row>
    <row r="114" spans="1:7">
      <c r="A114" s="3271" t="s">
        <v>303</v>
      </c>
      <c r="B114" s="3260" t="s">
        <v>2955</v>
      </c>
      <c r="C114" s="3261">
        <v>9.7000000000000003E-2</v>
      </c>
      <c r="D114" s="3261">
        <v>9.7000000000000003E-2</v>
      </c>
      <c r="E114" s="3272"/>
      <c r="F114" s="3272"/>
      <c r="G114" s="3262">
        <v>9.9000000000000005E-2</v>
      </c>
    </row>
    <row r="115" spans="1:7">
      <c r="A115" s="3271" t="s">
        <v>303</v>
      </c>
      <c r="B115" s="3260" t="s">
        <v>2961</v>
      </c>
      <c r="C115" s="3261">
        <v>0.1</v>
      </c>
      <c r="D115" s="3261">
        <v>0.1</v>
      </c>
      <c r="E115" s="3272"/>
      <c r="F115" s="3272"/>
      <c r="G115" s="3262">
        <v>0.1</v>
      </c>
    </row>
    <row r="116" spans="1:7">
      <c r="A116" s="3271" t="s">
        <v>303</v>
      </c>
      <c r="B116" s="3260" t="s">
        <v>2968</v>
      </c>
      <c r="C116" s="3261">
        <v>0.1</v>
      </c>
      <c r="D116" s="3261">
        <v>0.1</v>
      </c>
      <c r="E116" s="3272"/>
      <c r="F116" s="3272"/>
      <c r="G116" s="3262">
        <v>0.1</v>
      </c>
    </row>
    <row r="117" spans="1:7">
      <c r="A117" s="3271" t="s">
        <v>303</v>
      </c>
      <c r="B117" s="3260" t="s">
        <v>2975</v>
      </c>
      <c r="C117" s="3261">
        <v>9.7000000000000003E-2</v>
      </c>
      <c r="D117" s="3261">
        <v>9.7000000000000003E-2</v>
      </c>
      <c r="E117" s="3272"/>
      <c r="F117" s="3272"/>
      <c r="G117" s="3262">
        <v>9.7000000000000003E-2</v>
      </c>
    </row>
    <row r="118" spans="1:7">
      <c r="A118" s="3271" t="s">
        <v>303</v>
      </c>
      <c r="B118" s="3260" t="s">
        <v>2980</v>
      </c>
      <c r="C118" s="3261">
        <v>0.1</v>
      </c>
      <c r="D118" s="3261">
        <v>0.1</v>
      </c>
      <c r="E118" s="3272"/>
      <c r="F118" s="3272"/>
      <c r="G118" s="3262">
        <v>0.1</v>
      </c>
    </row>
    <row r="119" spans="1:7">
      <c r="A119" s="3271" t="s">
        <v>303</v>
      </c>
      <c r="B119" s="3260" t="s">
        <v>2984</v>
      </c>
      <c r="C119" s="3261">
        <v>5.0999999999999997E-2</v>
      </c>
      <c r="D119" s="3261">
        <v>5.1999999999999998E-2</v>
      </c>
      <c r="E119" s="3272"/>
      <c r="F119" s="3277"/>
      <c r="G119" s="3262">
        <v>0.06</v>
      </c>
    </row>
    <row r="120" spans="1:7">
      <c r="A120" s="3271" t="s">
        <v>303</v>
      </c>
      <c r="B120" s="3260" t="s">
        <v>2988</v>
      </c>
      <c r="C120" s="3272"/>
      <c r="D120" s="3272"/>
      <c r="E120" s="3272"/>
      <c r="F120" s="3261">
        <v>0.1</v>
      </c>
      <c r="G120" s="3278"/>
    </row>
    <row r="121" spans="1:7">
      <c r="A121" s="3271" t="s">
        <v>303</v>
      </c>
      <c r="B121" s="3260" t="s">
        <v>2993</v>
      </c>
      <c r="C121" s="3272"/>
      <c r="D121" s="3272"/>
      <c r="E121" s="3272"/>
      <c r="F121" s="3261">
        <v>0.1</v>
      </c>
      <c r="G121" s="3278"/>
    </row>
    <row r="122" spans="1:7">
      <c r="A122" s="3271" t="s">
        <v>303</v>
      </c>
      <c r="B122" s="3260" t="s">
        <v>2998</v>
      </c>
      <c r="C122" s="3261">
        <v>0.1</v>
      </c>
      <c r="D122" s="3261">
        <v>0.1</v>
      </c>
      <c r="E122" s="3261">
        <v>9.8000000000000004E-2</v>
      </c>
      <c r="F122" s="3261">
        <v>0.1</v>
      </c>
      <c r="G122" s="3262">
        <v>0.1</v>
      </c>
    </row>
    <row r="123" spans="1:7">
      <c r="A123" s="3271" t="s">
        <v>303</v>
      </c>
      <c r="B123" s="3260" t="s">
        <v>3003</v>
      </c>
      <c r="C123" s="3261">
        <v>0.1</v>
      </c>
      <c r="D123" s="3261">
        <v>0.1</v>
      </c>
      <c r="E123" s="3261">
        <v>9.8000000000000004E-2</v>
      </c>
      <c r="F123" s="3261">
        <v>0.1</v>
      </c>
      <c r="G123" s="3262">
        <v>0.1</v>
      </c>
    </row>
    <row r="124" spans="1:7">
      <c r="A124" s="3271" t="s">
        <v>303</v>
      </c>
      <c r="B124" s="3260" t="s">
        <v>3008</v>
      </c>
      <c r="C124" s="3261">
        <v>0.1</v>
      </c>
      <c r="D124" s="3261">
        <v>0.1</v>
      </c>
      <c r="E124" s="3261">
        <v>9.8000000000000004E-2</v>
      </c>
      <c r="F124" s="3277"/>
      <c r="G124" s="3262">
        <v>0.1</v>
      </c>
    </row>
    <row r="125" spans="1:7">
      <c r="A125" s="3271" t="s">
        <v>303</v>
      </c>
      <c r="B125" s="3260" t="s">
        <v>3013</v>
      </c>
      <c r="C125" s="3261">
        <v>9.8000000000000004E-2</v>
      </c>
      <c r="D125" s="3261">
        <v>9.8000000000000004E-2</v>
      </c>
      <c r="E125" s="3261">
        <v>9.6000000000000002E-2</v>
      </c>
      <c r="F125" s="3277"/>
      <c r="G125" s="3262">
        <v>0.1</v>
      </c>
    </row>
    <row r="126" spans="1:7" ht="14.25" thickBot="1">
      <c r="A126" s="3274" t="s">
        <v>303</v>
      </c>
      <c r="B126" s="3264" t="s">
        <v>3179</v>
      </c>
      <c r="C126" s="3265">
        <v>0.1</v>
      </c>
      <c r="D126" s="3265">
        <v>0.1</v>
      </c>
      <c r="E126" s="3265">
        <v>9.8000000000000004E-2</v>
      </c>
      <c r="F126" s="3265">
        <v>0.1</v>
      </c>
      <c r="G126" s="3267">
        <v>0.1</v>
      </c>
    </row>
    <row r="127" spans="1:7">
      <c r="A127" s="3270" t="s">
        <v>29</v>
      </c>
      <c r="B127" s="3256" t="s">
        <v>2856</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2926</v>
      </c>
      <c r="C148" s="3261">
        <v>0.13</v>
      </c>
      <c r="D148" s="3261">
        <v>0.13</v>
      </c>
      <c r="E148" s="3261">
        <v>0.13</v>
      </c>
      <c r="F148" s="3272"/>
      <c r="G148" s="3262">
        <v>0.13</v>
      </c>
    </row>
    <row r="149" spans="1:7">
      <c r="A149" s="3271" t="s">
        <v>29</v>
      </c>
      <c r="B149" s="3260" t="s">
        <v>2930</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2949</v>
      </c>
      <c r="C153" s="3261">
        <v>0.13</v>
      </c>
      <c r="D153" s="3261">
        <v>0.13</v>
      </c>
      <c r="E153" s="3261">
        <v>0.13</v>
      </c>
      <c r="F153" s="3261">
        <v>0.13</v>
      </c>
      <c r="G153" s="3262">
        <v>0.13</v>
      </c>
    </row>
    <row r="154" spans="1:7">
      <c r="A154" s="3271" t="s">
        <v>29</v>
      </c>
      <c r="B154" s="3260" t="s">
        <v>2956</v>
      </c>
      <c r="C154" s="3261">
        <v>0.121</v>
      </c>
      <c r="D154" s="3261">
        <v>0.121</v>
      </c>
      <c r="E154" s="3261">
        <v>0.105</v>
      </c>
      <c r="F154" s="3261">
        <v>0.121</v>
      </c>
      <c r="G154" s="3262">
        <v>0.123</v>
      </c>
    </row>
    <row r="155" spans="1:7">
      <c r="A155" s="3271" t="s">
        <v>29</v>
      </c>
      <c r="B155" s="3260" t="s">
        <v>2962</v>
      </c>
      <c r="C155" s="3261">
        <v>0.1</v>
      </c>
      <c r="D155" s="3261">
        <v>0.1</v>
      </c>
      <c r="E155" s="3261">
        <v>0.1</v>
      </c>
      <c r="F155" s="3261">
        <v>0.1</v>
      </c>
      <c r="G155" s="3262">
        <v>0.1</v>
      </c>
    </row>
    <row r="156" spans="1:7">
      <c r="A156" s="3271" t="s">
        <v>29</v>
      </c>
      <c r="B156" s="3260" t="s">
        <v>2969</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2989</v>
      </c>
      <c r="C160" s="3261">
        <v>0.13</v>
      </c>
      <c r="D160" s="3261">
        <v>0.13</v>
      </c>
      <c r="E160" s="3261">
        <v>0.124</v>
      </c>
      <c r="F160" s="3261">
        <v>0.126</v>
      </c>
      <c r="G160" s="3262">
        <v>0.13</v>
      </c>
    </row>
    <row r="161" spans="1:7">
      <c r="A161" s="3271" t="s">
        <v>29</v>
      </c>
      <c r="B161" s="3260" t="s">
        <v>2994</v>
      </c>
      <c r="C161" s="3261">
        <v>0.13</v>
      </c>
      <c r="D161" s="3261">
        <v>0.13</v>
      </c>
      <c r="E161" s="3261">
        <v>0.124</v>
      </c>
      <c r="F161" s="3261">
        <v>0.127</v>
      </c>
      <c r="G161" s="3262">
        <v>0.13</v>
      </c>
    </row>
    <row r="162" spans="1:7">
      <c r="A162" s="3271" t="s">
        <v>29</v>
      </c>
      <c r="B162" s="3260" t="s">
        <v>2999</v>
      </c>
      <c r="C162" s="3261">
        <v>0.1</v>
      </c>
      <c r="D162" s="3261">
        <v>0.1</v>
      </c>
      <c r="E162" s="3261">
        <v>0.1</v>
      </c>
      <c r="F162" s="3261">
        <v>0.121</v>
      </c>
      <c r="G162" s="3262">
        <v>0.105</v>
      </c>
    </row>
    <row r="163" spans="1:7">
      <c r="A163" s="3271" t="s">
        <v>29</v>
      </c>
      <c r="B163" s="3260" t="s">
        <v>3004</v>
      </c>
      <c r="C163" s="3261">
        <v>0.1</v>
      </c>
      <c r="D163" s="3261">
        <v>0.1</v>
      </c>
      <c r="E163" s="3261">
        <v>0.1</v>
      </c>
      <c r="F163" s="3261">
        <v>0.1</v>
      </c>
      <c r="G163" s="3262">
        <v>0.1</v>
      </c>
    </row>
    <row r="164" spans="1:7">
      <c r="A164" s="3271" t="s">
        <v>29</v>
      </c>
      <c r="B164" s="3260" t="s">
        <v>3009</v>
      </c>
      <c r="C164" s="3277"/>
      <c r="D164" s="3277"/>
      <c r="E164" s="3277"/>
      <c r="F164" s="3261">
        <v>0.1</v>
      </c>
      <c r="G164" s="3273"/>
    </row>
    <row r="165" spans="1:7">
      <c r="A165" s="3271" t="s">
        <v>29</v>
      </c>
      <c r="B165" s="3260" t="s">
        <v>3180</v>
      </c>
      <c r="C165" s="3261">
        <v>0.126</v>
      </c>
      <c r="D165" s="3261">
        <v>0.126</v>
      </c>
      <c r="E165" s="3261">
        <v>0.11899999999999999</v>
      </c>
      <c r="F165" s="3261">
        <v>0.13</v>
      </c>
      <c r="G165" s="3262">
        <v>0.128</v>
      </c>
    </row>
    <row r="166" spans="1:7">
      <c r="A166" s="3271" t="s">
        <v>29</v>
      </c>
      <c r="B166" s="3260" t="s">
        <v>3019</v>
      </c>
      <c r="C166" s="3261">
        <v>0.129</v>
      </c>
      <c r="D166" s="3261">
        <v>0.129</v>
      </c>
      <c r="E166" s="3261">
        <v>0.123</v>
      </c>
      <c r="F166" s="3261">
        <v>0.128</v>
      </c>
      <c r="G166" s="3262">
        <v>0.13</v>
      </c>
    </row>
    <row r="167" spans="1:7">
      <c r="A167" s="3271" t="s">
        <v>29</v>
      </c>
      <c r="B167" s="3260" t="s">
        <v>3023</v>
      </c>
      <c r="C167" s="3261">
        <v>0.125</v>
      </c>
      <c r="D167" s="3261">
        <v>0.125</v>
      </c>
      <c r="E167" s="3261">
        <v>0.11700000000000001</v>
      </c>
      <c r="F167" s="3261">
        <v>0.13</v>
      </c>
      <c r="G167" s="3262">
        <v>0.126</v>
      </c>
    </row>
    <row r="168" spans="1:7">
      <c r="A168" s="3271" t="s">
        <v>29</v>
      </c>
      <c r="B168" s="3260" t="s">
        <v>3028</v>
      </c>
      <c r="C168" s="3261">
        <v>0.128</v>
      </c>
      <c r="D168" s="3261">
        <v>0.128</v>
      </c>
      <c r="E168" s="3261">
        <v>0.123</v>
      </c>
      <c r="F168" s="3272"/>
      <c r="G168" s="3262">
        <v>0.13</v>
      </c>
    </row>
    <row r="169" spans="1:7">
      <c r="A169" s="3271" t="s">
        <v>29</v>
      </c>
      <c r="B169" s="3260" t="s">
        <v>3181</v>
      </c>
      <c r="C169" s="3277"/>
      <c r="D169" s="3277"/>
      <c r="E169" s="3277"/>
      <c r="F169" s="3261">
        <v>0.05</v>
      </c>
      <c r="G169" s="3273"/>
    </row>
    <row r="170" spans="1:7">
      <c r="A170" s="3271" t="s">
        <v>29</v>
      </c>
      <c r="B170" s="3260" t="s">
        <v>3182</v>
      </c>
      <c r="C170" s="3277"/>
      <c r="D170" s="3277"/>
      <c r="E170" s="3277"/>
      <c r="F170" s="3261">
        <v>0.05</v>
      </c>
      <c r="G170" s="3273"/>
    </row>
    <row r="171" spans="1:7">
      <c r="A171" s="3271" t="s">
        <v>29</v>
      </c>
      <c r="B171" s="3260" t="s">
        <v>3183</v>
      </c>
      <c r="C171" s="3277"/>
      <c r="D171" s="3277"/>
      <c r="E171" s="3277"/>
      <c r="F171" s="3261">
        <v>0.05</v>
      </c>
      <c r="G171" s="3278"/>
    </row>
    <row r="172" spans="1:7">
      <c r="A172" s="3271" t="s">
        <v>29</v>
      </c>
      <c r="B172" s="3260" t="s">
        <v>3184</v>
      </c>
      <c r="C172" s="3277"/>
      <c r="D172" s="3277"/>
      <c r="E172" s="3277"/>
      <c r="F172" s="3261">
        <v>0.05</v>
      </c>
      <c r="G172" s="3278"/>
    </row>
    <row r="173" spans="1:7">
      <c r="A173" s="3271" t="s">
        <v>29</v>
      </c>
      <c r="B173" s="3260" t="s">
        <v>3185</v>
      </c>
      <c r="C173" s="3277"/>
      <c r="D173" s="3277"/>
      <c r="E173" s="3277"/>
      <c r="F173" s="3261">
        <v>0.05</v>
      </c>
      <c r="G173" s="3273"/>
    </row>
    <row r="174" spans="1:7">
      <c r="A174" s="3271" t="s">
        <v>29</v>
      </c>
      <c r="B174" s="3260" t="s">
        <v>3186</v>
      </c>
      <c r="C174" s="3277"/>
      <c r="D174" s="3277"/>
      <c r="E174" s="3277"/>
      <c r="F174" s="3261">
        <v>0.05</v>
      </c>
      <c r="G174" s="3273"/>
    </row>
    <row r="175" spans="1:7">
      <c r="A175" s="3271" t="s">
        <v>29</v>
      </c>
      <c r="B175" s="3260" t="s">
        <v>3187</v>
      </c>
      <c r="C175" s="3277"/>
      <c r="D175" s="3277"/>
      <c r="E175" s="3277"/>
      <c r="F175" s="3261">
        <v>0.05</v>
      </c>
      <c r="G175" s="3273"/>
    </row>
    <row r="176" spans="1:7">
      <c r="A176" s="3271" t="s">
        <v>29</v>
      </c>
      <c r="B176" s="3260" t="s">
        <v>3188</v>
      </c>
      <c r="C176" s="3277"/>
      <c r="D176" s="3277"/>
      <c r="E176" s="3277"/>
      <c r="F176" s="3261">
        <v>0.05</v>
      </c>
      <c r="G176" s="3273"/>
    </row>
    <row r="177" spans="1:7">
      <c r="A177" s="3271" t="s">
        <v>29</v>
      </c>
      <c r="B177" s="3260" t="s">
        <v>3189</v>
      </c>
      <c r="C177" s="3272"/>
      <c r="D177" s="3272"/>
      <c r="E177" s="3272"/>
      <c r="F177" s="3261">
        <v>0.05</v>
      </c>
      <c r="G177" s="3278"/>
    </row>
    <row r="178" spans="1:7">
      <c r="A178" s="3271" t="s">
        <v>29</v>
      </c>
      <c r="B178" s="3260" t="s">
        <v>3190</v>
      </c>
      <c r="C178" s="3272"/>
      <c r="D178" s="3272"/>
      <c r="E178" s="3272"/>
      <c r="F178" s="3261">
        <v>0.05</v>
      </c>
      <c r="G178" s="3278"/>
    </row>
    <row r="179" spans="1:7">
      <c r="A179" s="3271" t="s">
        <v>29</v>
      </c>
      <c r="B179" s="3260" t="s">
        <v>3191</v>
      </c>
      <c r="C179" s="3272"/>
      <c r="D179" s="3272"/>
      <c r="E179" s="3272"/>
      <c r="F179" s="3261">
        <v>0.05</v>
      </c>
      <c r="G179" s="3278"/>
    </row>
    <row r="180" spans="1:7">
      <c r="A180" s="3271" t="s">
        <v>29</v>
      </c>
      <c r="B180" s="3260" t="s">
        <v>3192</v>
      </c>
      <c r="C180" s="3272"/>
      <c r="D180" s="3272"/>
      <c r="E180" s="3272"/>
      <c r="F180" s="3261">
        <v>0.05</v>
      </c>
      <c r="G180" s="3278"/>
    </row>
    <row r="181" spans="1:7">
      <c r="A181" s="3271" t="s">
        <v>29</v>
      </c>
      <c r="B181" s="3260" t="s">
        <v>3193</v>
      </c>
      <c r="C181" s="3272"/>
      <c r="D181" s="3272"/>
      <c r="E181" s="3272"/>
      <c r="F181" s="3261">
        <v>0.05</v>
      </c>
      <c r="G181" s="3278"/>
    </row>
    <row r="182" spans="1:7">
      <c r="A182" s="3271" t="s">
        <v>29</v>
      </c>
      <c r="B182" s="3260" t="s">
        <v>3194</v>
      </c>
      <c r="C182" s="3272"/>
      <c r="D182" s="3272"/>
      <c r="E182" s="3272"/>
      <c r="F182" s="3261">
        <v>0.05</v>
      </c>
      <c r="G182" s="3278"/>
    </row>
    <row r="183" spans="1:7">
      <c r="A183" s="3271" t="s">
        <v>29</v>
      </c>
      <c r="B183" s="3260" t="s">
        <v>3195</v>
      </c>
      <c r="C183" s="3272"/>
      <c r="D183" s="3272"/>
      <c r="E183" s="3272"/>
      <c r="F183" s="3261">
        <v>0.05</v>
      </c>
      <c r="G183" s="3278"/>
    </row>
    <row r="184" spans="1:7">
      <c r="A184" s="3271" t="s">
        <v>29</v>
      </c>
      <c r="B184" s="3260" t="s">
        <v>3196</v>
      </c>
      <c r="C184" s="3272"/>
      <c r="D184" s="3272"/>
      <c r="E184" s="3272"/>
      <c r="F184" s="3261">
        <v>0.05</v>
      </c>
      <c r="G184" s="3278"/>
    </row>
    <row r="185" spans="1:7">
      <c r="A185" s="3271" t="s">
        <v>29</v>
      </c>
      <c r="B185" s="3260" t="s">
        <v>3197</v>
      </c>
      <c r="C185" s="3272"/>
      <c r="D185" s="3272"/>
      <c r="E185" s="3272"/>
      <c r="F185" s="3261">
        <v>0.05</v>
      </c>
      <c r="G185" s="3278"/>
    </row>
    <row r="186" spans="1:7">
      <c r="A186" s="3271" t="s">
        <v>29</v>
      </c>
      <c r="B186" s="3260" t="s">
        <v>3198</v>
      </c>
      <c r="C186" s="3272"/>
      <c r="D186" s="3272"/>
      <c r="E186" s="3272"/>
      <c r="F186" s="3261">
        <v>0.05</v>
      </c>
      <c r="G186" s="3278"/>
    </row>
    <row r="187" spans="1:7">
      <c r="A187" s="3271" t="s">
        <v>29</v>
      </c>
      <c r="B187" s="3260" t="s">
        <v>3199</v>
      </c>
      <c r="C187" s="3272"/>
      <c r="D187" s="3272"/>
      <c r="E187" s="3272"/>
      <c r="F187" s="3261">
        <v>0.05</v>
      </c>
      <c r="G187" s="3278"/>
    </row>
    <row r="188" spans="1:7">
      <c r="A188" s="3271" t="s">
        <v>29</v>
      </c>
      <c r="B188" s="3260" t="s">
        <v>3200</v>
      </c>
      <c r="C188" s="3272"/>
      <c r="D188" s="3272"/>
      <c r="E188" s="3272"/>
      <c r="F188" s="3261">
        <v>0.05</v>
      </c>
      <c r="G188" s="3278"/>
    </row>
    <row r="189" spans="1:7" ht="14.25" thickBot="1">
      <c r="A189" s="3274" t="s">
        <v>29</v>
      </c>
      <c r="B189" s="3264" t="s">
        <v>3201</v>
      </c>
      <c r="C189" s="3266"/>
      <c r="D189" s="3266"/>
      <c r="E189" s="3266"/>
      <c r="F189" s="3265">
        <v>0.05</v>
      </c>
      <c r="G189" s="3279"/>
    </row>
    <row r="190" spans="1:7">
      <c r="A190" s="3270" t="s">
        <v>304</v>
      </c>
      <c r="B190" s="3256" t="s">
        <v>2857</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2893</v>
      </c>
      <c r="C199" s="3261">
        <v>0.13</v>
      </c>
      <c r="D199" s="3261">
        <v>0.13</v>
      </c>
      <c r="E199" s="3261">
        <v>0.13</v>
      </c>
      <c r="F199" s="3261">
        <v>0.13</v>
      </c>
      <c r="G199" s="3262">
        <v>0.13</v>
      </c>
    </row>
    <row r="200" spans="1:7">
      <c r="A200" s="3271" t="s">
        <v>304</v>
      </c>
      <c r="B200" s="3260" t="s">
        <v>2896</v>
      </c>
      <c r="C200" s="3277"/>
      <c r="D200" s="3277"/>
      <c r="E200" s="3277"/>
      <c r="F200" s="3261">
        <v>0.13</v>
      </c>
      <c r="G200" s="3273"/>
    </row>
    <row r="201" spans="1:7">
      <c r="A201" s="3271" t="s">
        <v>304</v>
      </c>
      <c r="B201" s="3260" t="s">
        <v>2901</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2904</v>
      </c>
      <c r="C203" s="3261">
        <v>0.129</v>
      </c>
      <c r="D203" s="3261">
        <v>0.129</v>
      </c>
      <c r="E203" s="3261">
        <v>0.13</v>
      </c>
      <c r="F203" s="3261">
        <v>0.13</v>
      </c>
      <c r="G203" s="3262">
        <v>0.13</v>
      </c>
    </row>
    <row r="204" spans="1:7">
      <c r="A204" s="3271" t="s">
        <v>304</v>
      </c>
      <c r="B204" s="3260" t="s">
        <v>2907</v>
      </c>
      <c r="C204" s="3261">
        <v>0.129</v>
      </c>
      <c r="D204" s="3261">
        <v>0.129</v>
      </c>
      <c r="E204" s="3261">
        <v>0.123</v>
      </c>
      <c r="F204" s="3261">
        <v>0.13</v>
      </c>
      <c r="G204" s="3262">
        <v>0.13</v>
      </c>
    </row>
    <row r="205" spans="1:7">
      <c r="A205" s="3271" t="s">
        <v>304</v>
      </c>
      <c r="B205" s="3260" t="s">
        <v>2909</v>
      </c>
      <c r="C205" s="3261">
        <v>0.13</v>
      </c>
      <c r="D205" s="3261">
        <v>0.13</v>
      </c>
      <c r="E205" s="3261">
        <v>0.13</v>
      </c>
      <c r="F205" s="3261">
        <v>0.13</v>
      </c>
      <c r="G205" s="3262">
        <v>0.13</v>
      </c>
    </row>
    <row r="206" spans="1:7">
      <c r="A206" s="3271" t="s">
        <v>304</v>
      </c>
      <c r="B206" s="3260" t="s">
        <v>2912</v>
      </c>
      <c r="C206" s="3261">
        <v>0.13</v>
      </c>
      <c r="D206" s="3261">
        <v>0.13</v>
      </c>
      <c r="E206" s="3261">
        <v>0.13</v>
      </c>
      <c r="F206" s="3261">
        <v>0.128</v>
      </c>
      <c r="G206" s="3262">
        <v>0.13</v>
      </c>
    </row>
    <row r="207" spans="1:7">
      <c r="A207" s="3271" t="s">
        <v>304</v>
      </c>
      <c r="B207" s="3260" t="s">
        <v>2914</v>
      </c>
      <c r="C207" s="3261">
        <v>0.13</v>
      </c>
      <c r="D207" s="3261">
        <v>0.13</v>
      </c>
      <c r="E207" s="3261">
        <v>0.13</v>
      </c>
      <c r="F207" s="3261">
        <v>0.13</v>
      </c>
      <c r="G207" s="3262">
        <v>0.13</v>
      </c>
    </row>
    <row r="208" spans="1:7">
      <c r="A208" s="3271" t="s">
        <v>304</v>
      </c>
      <c r="B208" s="3260" t="s">
        <v>2917</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2924</v>
      </c>
      <c r="C210" s="3261">
        <v>0.121</v>
      </c>
      <c r="D210" s="3261">
        <v>0.121</v>
      </c>
      <c r="E210" s="3261">
        <v>0.125</v>
      </c>
      <c r="F210" s="3261">
        <v>0.13</v>
      </c>
      <c r="G210" s="3262">
        <v>0.123</v>
      </c>
    </row>
    <row r="211" spans="1:7">
      <c r="A211" s="3271" t="s">
        <v>304</v>
      </c>
      <c r="B211" s="3260" t="s">
        <v>2927</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2939</v>
      </c>
      <c r="C214" s="3261">
        <v>0.128</v>
      </c>
      <c r="D214" s="3261">
        <v>0.128</v>
      </c>
      <c r="E214" s="3261">
        <v>0.13</v>
      </c>
      <c r="F214" s="3261">
        <v>0.13</v>
      </c>
      <c r="G214" s="3262">
        <v>0.13</v>
      </c>
    </row>
    <row r="215" spans="1:7">
      <c r="A215" s="3271" t="s">
        <v>304</v>
      </c>
      <c r="B215" s="3260" t="s">
        <v>2943</v>
      </c>
      <c r="C215" s="3261">
        <v>0.13</v>
      </c>
      <c r="D215" s="3261">
        <v>0.13</v>
      </c>
      <c r="E215" s="3261">
        <v>0.13</v>
      </c>
      <c r="F215" s="3261">
        <v>0.129</v>
      </c>
      <c r="G215" s="3262">
        <v>0.13</v>
      </c>
    </row>
    <row r="216" spans="1:7">
      <c r="A216" s="3271" t="s">
        <v>304</v>
      </c>
      <c r="B216" s="3260" t="s">
        <v>2950</v>
      </c>
      <c r="C216" s="3261">
        <v>0.13</v>
      </c>
      <c r="D216" s="3261">
        <v>0.13</v>
      </c>
      <c r="E216" s="3261">
        <v>0.13</v>
      </c>
      <c r="F216" s="3261">
        <v>0.13</v>
      </c>
      <c r="G216" s="3262">
        <v>0.13</v>
      </c>
    </row>
    <row r="217" spans="1:7">
      <c r="A217" s="3271" t="s">
        <v>304</v>
      </c>
      <c r="B217" s="3260" t="s">
        <v>2957</v>
      </c>
      <c r="C217" s="3261">
        <v>0.129</v>
      </c>
      <c r="D217" s="3261">
        <v>0.129</v>
      </c>
      <c r="E217" s="3261">
        <v>0.13</v>
      </c>
      <c r="F217" s="3261">
        <v>0.13</v>
      </c>
      <c r="G217" s="3262">
        <v>0.13</v>
      </c>
    </row>
    <row r="218" spans="1:7">
      <c r="A218" s="3271" t="s">
        <v>304</v>
      </c>
      <c r="B218" s="3260" t="s">
        <v>2963</v>
      </c>
      <c r="C218" s="3272"/>
      <c r="D218" s="3272"/>
      <c r="E218" s="3272"/>
      <c r="F218" s="3261">
        <v>0.05</v>
      </c>
      <c r="G218" s="3278"/>
    </row>
    <row r="219" spans="1:7">
      <c r="A219" s="3271" t="s">
        <v>304</v>
      </c>
      <c r="B219" s="3260" t="s">
        <v>2970</v>
      </c>
      <c r="C219" s="3272"/>
      <c r="D219" s="3272"/>
      <c r="E219" s="3272"/>
      <c r="F219" s="3261">
        <v>0.05</v>
      </c>
      <c r="G219" s="3278"/>
    </row>
    <row r="220" spans="1:7">
      <c r="A220" s="3271" t="s">
        <v>304</v>
      </c>
      <c r="B220" s="3260" t="s">
        <v>2976</v>
      </c>
      <c r="C220" s="3272"/>
      <c r="D220" s="3272"/>
      <c r="E220" s="3272"/>
      <c r="F220" s="3261">
        <v>0.05</v>
      </c>
      <c r="G220" s="3278"/>
    </row>
    <row r="221" spans="1:7">
      <c r="A221" s="3271" t="s">
        <v>304</v>
      </c>
      <c r="B221" s="3260" t="s">
        <v>2981</v>
      </c>
      <c r="C221" s="3272"/>
      <c r="D221" s="3272"/>
      <c r="E221" s="3272"/>
      <c r="F221" s="3261">
        <v>0.05</v>
      </c>
      <c r="G221" s="3278"/>
    </row>
    <row r="222" spans="1:7">
      <c r="A222" s="3271" t="s">
        <v>304</v>
      </c>
      <c r="B222" s="3260" t="s">
        <v>2985</v>
      </c>
      <c r="C222" s="3272"/>
      <c r="D222" s="3272"/>
      <c r="E222" s="3272"/>
      <c r="F222" s="3261">
        <v>0.05</v>
      </c>
      <c r="G222" s="3278"/>
    </row>
    <row r="223" spans="1:7">
      <c r="A223" s="3271" t="s">
        <v>304</v>
      </c>
      <c r="B223" s="3260" t="s">
        <v>2990</v>
      </c>
      <c r="C223" s="3272"/>
      <c r="D223" s="3272"/>
      <c r="E223" s="3272"/>
      <c r="F223" s="3261">
        <v>0.05</v>
      </c>
      <c r="G223" s="3278"/>
    </row>
    <row r="224" spans="1:7">
      <c r="A224" s="3271" t="s">
        <v>304</v>
      </c>
      <c r="B224" s="3260" t="s">
        <v>2995</v>
      </c>
      <c r="C224" s="3272"/>
      <c r="D224" s="3272"/>
      <c r="E224" s="3272"/>
      <c r="F224" s="3261">
        <v>0.05</v>
      </c>
      <c r="G224" s="3278"/>
    </row>
    <row r="225" spans="1:7">
      <c r="A225" s="3271" t="s">
        <v>304</v>
      </c>
      <c r="B225" s="3260" t="s">
        <v>3000</v>
      </c>
      <c r="C225" s="3272"/>
      <c r="D225" s="3272"/>
      <c r="E225" s="3272"/>
      <c r="F225" s="3261">
        <v>0.05</v>
      </c>
      <c r="G225" s="3278"/>
    </row>
    <row r="226" spans="1:7">
      <c r="A226" s="3271" t="s">
        <v>304</v>
      </c>
      <c r="B226" s="3260" t="s">
        <v>3202</v>
      </c>
      <c r="C226" s="3272"/>
      <c r="D226" s="3272"/>
      <c r="E226" s="3272"/>
      <c r="F226" s="3261">
        <v>0.05</v>
      </c>
      <c r="G226" s="3278"/>
    </row>
    <row r="227" spans="1:7">
      <c r="A227" s="3271" t="s">
        <v>304</v>
      </c>
      <c r="B227" s="3260" t="s">
        <v>3203</v>
      </c>
      <c r="C227" s="3272"/>
      <c r="D227" s="3272"/>
      <c r="E227" s="3272"/>
      <c r="F227" s="3261">
        <v>0.05</v>
      </c>
      <c r="G227" s="3278"/>
    </row>
    <row r="228" spans="1:7">
      <c r="A228" s="3271" t="s">
        <v>304</v>
      </c>
      <c r="B228" s="3260" t="s">
        <v>3204</v>
      </c>
      <c r="C228" s="3272"/>
      <c r="D228" s="3272"/>
      <c r="E228" s="3272"/>
      <c r="F228" s="3261">
        <v>0.05</v>
      </c>
      <c r="G228" s="3278"/>
    </row>
    <row r="229" spans="1:7">
      <c r="A229" s="3271" t="s">
        <v>304</v>
      </c>
      <c r="B229" s="3260" t="s">
        <v>3205</v>
      </c>
      <c r="C229" s="3272"/>
      <c r="D229" s="3272"/>
      <c r="E229" s="3272"/>
      <c r="F229" s="3261">
        <v>0.05</v>
      </c>
      <c r="G229" s="3278"/>
    </row>
    <row r="230" spans="1:7">
      <c r="A230" s="3271" t="s">
        <v>304</v>
      </c>
      <c r="B230" s="3260" t="s">
        <v>3206</v>
      </c>
      <c r="C230" s="3272"/>
      <c r="D230" s="3272"/>
      <c r="E230" s="3272"/>
      <c r="F230" s="3261">
        <v>0.05</v>
      </c>
      <c r="G230" s="3278"/>
    </row>
    <row r="231" spans="1:7">
      <c r="A231" s="3271" t="s">
        <v>304</v>
      </c>
      <c r="B231" s="3260" t="s">
        <v>3207</v>
      </c>
      <c r="C231" s="3272"/>
      <c r="D231" s="3272"/>
      <c r="E231" s="3272"/>
      <c r="F231" s="3261">
        <v>0.05</v>
      </c>
      <c r="G231" s="3278"/>
    </row>
    <row r="232" spans="1:7">
      <c r="A232" s="3271" t="s">
        <v>304</v>
      </c>
      <c r="B232" s="3260" t="s">
        <v>3208</v>
      </c>
      <c r="C232" s="3272"/>
      <c r="D232" s="3272"/>
      <c r="E232" s="3272"/>
      <c r="F232" s="3261">
        <v>0.05</v>
      </c>
      <c r="G232" s="3278"/>
    </row>
    <row r="233" spans="1:7" ht="14.25" thickBot="1">
      <c r="A233" s="3274" t="s">
        <v>304</v>
      </c>
      <c r="B233" s="3264" t="s">
        <v>3209</v>
      </c>
      <c r="C233" s="3266"/>
      <c r="D233" s="3266"/>
      <c r="E233" s="3266"/>
      <c r="F233" s="3265">
        <v>0.05</v>
      </c>
      <c r="G233" s="3279"/>
    </row>
    <row r="234" spans="1:7">
      <c r="A234" s="3270" t="s">
        <v>305</v>
      </c>
      <c r="B234" s="3256" t="s">
        <v>2858</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2878</v>
      </c>
      <c r="C238" s="3261">
        <v>0.14899999999999999</v>
      </c>
      <c r="D238" s="3261">
        <v>0.14899999999999999</v>
      </c>
      <c r="E238" s="3261">
        <v>0.15</v>
      </c>
      <c r="F238" s="3261">
        <v>0.15</v>
      </c>
      <c r="G238" s="3262">
        <v>0.15</v>
      </c>
    </row>
    <row r="239" spans="1:7">
      <c r="A239" s="3271" t="s">
        <v>305</v>
      </c>
      <c r="B239" s="3260" t="s">
        <v>2882</v>
      </c>
      <c r="C239" s="3261">
        <v>0.15</v>
      </c>
      <c r="D239" s="3261">
        <v>0.15</v>
      </c>
      <c r="E239" s="3261">
        <v>0.15</v>
      </c>
      <c r="F239" s="3261">
        <v>0.15</v>
      </c>
      <c r="G239" s="3262">
        <v>0.15</v>
      </c>
    </row>
    <row r="240" spans="1:7">
      <c r="A240" s="3271" t="s">
        <v>305</v>
      </c>
      <c r="B240" s="3260" t="s">
        <v>2887</v>
      </c>
      <c r="C240" s="3261">
        <v>0.15</v>
      </c>
      <c r="D240" s="3261">
        <v>0.15</v>
      </c>
      <c r="E240" s="3261">
        <v>0.15</v>
      </c>
      <c r="F240" s="3261">
        <v>0.15</v>
      </c>
      <c r="G240" s="3262">
        <v>0.15</v>
      </c>
    </row>
    <row r="241" spans="1:7">
      <c r="A241" s="3271" t="s">
        <v>305</v>
      </c>
      <c r="B241" s="3260" t="s">
        <v>2891</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2897</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2905</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2910</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2918</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2931</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2940</v>
      </c>
      <c r="C258" s="3261">
        <v>0.14299999999999999</v>
      </c>
      <c r="D258" s="3261">
        <v>0.14299999999999999</v>
      </c>
      <c r="E258" s="3261">
        <v>0.15</v>
      </c>
      <c r="F258" s="3261">
        <v>0.14799999999999999</v>
      </c>
      <c r="G258" s="3262">
        <v>0.14599999999999999</v>
      </c>
    </row>
    <row r="259" spans="1:7">
      <c r="A259" s="3271" t="s">
        <v>305</v>
      </c>
      <c r="B259" s="3260" t="s">
        <v>2944</v>
      </c>
      <c r="C259" s="3261">
        <v>0.14399999999999999</v>
      </c>
      <c r="D259" s="3261">
        <v>0.14399999999999999</v>
      </c>
      <c r="E259" s="3261">
        <v>0.14899999999999999</v>
      </c>
      <c r="F259" s="3261">
        <v>0.14699999999999999</v>
      </c>
      <c r="G259" s="3262">
        <v>0.14599999999999999</v>
      </c>
    </row>
    <row r="260" spans="1:7">
      <c r="A260" s="3271" t="s">
        <v>305</v>
      </c>
      <c r="B260" s="3260" t="s">
        <v>2951</v>
      </c>
      <c r="C260" s="3261">
        <v>0.109</v>
      </c>
      <c r="D260" s="3261">
        <v>0.111</v>
      </c>
      <c r="E260" s="3261">
        <v>0.13100000000000001</v>
      </c>
      <c r="F260" s="3261">
        <v>0.126</v>
      </c>
      <c r="G260" s="3262">
        <v>0.11899999999999999</v>
      </c>
    </row>
    <row r="261" spans="1:7">
      <c r="A261" s="3271" t="s">
        <v>305</v>
      </c>
      <c r="B261" s="3260" t="s">
        <v>2958</v>
      </c>
      <c r="C261" s="3261">
        <v>0.1</v>
      </c>
      <c r="D261" s="3261">
        <v>0.1</v>
      </c>
      <c r="E261" s="3261">
        <v>0.11799999999999999</v>
      </c>
      <c r="F261" s="3261">
        <v>0.108</v>
      </c>
      <c r="G261" s="3262">
        <v>0.107</v>
      </c>
    </row>
    <row r="262" spans="1:7">
      <c r="A262" s="3271" t="s">
        <v>305</v>
      </c>
      <c r="B262" s="3260" t="s">
        <v>2964</v>
      </c>
      <c r="C262" s="3261">
        <v>0.1</v>
      </c>
      <c r="D262" s="3261">
        <v>0.1</v>
      </c>
      <c r="E262" s="3261">
        <v>0.1</v>
      </c>
      <c r="F262" s="3261">
        <v>0.14099999999999999</v>
      </c>
      <c r="G262" s="3262">
        <v>0.1</v>
      </c>
    </row>
    <row r="263" spans="1:7">
      <c r="A263" s="3271" t="s">
        <v>305</v>
      </c>
      <c r="B263" s="3260" t="s">
        <v>2971</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2982</v>
      </c>
      <c r="C265" s="3272"/>
      <c r="D265" s="3272"/>
      <c r="E265" s="3272"/>
      <c r="F265" s="3261">
        <v>0.05</v>
      </c>
      <c r="G265" s="3278"/>
    </row>
    <row r="266" spans="1:7">
      <c r="A266" s="3271" t="s">
        <v>305</v>
      </c>
      <c r="B266" s="3260" t="s">
        <v>2986</v>
      </c>
      <c r="C266" s="3272"/>
      <c r="D266" s="3272"/>
      <c r="E266" s="3272"/>
      <c r="F266" s="3261">
        <v>0.05</v>
      </c>
      <c r="G266" s="3278"/>
    </row>
    <row r="267" spans="1:7">
      <c r="A267" s="3271" t="s">
        <v>305</v>
      </c>
      <c r="B267" s="3260" t="s">
        <v>2991</v>
      </c>
      <c r="C267" s="3272"/>
      <c r="D267" s="3272"/>
      <c r="E267" s="3272"/>
      <c r="F267" s="3261">
        <v>0.05</v>
      </c>
      <c r="G267" s="3278"/>
    </row>
    <row r="268" spans="1:7">
      <c r="A268" s="3271" t="s">
        <v>305</v>
      </c>
      <c r="B268" s="3260" t="s">
        <v>2996</v>
      </c>
      <c r="C268" s="3272"/>
      <c r="D268" s="3272"/>
      <c r="E268" s="3272"/>
      <c r="F268" s="3261">
        <v>0.05</v>
      </c>
      <c r="G268" s="3278"/>
    </row>
    <row r="269" spans="1:7">
      <c r="A269" s="3271" t="s">
        <v>305</v>
      </c>
      <c r="B269" s="3260" t="s">
        <v>3001</v>
      </c>
      <c r="C269" s="3272"/>
      <c r="D269" s="3272"/>
      <c r="E269" s="3272"/>
      <c r="F269" s="3261">
        <v>0.05</v>
      </c>
      <c r="G269" s="3278"/>
    </row>
    <row r="270" spans="1:7">
      <c r="A270" s="3271" t="s">
        <v>305</v>
      </c>
      <c r="B270" s="3260" t="s">
        <v>3006</v>
      </c>
      <c r="C270" s="3272"/>
      <c r="D270" s="3272"/>
      <c r="E270" s="3272"/>
      <c r="F270" s="3261">
        <v>0.05</v>
      </c>
      <c r="G270" s="3278"/>
    </row>
    <row r="271" spans="1:7">
      <c r="A271" s="3271" t="s">
        <v>305</v>
      </c>
      <c r="B271" s="3260" t="s">
        <v>3210</v>
      </c>
      <c r="C271" s="3272"/>
      <c r="D271" s="3272"/>
      <c r="E271" s="3272"/>
      <c r="F271" s="3261">
        <v>0.05</v>
      </c>
      <c r="G271" s="3278"/>
    </row>
    <row r="272" spans="1:7">
      <c r="A272" s="3271" t="s">
        <v>305</v>
      </c>
      <c r="B272" s="3260" t="s">
        <v>3211</v>
      </c>
      <c r="C272" s="3272"/>
      <c r="D272" s="3272"/>
      <c r="E272" s="3272"/>
      <c r="F272" s="3261">
        <v>0.05</v>
      </c>
      <c r="G272" s="3278"/>
    </row>
    <row r="273" spans="1:7">
      <c r="A273" s="3271" t="s">
        <v>305</v>
      </c>
      <c r="B273" s="3260" t="s">
        <v>3212</v>
      </c>
      <c r="C273" s="3272"/>
      <c r="D273" s="3272"/>
      <c r="E273" s="3272"/>
      <c r="F273" s="3261">
        <v>0.05</v>
      </c>
      <c r="G273" s="3278"/>
    </row>
    <row r="274" spans="1:7">
      <c r="A274" s="3271" t="s">
        <v>305</v>
      </c>
      <c r="B274" s="3260" t="s">
        <v>3213</v>
      </c>
      <c r="C274" s="3272"/>
      <c r="D274" s="3272"/>
      <c r="E274" s="3272"/>
      <c r="F274" s="3261">
        <v>0.05</v>
      </c>
      <c r="G274" s="3278"/>
    </row>
    <row r="275" spans="1:7">
      <c r="A275" s="3271" t="s">
        <v>305</v>
      </c>
      <c r="B275" s="3260" t="s">
        <v>3214</v>
      </c>
      <c r="C275" s="3272"/>
      <c r="D275" s="3272"/>
      <c r="E275" s="3272"/>
      <c r="F275" s="3261">
        <v>0.05</v>
      </c>
      <c r="G275" s="3278"/>
    </row>
    <row r="276" spans="1:7" ht="14.25" thickBot="1">
      <c r="A276" s="3274" t="s">
        <v>305</v>
      </c>
      <c r="B276" s="3264" t="s">
        <v>3215</v>
      </c>
      <c r="C276" s="3266"/>
      <c r="D276" s="3266"/>
      <c r="E276" s="3266"/>
      <c r="F276" s="3265">
        <v>0.05</v>
      </c>
      <c r="G276" s="3279"/>
    </row>
    <row r="277" spans="1:7">
      <c r="A277" s="3270" t="s">
        <v>306</v>
      </c>
      <c r="B277" s="3256" t="s">
        <v>2859</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2871</v>
      </c>
      <c r="C279" s="3261">
        <v>0.15</v>
      </c>
      <c r="D279" s="3261">
        <v>0.15</v>
      </c>
      <c r="E279" s="3261">
        <v>0.15</v>
      </c>
      <c r="F279" s="3261">
        <v>0.15</v>
      </c>
      <c r="G279" s="3262">
        <v>0.15</v>
      </c>
    </row>
    <row r="280" spans="1:7">
      <c r="A280" s="3271" t="s">
        <v>306</v>
      </c>
      <c r="B280" s="3260" t="s">
        <v>2875</v>
      </c>
      <c r="C280" s="3261">
        <v>0.15</v>
      </c>
      <c r="D280" s="3261">
        <v>0.15</v>
      </c>
      <c r="E280" s="3261">
        <v>0.15</v>
      </c>
      <c r="F280" s="3261">
        <v>0.15</v>
      </c>
      <c r="G280" s="3262">
        <v>0.15</v>
      </c>
    </row>
    <row r="281" spans="1:7">
      <c r="A281" s="3271" t="s">
        <v>306</v>
      </c>
      <c r="B281" s="3260" t="s">
        <v>2879</v>
      </c>
      <c r="C281" s="3261">
        <v>0.15</v>
      </c>
      <c r="D281" s="3261">
        <v>0.15</v>
      </c>
      <c r="E281" s="3261">
        <v>0.15</v>
      </c>
      <c r="F281" s="3261">
        <v>0.15</v>
      </c>
      <c r="G281" s="3262">
        <v>0.15</v>
      </c>
    </row>
    <row r="282" spans="1:7">
      <c r="A282" s="3271" t="s">
        <v>306</v>
      </c>
      <c r="B282" s="3260" t="s">
        <v>2883</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2898</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2903</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2913</v>
      </c>
      <c r="C293" s="3261">
        <v>0.15</v>
      </c>
      <c r="D293" s="3261">
        <v>0.15</v>
      </c>
      <c r="E293" s="3261">
        <v>0.15</v>
      </c>
      <c r="F293" s="3261">
        <v>0.14499999999999999</v>
      </c>
      <c r="G293" s="3262">
        <v>0.15</v>
      </c>
    </row>
    <row r="294" spans="1:7">
      <c r="A294" s="3271" t="s">
        <v>306</v>
      </c>
      <c r="B294" s="3260" t="s">
        <v>2915</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2932</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2945</v>
      </c>
      <c r="C302" s="3261">
        <v>0.15</v>
      </c>
      <c r="D302" s="3261">
        <v>0.15</v>
      </c>
      <c r="E302" s="3261">
        <v>0.15</v>
      </c>
      <c r="F302" s="3261">
        <v>0.14699999999999999</v>
      </c>
      <c r="G302" s="3262">
        <v>0.15</v>
      </c>
    </row>
    <row r="303" spans="1:7">
      <c r="A303" s="3271" t="s">
        <v>306</v>
      </c>
      <c r="B303" s="3260" t="s">
        <v>2952</v>
      </c>
      <c r="C303" s="3261">
        <v>0.15</v>
      </c>
      <c r="D303" s="3261">
        <v>0.15</v>
      </c>
      <c r="E303" s="3261">
        <v>0.15</v>
      </c>
      <c r="F303" s="3261">
        <v>0.14199999999999999</v>
      </c>
      <c r="G303" s="3262">
        <v>0.15</v>
      </c>
    </row>
    <row r="304" spans="1:7">
      <c r="A304" s="3271" t="s">
        <v>306</v>
      </c>
      <c r="B304" s="3260" t="s">
        <v>2959</v>
      </c>
      <c r="C304" s="3261">
        <v>0.15</v>
      </c>
      <c r="D304" s="3261">
        <v>0.15</v>
      </c>
      <c r="E304" s="3261">
        <v>0.15</v>
      </c>
      <c r="F304" s="3261">
        <v>0.14499999999999999</v>
      </c>
      <c r="G304" s="3262">
        <v>0.15</v>
      </c>
    </row>
    <row r="305" spans="1:7">
      <c r="A305" s="3271" t="s">
        <v>306</v>
      </c>
      <c r="B305" s="3260" t="s">
        <v>2965</v>
      </c>
      <c r="C305" s="3261">
        <v>0.15</v>
      </c>
      <c r="D305" s="3261">
        <v>0.15</v>
      </c>
      <c r="E305" s="3261">
        <v>0.15</v>
      </c>
      <c r="F305" s="3261">
        <v>0.111</v>
      </c>
      <c r="G305" s="3262">
        <v>0.15</v>
      </c>
    </row>
    <row r="306" spans="1:7">
      <c r="A306" s="3271" t="s">
        <v>306</v>
      </c>
      <c r="B306" s="3260" t="s">
        <v>2972</v>
      </c>
      <c r="C306" s="3261">
        <v>0.15</v>
      </c>
      <c r="D306" s="3261">
        <v>0.15</v>
      </c>
      <c r="E306" s="3261">
        <v>0.15</v>
      </c>
      <c r="F306" s="3261">
        <v>0.126</v>
      </c>
      <c r="G306" s="3262">
        <v>0.15</v>
      </c>
    </row>
    <row r="307" spans="1:7">
      <c r="A307" s="3271" t="s">
        <v>306</v>
      </c>
      <c r="B307" s="3260" t="s">
        <v>2977</v>
      </c>
      <c r="C307" s="3261">
        <v>0.15</v>
      </c>
      <c r="D307" s="3261">
        <v>0.15</v>
      </c>
      <c r="E307" s="3261">
        <v>0.15</v>
      </c>
      <c r="F307" s="3261">
        <v>0.12</v>
      </c>
      <c r="G307" s="3262">
        <v>0.15</v>
      </c>
    </row>
    <row r="308" spans="1:7">
      <c r="A308" s="3271" t="s">
        <v>306</v>
      </c>
      <c r="B308" s="3260" t="s">
        <v>2983</v>
      </c>
      <c r="C308" s="3261">
        <v>0.15</v>
      </c>
      <c r="D308" s="3261">
        <v>0.15</v>
      </c>
      <c r="E308" s="3261">
        <v>0.15</v>
      </c>
      <c r="F308" s="3261">
        <v>0.13</v>
      </c>
      <c r="G308" s="3262">
        <v>0.15</v>
      </c>
    </row>
    <row r="309" spans="1:7">
      <c r="A309" s="3271" t="s">
        <v>306</v>
      </c>
      <c r="B309" s="3260" t="s">
        <v>2987</v>
      </c>
      <c r="C309" s="3261">
        <v>0.15</v>
      </c>
      <c r="D309" s="3261">
        <v>0.15</v>
      </c>
      <c r="E309" s="3261">
        <v>0.15</v>
      </c>
      <c r="F309" s="3261">
        <v>0.14099999999999999</v>
      </c>
      <c r="G309" s="3262">
        <v>0.15</v>
      </c>
    </row>
    <row r="310" spans="1:7">
      <c r="A310" s="3271" t="s">
        <v>306</v>
      </c>
      <c r="B310" s="3260" t="s">
        <v>2992</v>
      </c>
      <c r="C310" s="3261">
        <v>0.15</v>
      </c>
      <c r="D310" s="3261">
        <v>0.15</v>
      </c>
      <c r="E310" s="3261">
        <v>0.15</v>
      </c>
      <c r="F310" s="3261">
        <v>0.15</v>
      </c>
      <c r="G310" s="3262">
        <v>0.15</v>
      </c>
    </row>
    <row r="311" spans="1:7">
      <c r="A311" s="3271" t="s">
        <v>306</v>
      </c>
      <c r="B311" s="3260" t="s">
        <v>2997</v>
      </c>
      <c r="C311" s="3261">
        <v>0.13200000000000001</v>
      </c>
      <c r="D311" s="3261">
        <v>0.13300000000000001</v>
      </c>
      <c r="E311" s="3261">
        <v>0.14499999999999999</v>
      </c>
      <c r="F311" s="3261">
        <v>0.14199999999999999</v>
      </c>
      <c r="G311" s="3262">
        <v>0.14000000000000001</v>
      </c>
    </row>
    <row r="312" spans="1:7">
      <c r="A312" s="3271" t="s">
        <v>306</v>
      </c>
      <c r="B312" s="3260" t="s">
        <v>3002</v>
      </c>
      <c r="C312" s="3261">
        <v>0.13800000000000001</v>
      </c>
      <c r="D312" s="3261">
        <v>0.14000000000000001</v>
      </c>
      <c r="E312" s="3261">
        <v>0.14599999999999999</v>
      </c>
      <c r="F312" s="3261">
        <v>0.14899999999999999</v>
      </c>
      <c r="G312" s="3262">
        <v>0.14199999999999999</v>
      </c>
    </row>
    <row r="313" spans="1:7">
      <c r="A313" s="3271" t="s">
        <v>306</v>
      </c>
      <c r="B313" s="3260" t="s">
        <v>3007</v>
      </c>
      <c r="C313" s="3261">
        <v>0.125</v>
      </c>
      <c r="D313" s="3261">
        <v>0.127</v>
      </c>
      <c r="E313" s="3261">
        <v>0.14399999999999999</v>
      </c>
      <c r="F313" s="3261">
        <v>0.115</v>
      </c>
      <c r="G313" s="3262">
        <v>0.13600000000000001</v>
      </c>
    </row>
    <row r="314" spans="1:7">
      <c r="A314" s="3271" t="s">
        <v>306</v>
      </c>
      <c r="B314" s="3260" t="s">
        <v>3216</v>
      </c>
      <c r="C314" s="3277"/>
      <c r="D314" s="3277"/>
      <c r="E314" s="3277"/>
      <c r="F314" s="3261">
        <v>0.05</v>
      </c>
      <c r="G314" s="3278"/>
    </row>
    <row r="315" spans="1:7">
      <c r="A315" s="3271" t="s">
        <v>306</v>
      </c>
      <c r="B315" s="3260" t="s">
        <v>3217</v>
      </c>
      <c r="C315" s="3277"/>
      <c r="D315" s="3277"/>
      <c r="E315" s="3277"/>
      <c r="F315" s="3261">
        <v>0.05</v>
      </c>
      <c r="G315" s="3278"/>
    </row>
    <row r="316" spans="1:7">
      <c r="A316" s="3271" t="s">
        <v>306</v>
      </c>
      <c r="B316" s="3260" t="s">
        <v>3218</v>
      </c>
      <c r="C316" s="3272"/>
      <c r="D316" s="3272"/>
      <c r="E316" s="3272"/>
      <c r="F316" s="3261">
        <v>0.05</v>
      </c>
      <c r="G316" s="3278"/>
    </row>
    <row r="317" spans="1:7">
      <c r="A317" s="3271" t="s">
        <v>306</v>
      </c>
      <c r="B317" s="3260" t="s">
        <v>3219</v>
      </c>
      <c r="C317" s="3272"/>
      <c r="D317" s="3272"/>
      <c r="E317" s="3272"/>
      <c r="F317" s="3261">
        <v>0.05</v>
      </c>
      <c r="G317" s="3278"/>
    </row>
    <row r="318" spans="1:7">
      <c r="A318" s="3271" t="s">
        <v>306</v>
      </c>
      <c r="B318" s="3260" t="s">
        <v>3220</v>
      </c>
      <c r="C318" s="3272"/>
      <c r="D318" s="3272"/>
      <c r="E318" s="3272"/>
      <c r="F318" s="3261">
        <v>0.05</v>
      </c>
      <c r="G318" s="3278"/>
    </row>
    <row r="319" spans="1:7">
      <c r="A319" s="3271" t="s">
        <v>306</v>
      </c>
      <c r="B319" s="3260" t="s">
        <v>3221</v>
      </c>
      <c r="C319" s="3272"/>
      <c r="D319" s="3272"/>
      <c r="E319" s="3272"/>
      <c r="F319" s="3261">
        <v>0.05</v>
      </c>
      <c r="G319" s="3278"/>
    </row>
    <row r="320" spans="1:7">
      <c r="A320" s="3271" t="s">
        <v>306</v>
      </c>
      <c r="B320" s="3260" t="s">
        <v>3222</v>
      </c>
      <c r="C320" s="3272"/>
      <c r="D320" s="3272"/>
      <c r="E320" s="3272"/>
      <c r="F320" s="3261">
        <v>0.05</v>
      </c>
      <c r="G320" s="3278"/>
    </row>
    <row r="321" spans="1:7">
      <c r="A321" s="3271" t="s">
        <v>306</v>
      </c>
      <c r="B321" s="3260" t="s">
        <v>3223</v>
      </c>
      <c r="C321" s="3272"/>
      <c r="D321" s="3272"/>
      <c r="E321" s="3272"/>
      <c r="F321" s="3261">
        <v>0.05</v>
      </c>
      <c r="G321" s="3278"/>
    </row>
    <row r="322" spans="1:7">
      <c r="A322" s="3271" t="s">
        <v>306</v>
      </c>
      <c r="B322" s="3260" t="s">
        <v>3224</v>
      </c>
      <c r="C322" s="3272"/>
      <c r="D322" s="3272"/>
      <c r="E322" s="3272"/>
      <c r="F322" s="3261">
        <v>0.05</v>
      </c>
      <c r="G322" s="3278"/>
    </row>
    <row r="323" spans="1:7">
      <c r="A323" s="3271" t="s">
        <v>306</v>
      </c>
      <c r="B323" s="3260" t="s">
        <v>3225</v>
      </c>
      <c r="C323" s="3272"/>
      <c r="D323" s="3272"/>
      <c r="E323" s="3272"/>
      <c r="F323" s="3261">
        <v>0.05</v>
      </c>
      <c r="G323" s="3278"/>
    </row>
    <row r="324" spans="1:7">
      <c r="A324" s="3271" t="s">
        <v>306</v>
      </c>
      <c r="B324" s="3260" t="s">
        <v>3226</v>
      </c>
      <c r="C324" s="3272"/>
      <c r="D324" s="3272"/>
      <c r="E324" s="3272"/>
      <c r="F324" s="3261">
        <v>0.05</v>
      </c>
      <c r="G324" s="3278"/>
    </row>
    <row r="325" spans="1:7">
      <c r="A325" s="3271" t="s">
        <v>306</v>
      </c>
      <c r="B325" s="3260" t="s">
        <v>3227</v>
      </c>
      <c r="C325" s="3272"/>
      <c r="D325" s="3272"/>
      <c r="E325" s="3272"/>
      <c r="F325" s="3261">
        <v>0.05</v>
      </c>
      <c r="G325" s="3278"/>
    </row>
    <row r="326" spans="1:7" ht="14.25" thickBot="1">
      <c r="A326" s="3274" t="s">
        <v>306</v>
      </c>
      <c r="B326" s="3264" t="s">
        <v>3228</v>
      </c>
      <c r="C326" s="3266"/>
      <c r="D326" s="3266"/>
      <c r="E326" s="3266"/>
      <c r="F326" s="3265">
        <v>0.05</v>
      </c>
      <c r="G326" s="3279"/>
    </row>
    <row r="327" spans="1:7">
      <c r="A327" s="3270" t="s">
        <v>307</v>
      </c>
      <c r="B327" s="3256" t="s">
        <v>2860</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2872</v>
      </c>
      <c r="C329" s="3261">
        <v>0.15</v>
      </c>
      <c r="D329" s="3261">
        <v>0.15</v>
      </c>
      <c r="E329" s="3261">
        <v>0.15</v>
      </c>
      <c r="F329" s="3261">
        <v>0.15</v>
      </c>
      <c r="G329" s="3262">
        <v>0.15</v>
      </c>
    </row>
    <row r="330" spans="1:7">
      <c r="A330" s="3271" t="s">
        <v>307</v>
      </c>
      <c r="B330" s="3260" t="s">
        <v>2876</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2884</v>
      </c>
      <c r="C332" s="3261">
        <v>0.15</v>
      </c>
      <c r="D332" s="3261">
        <v>0.15</v>
      </c>
      <c r="E332" s="3261">
        <v>0.15</v>
      </c>
      <c r="F332" s="3261">
        <v>0.15</v>
      </c>
      <c r="G332" s="3262">
        <v>0.15</v>
      </c>
    </row>
    <row r="333" spans="1:7">
      <c r="A333" s="3271" t="s">
        <v>307</v>
      </c>
      <c r="B333" s="3260" t="s">
        <v>2888</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2894</v>
      </c>
      <c r="C336" s="3261">
        <v>0.15</v>
      </c>
      <c r="D336" s="3261">
        <v>0.15</v>
      </c>
      <c r="E336" s="3261">
        <v>0.15</v>
      </c>
      <c r="F336" s="3261">
        <v>0.14199999999999999</v>
      </c>
      <c r="G336" s="3262">
        <v>0.15</v>
      </c>
    </row>
    <row r="337" spans="1:7">
      <c r="A337" s="3271" t="s">
        <v>307</v>
      </c>
      <c r="B337" s="3260" t="s">
        <v>2899</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2906</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2911</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2919</v>
      </c>
      <c r="C345" s="3261">
        <v>0.15</v>
      </c>
      <c r="D345" s="3261">
        <v>0.15</v>
      </c>
      <c r="E345" s="3261">
        <v>0.15</v>
      </c>
      <c r="F345" s="3261">
        <v>0.13800000000000001</v>
      </c>
      <c r="G345" s="3262">
        <v>0.15</v>
      </c>
    </row>
    <row r="346" spans="1:7">
      <c r="A346" s="3271" t="s">
        <v>307</v>
      </c>
      <c r="B346" s="3260" t="s">
        <v>2921</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2928</v>
      </c>
      <c r="C348" s="3261">
        <v>0.15</v>
      </c>
      <c r="D348" s="3261">
        <v>0.15</v>
      </c>
      <c r="E348" s="3261">
        <v>0.15</v>
      </c>
      <c r="F348" s="3261">
        <v>0.14399999999999999</v>
      </c>
      <c r="G348" s="3262">
        <v>0.15</v>
      </c>
    </row>
    <row r="349" spans="1:7">
      <c r="A349" s="3271" t="s">
        <v>307</v>
      </c>
      <c r="B349" s="3260" t="s">
        <v>2933</v>
      </c>
      <c r="C349" s="3261">
        <v>0.15</v>
      </c>
      <c r="D349" s="3261">
        <v>0.15</v>
      </c>
      <c r="E349" s="3261">
        <v>0.15</v>
      </c>
      <c r="F349" s="3261">
        <v>0.15</v>
      </c>
      <c r="G349" s="3262">
        <v>0.15</v>
      </c>
    </row>
    <row r="350" spans="1:7">
      <c r="A350" s="3271" t="s">
        <v>307</v>
      </c>
      <c r="B350" s="3260" t="s">
        <v>2936</v>
      </c>
      <c r="C350" s="3261">
        <v>0.15</v>
      </c>
      <c r="D350" s="3261">
        <v>0.15</v>
      </c>
      <c r="E350" s="3261">
        <v>0.15</v>
      </c>
      <c r="F350" s="3261">
        <v>0.14699999999999999</v>
      </c>
      <c r="G350" s="3262">
        <v>0.15</v>
      </c>
    </row>
    <row r="351" spans="1:7">
      <c r="A351" s="3271" t="s">
        <v>307</v>
      </c>
      <c r="B351" s="3260" t="s">
        <v>2941</v>
      </c>
      <c r="C351" s="3261">
        <v>0.15</v>
      </c>
      <c r="D351" s="3261">
        <v>0.15</v>
      </c>
      <c r="E351" s="3261">
        <v>0.15</v>
      </c>
      <c r="F351" s="3261">
        <v>0.13</v>
      </c>
      <c r="G351" s="3262">
        <v>0.15</v>
      </c>
    </row>
    <row r="352" spans="1:7">
      <c r="A352" s="3271" t="s">
        <v>307</v>
      </c>
      <c r="B352" s="3260" t="s">
        <v>2946</v>
      </c>
      <c r="C352" s="3261">
        <v>0.15</v>
      </c>
      <c r="D352" s="3261">
        <v>0.15</v>
      </c>
      <c r="E352" s="3261">
        <v>0.15</v>
      </c>
      <c r="F352" s="3261">
        <v>0.14599999999999999</v>
      </c>
      <c r="G352" s="3262">
        <v>0.15</v>
      </c>
    </row>
    <row r="353" spans="1:7">
      <c r="A353" s="3271" t="s">
        <v>307</v>
      </c>
      <c r="B353" s="3260" t="s">
        <v>2953</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2966</v>
      </c>
      <c r="C355" s="3261">
        <v>0.15</v>
      </c>
      <c r="D355" s="3261">
        <v>0.15</v>
      </c>
      <c r="E355" s="3261">
        <v>0.15</v>
      </c>
      <c r="F355" s="3261">
        <v>0.15</v>
      </c>
      <c r="G355" s="3262">
        <v>0.15</v>
      </c>
    </row>
    <row r="356" spans="1:7">
      <c r="A356" s="3271" t="s">
        <v>307</v>
      </c>
      <c r="B356" s="3260" t="s">
        <v>2973</v>
      </c>
      <c r="C356" s="3261">
        <v>0.15</v>
      </c>
      <c r="D356" s="3261">
        <v>0.15</v>
      </c>
      <c r="E356" s="3261">
        <v>0.15</v>
      </c>
      <c r="F356" s="3261">
        <v>0.15</v>
      </c>
      <c r="G356" s="3262">
        <v>0.15</v>
      </c>
    </row>
    <row r="357" spans="1:7" ht="14.25" thickBot="1">
      <c r="A357" s="3274" t="s">
        <v>307</v>
      </c>
      <c r="B357" s="3264" t="s">
        <v>2978</v>
      </c>
      <c r="C357" s="3265">
        <v>0.126</v>
      </c>
      <c r="D357" s="3265">
        <v>0.127</v>
      </c>
      <c r="E357" s="3265">
        <v>0.14299999999999999</v>
      </c>
      <c r="F357" s="3265">
        <v>0.125</v>
      </c>
      <c r="G357" s="3267">
        <v>0.129</v>
      </c>
    </row>
    <row r="358" spans="1:7">
      <c r="A358" s="3270" t="s">
        <v>2847</v>
      </c>
      <c r="B358" s="3256" t="s">
        <v>2861</v>
      </c>
      <c r="C358" s="3257">
        <v>0.15</v>
      </c>
      <c r="D358" s="3257">
        <v>0.15</v>
      </c>
      <c r="E358" s="3257">
        <v>0.15</v>
      </c>
      <c r="F358" s="3257">
        <v>0.15</v>
      </c>
      <c r="G358" s="3258">
        <v>0.15</v>
      </c>
    </row>
    <row r="359" spans="1:7">
      <c r="A359" s="3271" t="s">
        <v>2847</v>
      </c>
      <c r="B359" s="3260" t="s">
        <v>2867</v>
      </c>
      <c r="C359" s="3261">
        <v>0.1</v>
      </c>
      <c r="D359" s="3261">
        <v>0.1</v>
      </c>
      <c r="E359" s="3261">
        <v>0.1</v>
      </c>
      <c r="F359" s="3261">
        <v>0.1</v>
      </c>
      <c r="G359" s="3262">
        <v>0.1</v>
      </c>
    </row>
    <row r="360" spans="1:7">
      <c r="A360" s="3271" t="s">
        <v>2847</v>
      </c>
      <c r="B360" s="3260" t="s">
        <v>2873</v>
      </c>
      <c r="C360" s="3261">
        <v>0.15</v>
      </c>
      <c r="D360" s="3261">
        <v>0.15</v>
      </c>
      <c r="E360" s="3261">
        <v>0.15</v>
      </c>
      <c r="F360" s="3261">
        <v>0.14899999999999999</v>
      </c>
      <c r="G360" s="3262">
        <v>0.15</v>
      </c>
    </row>
    <row r="361" spans="1:7">
      <c r="A361" s="3271" t="s">
        <v>2847</v>
      </c>
      <c r="B361" s="3260" t="s">
        <v>153</v>
      </c>
      <c r="C361" s="3261">
        <v>0.15</v>
      </c>
      <c r="D361" s="3261">
        <v>0.15</v>
      </c>
      <c r="E361" s="3261">
        <v>0.15</v>
      </c>
      <c r="F361" s="3261">
        <v>0.115</v>
      </c>
      <c r="G361" s="3262">
        <v>0.15</v>
      </c>
    </row>
    <row r="362" spans="1:7">
      <c r="A362" s="3271" t="s">
        <v>2847</v>
      </c>
      <c r="B362" s="3260" t="s">
        <v>2880</v>
      </c>
      <c r="C362" s="3261">
        <v>0.15</v>
      </c>
      <c r="D362" s="3261">
        <v>0.15</v>
      </c>
      <c r="E362" s="3261">
        <v>0.15</v>
      </c>
      <c r="F362" s="3261">
        <v>0.106</v>
      </c>
      <c r="G362" s="3262">
        <v>0.15</v>
      </c>
    </row>
    <row r="363" spans="1:7">
      <c r="A363" s="3271" t="s">
        <v>2847</v>
      </c>
      <c r="B363" s="3260" t="s">
        <v>2885</v>
      </c>
      <c r="C363" s="3261">
        <v>0.15</v>
      </c>
      <c r="D363" s="3261">
        <v>0.15</v>
      </c>
      <c r="E363" s="3261">
        <v>0.15</v>
      </c>
      <c r="F363" s="3261">
        <v>0.14699999999999999</v>
      </c>
      <c r="G363" s="3262">
        <v>0.15</v>
      </c>
    </row>
    <row r="364" spans="1:7">
      <c r="A364" s="3271" t="s">
        <v>2847</v>
      </c>
      <c r="B364" s="3260" t="s">
        <v>2889</v>
      </c>
      <c r="C364" s="3261">
        <v>0.15</v>
      </c>
      <c r="D364" s="3261">
        <v>0.15</v>
      </c>
      <c r="E364" s="3261">
        <v>0.15</v>
      </c>
      <c r="F364" s="3261">
        <v>0.14799999999999999</v>
      </c>
      <c r="G364" s="3262">
        <v>0.15</v>
      </c>
    </row>
    <row r="365" spans="1:7">
      <c r="A365" s="3271" t="s">
        <v>2847</v>
      </c>
      <c r="B365" s="3260" t="s">
        <v>200</v>
      </c>
      <c r="C365" s="3261">
        <v>0.15</v>
      </c>
      <c r="D365" s="3261">
        <v>0.15</v>
      </c>
      <c r="E365" s="3261">
        <v>0.15</v>
      </c>
      <c r="F365" s="3261">
        <v>0.15</v>
      </c>
      <c r="G365" s="3262">
        <v>0.15</v>
      </c>
    </row>
    <row r="366" spans="1:7">
      <c r="A366" s="3271" t="s">
        <v>2847</v>
      </c>
      <c r="B366" s="3260" t="s">
        <v>2892</v>
      </c>
      <c r="C366" s="3261">
        <v>0.15</v>
      </c>
      <c r="D366" s="3261">
        <v>0.15</v>
      </c>
      <c r="E366" s="3261">
        <v>0.15</v>
      </c>
      <c r="F366" s="3261">
        <v>0.15</v>
      </c>
      <c r="G366" s="3262">
        <v>0.15</v>
      </c>
    </row>
    <row r="367" spans="1:7">
      <c r="A367" s="3271" t="s">
        <v>2847</v>
      </c>
      <c r="B367" s="3260" t="s">
        <v>2895</v>
      </c>
      <c r="C367" s="3261">
        <v>0.15</v>
      </c>
      <c r="D367" s="3261">
        <v>0.15</v>
      </c>
      <c r="E367" s="3261">
        <v>0.15</v>
      </c>
      <c r="F367" s="3261">
        <v>0.14699999999999999</v>
      </c>
      <c r="G367" s="3262">
        <v>0.15</v>
      </c>
    </row>
    <row r="368" spans="1:7">
      <c r="A368" s="3271" t="s">
        <v>2847</v>
      </c>
      <c r="B368" s="3260" t="s">
        <v>2900</v>
      </c>
      <c r="C368" s="3261">
        <v>0.15</v>
      </c>
      <c r="D368" s="3261">
        <v>0.15</v>
      </c>
      <c r="E368" s="3261">
        <v>0.15</v>
      </c>
      <c r="F368" s="3261">
        <v>0.13600000000000001</v>
      </c>
      <c r="G368" s="3262">
        <v>0.15</v>
      </c>
    </row>
    <row r="369" spans="1:7">
      <c r="A369" s="3271" t="s">
        <v>2847</v>
      </c>
      <c r="B369" s="3260" t="s">
        <v>214</v>
      </c>
      <c r="C369" s="3261">
        <v>0.15</v>
      </c>
      <c r="D369" s="3261">
        <v>0.15</v>
      </c>
      <c r="E369" s="3261">
        <v>0.15</v>
      </c>
      <c r="F369" s="3261">
        <v>0.14399999999999999</v>
      </c>
      <c r="G369" s="3262">
        <v>0.15</v>
      </c>
    </row>
    <row r="370" spans="1:7">
      <c r="A370" s="3271" t="s">
        <v>2847</v>
      </c>
      <c r="B370" s="3260" t="s">
        <v>221</v>
      </c>
      <c r="C370" s="3261">
        <v>0.15</v>
      </c>
      <c r="D370" s="3261">
        <v>0.15</v>
      </c>
      <c r="E370" s="3261">
        <v>0.15</v>
      </c>
      <c r="F370" s="3261">
        <v>0.14599999999999999</v>
      </c>
      <c r="G370" s="3262">
        <v>0.15</v>
      </c>
    </row>
    <row r="371" spans="1:7">
      <c r="A371" s="3271" t="s">
        <v>2847</v>
      </c>
      <c r="B371" s="3260" t="s">
        <v>229</v>
      </c>
      <c r="C371" s="3261">
        <v>0.15</v>
      </c>
      <c r="D371" s="3261">
        <v>0.15</v>
      </c>
      <c r="E371" s="3261">
        <v>0.15</v>
      </c>
      <c r="F371" s="3261">
        <v>0.12</v>
      </c>
      <c r="G371" s="3262">
        <v>0.15</v>
      </c>
    </row>
    <row r="372" spans="1:7">
      <c r="A372" s="3271" t="s">
        <v>2847</v>
      </c>
      <c r="B372" s="3260" t="s">
        <v>2908</v>
      </c>
      <c r="C372" s="3261">
        <v>0.15</v>
      </c>
      <c r="D372" s="3261">
        <v>0.15</v>
      </c>
      <c r="E372" s="3261">
        <v>0.15</v>
      </c>
      <c r="F372" s="3261">
        <v>0.14299999999999999</v>
      </c>
      <c r="G372" s="3262">
        <v>0.15</v>
      </c>
    </row>
    <row r="373" spans="1:7">
      <c r="A373" s="3271" t="s">
        <v>2847</v>
      </c>
      <c r="B373" s="3260" t="s">
        <v>258</v>
      </c>
      <c r="C373" s="3261">
        <v>0.15</v>
      </c>
      <c r="D373" s="3261">
        <v>0.15</v>
      </c>
      <c r="E373" s="3261">
        <v>0.15</v>
      </c>
      <c r="F373" s="3261">
        <v>0.14599999999999999</v>
      </c>
      <c r="G373" s="3262">
        <v>0.15</v>
      </c>
    </row>
    <row r="374" spans="1:7">
      <c r="A374" s="3271" t="s">
        <v>2847</v>
      </c>
      <c r="B374" s="3260" t="s">
        <v>266</v>
      </c>
      <c r="C374" s="3261">
        <v>0.15</v>
      </c>
      <c r="D374" s="3261">
        <v>0.15</v>
      </c>
      <c r="E374" s="3261">
        <v>0.15</v>
      </c>
      <c r="F374" s="3261">
        <v>0.14399999999999999</v>
      </c>
      <c r="G374" s="3262">
        <v>0.15</v>
      </c>
    </row>
    <row r="375" spans="1:7">
      <c r="A375" s="3271" t="s">
        <v>2847</v>
      </c>
      <c r="B375" s="3260" t="s">
        <v>2916</v>
      </c>
      <c r="C375" s="3261">
        <v>0.15</v>
      </c>
      <c r="D375" s="3261">
        <v>0.15</v>
      </c>
      <c r="E375" s="3261">
        <v>0.15</v>
      </c>
      <c r="F375" s="3261">
        <v>0.13</v>
      </c>
      <c r="G375" s="3262">
        <v>0.15</v>
      </c>
    </row>
    <row r="376" spans="1:7">
      <c r="A376" s="3271" t="s">
        <v>2847</v>
      </c>
      <c r="B376" s="3260" t="s">
        <v>277</v>
      </c>
      <c r="C376" s="3261">
        <v>0.15</v>
      </c>
      <c r="D376" s="3261">
        <v>0.15</v>
      </c>
      <c r="E376" s="3261">
        <v>0.15</v>
      </c>
      <c r="F376" s="3261">
        <v>0.14199999999999999</v>
      </c>
      <c r="G376" s="3262">
        <v>0.15</v>
      </c>
    </row>
    <row r="377" spans="1:7" ht="14.25" thickBot="1">
      <c r="A377" s="3274" t="s">
        <v>2847</v>
      </c>
      <c r="B377" s="3264" t="s">
        <v>2922</v>
      </c>
      <c r="C377" s="3265">
        <v>0.15</v>
      </c>
      <c r="D377" s="3265">
        <v>0.15</v>
      </c>
      <c r="E377" s="3265">
        <v>0.15</v>
      </c>
      <c r="F377" s="3265">
        <v>0.14000000000000001</v>
      </c>
      <c r="G377" s="3267">
        <v>0.15</v>
      </c>
    </row>
    <row r="378" spans="1:7">
      <c r="A378" s="3270" t="s">
        <v>2848</v>
      </c>
      <c r="B378" s="3256" t="s">
        <v>2862</v>
      </c>
      <c r="C378" s="3257">
        <v>0.15</v>
      </c>
      <c r="D378" s="3257">
        <v>0.15</v>
      </c>
      <c r="E378" s="3257">
        <v>0.15</v>
      </c>
      <c r="F378" s="3257">
        <v>0.107</v>
      </c>
      <c r="G378" s="3258">
        <v>0.15</v>
      </c>
    </row>
    <row r="379" spans="1:7">
      <c r="A379" s="3271" t="s">
        <v>2848</v>
      </c>
      <c r="B379" s="3260" t="s">
        <v>2868</v>
      </c>
      <c r="C379" s="3261">
        <v>0.15</v>
      </c>
      <c r="D379" s="3261">
        <v>0.15</v>
      </c>
      <c r="E379" s="3261">
        <v>0.15</v>
      </c>
      <c r="F379" s="3261">
        <v>0.115</v>
      </c>
      <c r="G379" s="3262">
        <v>0.14899999999999999</v>
      </c>
    </row>
    <row r="380" spans="1:7">
      <c r="A380" s="3271" t="s">
        <v>2848</v>
      </c>
      <c r="B380" s="3260" t="s">
        <v>2874</v>
      </c>
      <c r="C380" s="3261">
        <v>0.15</v>
      </c>
      <c r="D380" s="3261">
        <v>0.15</v>
      </c>
      <c r="E380" s="3261">
        <v>0.15</v>
      </c>
      <c r="F380" s="3261">
        <v>0.1</v>
      </c>
      <c r="G380" s="3262">
        <v>0.14799999999999999</v>
      </c>
    </row>
    <row r="381" spans="1:7">
      <c r="A381" s="3271" t="s">
        <v>2848</v>
      </c>
      <c r="B381" s="3260" t="s">
        <v>2877</v>
      </c>
      <c r="C381" s="3261">
        <v>0.15</v>
      </c>
      <c r="D381" s="3261">
        <v>0.15</v>
      </c>
      <c r="E381" s="3261">
        <v>0.15</v>
      </c>
      <c r="F381" s="3261">
        <v>0.126</v>
      </c>
      <c r="G381" s="3262">
        <v>0.15</v>
      </c>
    </row>
    <row r="382" spans="1:7">
      <c r="A382" s="3271" t="s">
        <v>2848</v>
      </c>
      <c r="B382" s="3260" t="s">
        <v>2881</v>
      </c>
      <c r="C382" s="3261">
        <v>0.15</v>
      </c>
      <c r="D382" s="3261">
        <v>0.15</v>
      </c>
      <c r="E382" s="3261">
        <v>0.15</v>
      </c>
      <c r="F382" s="3261">
        <v>0.15</v>
      </c>
      <c r="G382" s="3262">
        <v>0.15</v>
      </c>
    </row>
    <row r="383" spans="1:7">
      <c r="A383" s="3271" t="s">
        <v>2848</v>
      </c>
      <c r="B383" s="3260" t="s">
        <v>2886</v>
      </c>
      <c r="C383" s="3261">
        <v>0.15</v>
      </c>
      <c r="D383" s="3261">
        <v>0.15</v>
      </c>
      <c r="E383" s="3261">
        <v>0.15</v>
      </c>
      <c r="F383" s="3261">
        <v>0.14699999999999999</v>
      </c>
      <c r="G383" s="3262">
        <v>0.15</v>
      </c>
    </row>
    <row r="384" spans="1:7" ht="14.25" thickBot="1">
      <c r="A384" s="3281" t="s">
        <v>2848</v>
      </c>
      <c r="B384" s="3282" t="s">
        <v>2890</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ht="14.25">
      <c r="A1" s="3848" t="s">
        <v>3229</v>
      </c>
      <c r="B1" s="3848"/>
      <c r="C1" s="3848"/>
      <c r="D1" s="3848"/>
      <c r="E1" s="3848"/>
      <c r="F1" s="3849"/>
    </row>
    <row r="2" spans="1:6" ht="14.25">
      <c r="A2" s="3287" t="s">
        <v>3230</v>
      </c>
      <c r="B2" s="3288"/>
      <c r="C2" s="3288"/>
      <c r="D2" s="3288"/>
      <c r="E2" s="3288"/>
      <c r="F2" s="3288"/>
    </row>
    <row r="3" spans="1:6" ht="14.25">
      <c r="A3" s="3287" t="s">
        <v>3231</v>
      </c>
      <c r="B3" s="3288"/>
      <c r="C3" s="3288"/>
      <c r="D3" s="3288"/>
      <c r="E3" s="3288"/>
      <c r="F3" s="3289" t="s">
        <v>3232</v>
      </c>
    </row>
    <row r="4" spans="1:6">
      <c r="A4" s="3290" t="s">
        <v>670</v>
      </c>
      <c r="B4" s="3290" t="s">
        <v>671</v>
      </c>
      <c r="C4" s="3290" t="s">
        <v>21</v>
      </c>
      <c r="D4" s="3290" t="s">
        <v>672</v>
      </c>
      <c r="E4" s="3290" t="s">
        <v>3</v>
      </c>
      <c r="F4" s="3290" t="s">
        <v>3233</v>
      </c>
    </row>
    <row r="5" spans="1:6">
      <c r="A5" s="3291" t="s">
        <v>673</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1" sqref="G51"/>
    </sheetView>
  </sheetViews>
  <sheetFormatPr defaultRowHeight="13.5"/>
  <cols>
    <col min="1" max="1" width="13.875" customWidth="1"/>
    <col min="11" max="17" width="0" hidden="1" customWidth="1"/>
    <col min="25" max="30" width="0" hidden="1" customWidth="1"/>
  </cols>
  <sheetData>
    <row r="1" spans="1:30">
      <c r="A1" s="3217">
        <f>基准地价修正!G23</f>
        <v>45498</v>
      </c>
      <c r="B1" s="3206" t="s">
        <v>3368</v>
      </c>
      <c r="C1" s="3207"/>
      <c r="D1" s="3207"/>
      <c r="E1" s="3207"/>
      <c r="F1" s="3207"/>
      <c r="G1" s="3207"/>
      <c r="H1" s="3207"/>
      <c r="I1" s="3207"/>
      <c r="J1" s="3161"/>
      <c r="K1" s="3207" t="s">
        <v>454</v>
      </c>
      <c r="L1" s="3207"/>
      <c r="M1" s="3207"/>
      <c r="N1" s="3207"/>
      <c r="O1" s="3207"/>
      <c r="P1" s="3207"/>
      <c r="Q1" s="3161"/>
      <c r="R1" s="3850" t="s">
        <v>456</v>
      </c>
      <c r="S1" s="3851"/>
      <c r="T1" s="3851"/>
      <c r="U1" s="3851"/>
      <c r="V1" s="3851"/>
      <c r="W1" s="3851"/>
      <c r="X1" s="3161"/>
      <c r="Y1" s="3850" t="s">
        <v>457</v>
      </c>
      <c r="Z1" s="3851"/>
      <c r="AA1" s="3851"/>
      <c r="AB1" s="3851"/>
      <c r="AC1" s="3851"/>
      <c r="AD1" s="3851"/>
    </row>
    <row r="2" spans="1:30" s="3139" customFormat="1" ht="14.25" thickBot="1">
      <c r="B2" s="3140"/>
      <c r="C2" s="3141"/>
      <c r="D2" s="3142" t="s">
        <v>2807</v>
      </c>
      <c r="E2" s="3143" t="s">
        <v>2808</v>
      </c>
      <c r="F2" s="3143" t="s">
        <v>2809</v>
      </c>
      <c r="G2" s="3143" t="s">
        <v>2810</v>
      </c>
      <c r="H2" s="3143" t="s">
        <v>2811</v>
      </c>
      <c r="I2" s="3143" t="s">
        <v>2628</v>
      </c>
      <c r="J2" s="3144"/>
      <c r="K2" s="3142" t="s">
        <v>2807</v>
      </c>
      <c r="L2" s="3143" t="s">
        <v>2808</v>
      </c>
      <c r="M2" s="3143" t="s">
        <v>2809</v>
      </c>
      <c r="N2" s="3143" t="s">
        <v>2810</v>
      </c>
      <c r="O2" s="3143" t="s">
        <v>2812</v>
      </c>
      <c r="P2" s="3143" t="s">
        <v>2628</v>
      </c>
      <c r="Q2" s="3144"/>
      <c r="R2" s="3142" t="s">
        <v>2807</v>
      </c>
      <c r="S2" s="3143" t="s">
        <v>2808</v>
      </c>
      <c r="T2" s="3143" t="s">
        <v>2809</v>
      </c>
      <c r="U2" s="3143" t="s">
        <v>2813</v>
      </c>
      <c r="V2" s="3143" t="s">
        <v>2814</v>
      </c>
      <c r="W2" s="3143" t="s">
        <v>2628</v>
      </c>
      <c r="X2" s="3144"/>
      <c r="Y2" s="3142" t="s">
        <v>2807</v>
      </c>
      <c r="Z2" s="3143" t="s">
        <v>2808</v>
      </c>
      <c r="AA2" s="3143" t="s">
        <v>2809</v>
      </c>
      <c r="AB2" s="3143" t="s">
        <v>2815</v>
      </c>
      <c r="AC2" s="3143" t="s">
        <v>2814</v>
      </c>
      <c r="AD2" s="3143" t="s">
        <v>2628</v>
      </c>
    </row>
    <row r="3" spans="1:30" s="3157" customFormat="1" ht="12.75">
      <c r="A3" s="3145" t="s">
        <v>2816</v>
      </c>
      <c r="B3" s="3146"/>
      <c r="C3" s="3147"/>
      <c r="D3" s="3147">
        <f>ROUND(AVERAGEIF(D4:D19,"&lt;&gt;0"),2)</f>
        <v>0.68</v>
      </c>
      <c r="E3" s="3147">
        <f t="shared" ref="E3:H3" si="0">ROUND(AVERAGEIF(E4:E19,"&lt;&gt;0"),2)</f>
        <v>0.4</v>
      </c>
      <c r="F3" s="3147">
        <f t="shared" si="0"/>
        <v>0.17</v>
      </c>
      <c r="G3" s="3147">
        <f t="shared" si="0"/>
        <v>0.74</v>
      </c>
      <c r="H3" s="3147">
        <f t="shared" si="0"/>
        <v>0.62</v>
      </c>
      <c r="I3" s="3147">
        <f>F3</f>
        <v>0.17</v>
      </c>
      <c r="J3" s="3148"/>
      <c r="K3" s="3149">
        <f>ROUND(AVERAGEIF(K4:K19,"&lt;&gt;0"),4)</f>
        <v>6.7999999999999996E-3</v>
      </c>
      <c r="L3" s="3150">
        <f t="shared" ref="L3:O3" si="1">ROUND(AVERAGEIF(L4:L19,"&lt;&gt;0"),4)</f>
        <v>4.0000000000000001E-3</v>
      </c>
      <c r="M3" s="3150">
        <f t="shared" si="1"/>
        <v>1.6999999999999999E-3</v>
      </c>
      <c r="N3" s="3150">
        <f t="shared" si="1"/>
        <v>7.4000000000000003E-3</v>
      </c>
      <c r="O3" s="3150">
        <f t="shared" si="1"/>
        <v>6.1999999999999998E-3</v>
      </c>
      <c r="P3" s="3150">
        <f>M3</f>
        <v>1.6999999999999999E-3</v>
      </c>
      <c r="Q3" s="3148"/>
      <c r="R3" s="3151">
        <f>ROUND(SUMPRODUCT(PRODUCT(1+K4:K19)),4)</f>
        <v>1.0916999999999999</v>
      </c>
      <c r="S3" s="3152">
        <f t="shared" ref="S3:V3" si="2">ROUND(SUMPRODUCT(PRODUCT(1+L4:L19)),4)</f>
        <v>1.0537000000000001</v>
      </c>
      <c r="T3" s="3152">
        <f t="shared" si="2"/>
        <v>1.0224</v>
      </c>
      <c r="U3" s="3152">
        <f t="shared" si="2"/>
        <v>1.1008</v>
      </c>
      <c r="V3" s="3152">
        <f t="shared" si="2"/>
        <v>1.0843</v>
      </c>
      <c r="W3" s="3151">
        <f>T3</f>
        <v>1.0224</v>
      </c>
      <c r="X3" s="3148"/>
      <c r="Y3" s="3153">
        <f>ROUND(AVERAGEIF(Y6:Y19,"&lt;&gt;0"),4)</f>
        <v>8.6999999999999994E-3</v>
      </c>
      <c r="Z3" s="3154">
        <f t="shared" ref="Z3:AC3" si="3">ROUND(AVERAGEIF(Z6:Z19,"&lt;&gt;0"),4)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2203" t="s">
        <v>3376</v>
      </c>
      <c r="B5" s="3173">
        <v>2024</v>
      </c>
      <c r="C5" s="3174">
        <v>3</v>
      </c>
      <c r="D5" s="3175">
        <v>0</v>
      </c>
      <c r="E5" s="3175">
        <v>0</v>
      </c>
      <c r="F5" s="3175">
        <v>0</v>
      </c>
      <c r="G5" s="3175">
        <v>0</v>
      </c>
      <c r="H5" s="3175">
        <v>0</v>
      </c>
      <c r="I5" s="3176">
        <f t="shared" ref="I5" si="4">F5</f>
        <v>0</v>
      </c>
      <c r="J5" s="3177"/>
      <c r="K5" s="3178">
        <f t="shared" ref="K5" si="5">D5/100</f>
        <v>0</v>
      </c>
      <c r="L5" s="3168">
        <f t="shared" ref="L5" si="6">E5/100</f>
        <v>0</v>
      </c>
      <c r="M5" s="3168">
        <f t="shared" ref="M5" si="7">F5/100</f>
        <v>0</v>
      </c>
      <c r="N5" s="3168">
        <f t="shared" ref="N5" si="8">G5/100</f>
        <v>0</v>
      </c>
      <c r="O5" s="3168">
        <f t="shared" ref="O5" si="9">H5/100</f>
        <v>0</v>
      </c>
      <c r="P5" s="3168">
        <f>M5</f>
        <v>0</v>
      </c>
      <c r="Q5" s="3177"/>
      <c r="R5" s="3179">
        <f>ROUND(IF(项目基本情况!$B$8="出让",SUMPRODUCT(PRODUCT(1+K5:$K$19)),SUMPRODUCT(PRODUCT(1+K5:$K$18))),4)</f>
        <v>1.0811999999999999</v>
      </c>
      <c r="S5" s="3179">
        <f>ROUND(IF(项目基本情况!$B$8="出让",SUMPRODUCT(PRODUCT(1+L5:$L$19)),SUMPRODUCT(PRODUCT(1+L5:$L$18))),4)</f>
        <v>1.052</v>
      </c>
      <c r="T5" s="3179">
        <f>ROUND(IF(项目基本情况!$B$8="出让",SUMPRODUCT(PRODUCT(1+M5:$M$19)),SUMPRODUCT(PRODUCT(1+M5:$M$18))),4)</f>
        <v>1.0249999999999999</v>
      </c>
      <c r="U5" s="3179">
        <f>ROUND(IF(项目基本情况!$B$8="出让",SUMPRODUCT(PRODUCT(1+N5:$N$19)),SUMPRODUCT(PRODUCT(1+N5:$N$18))),4)</f>
        <v>1.0888</v>
      </c>
      <c r="V5" s="3179">
        <f>ROUND(IF(项目基本情况!$B$8="出让",SUMPRODUCT(PRODUCT(1+O5:$O$19)),SUMPRODUCT(PRODUCT(1+O5:$O$18))),4)</f>
        <v>1.0804</v>
      </c>
      <c r="W5" s="3179">
        <f>T5</f>
        <v>1.0249999999999999</v>
      </c>
      <c r="X5" s="3177"/>
      <c r="Y5" s="3180">
        <f>IF(D5=0,0,ROUND(AVERAGE(D5:D18)/100,4))</f>
        <v>0</v>
      </c>
      <c r="Z5" s="3180">
        <f t="shared" ref="Z5" si="10">IF(E5=0,0,ROUND(AVERAGE(E5:E18)/100,4))</f>
        <v>0</v>
      </c>
      <c r="AA5" s="3180">
        <f t="shared" ref="AA5" si="11">IF(F5=0,0,ROUND(AVERAGE(F5:F18)/100,4))</f>
        <v>0</v>
      </c>
      <c r="AB5" s="3180">
        <f t="shared" ref="AB5" si="12">IF(G5=0,0,ROUND(AVERAGE(G5:G18)/100,4))</f>
        <v>0</v>
      </c>
      <c r="AC5" s="3180">
        <f t="shared" ref="AC5" si="13">IF(H5=0,0,ROUND(AVERAGE(H5:H18)/100,4))</f>
        <v>0</v>
      </c>
      <c r="AD5" s="3180">
        <f t="shared" ref="AD5" si="14">AA5</f>
        <v>0</v>
      </c>
    </row>
    <row r="6" spans="1:30" s="3181" customFormat="1" ht="12.75">
      <c r="A6" s="2203" t="s">
        <v>3371</v>
      </c>
      <c r="B6" s="3173">
        <v>2024</v>
      </c>
      <c r="C6" s="3174">
        <v>2</v>
      </c>
      <c r="D6" s="3175">
        <v>0</v>
      </c>
      <c r="E6" s="3175">
        <v>0</v>
      </c>
      <c r="F6" s="3175">
        <v>0</v>
      </c>
      <c r="G6" s="3175">
        <v>0</v>
      </c>
      <c r="H6" s="3175">
        <v>0</v>
      </c>
      <c r="I6" s="3176">
        <f t="shared" ref="I6:I19" si="15">F6</f>
        <v>0</v>
      </c>
      <c r="J6" s="3177"/>
      <c r="K6" s="3178">
        <f t="shared" ref="K6:O19" si="16">D6/100</f>
        <v>0</v>
      </c>
      <c r="L6" s="3168">
        <f t="shared" si="16"/>
        <v>0</v>
      </c>
      <c r="M6" s="3168">
        <f t="shared" si="16"/>
        <v>0</v>
      </c>
      <c r="N6" s="3168">
        <f t="shared" si="16"/>
        <v>0</v>
      </c>
      <c r="O6" s="3168">
        <f t="shared" si="16"/>
        <v>0</v>
      </c>
      <c r="P6" s="3168">
        <f>M6</f>
        <v>0</v>
      </c>
      <c r="Q6" s="3177"/>
      <c r="R6" s="3179">
        <f>ROUND(IF(项目基本情况!$B$8="出让",SUMPRODUCT(PRODUCT(1+K6:$K$19)),SUMPRODUCT(PRODUCT(1+K6:$K$18))),4)</f>
        <v>1.0811999999999999</v>
      </c>
      <c r="S6" s="3179">
        <f>ROUND(IF(项目基本情况!$B$8="出让",SUMPRODUCT(PRODUCT(1+L6:$L$19)),SUMPRODUCT(PRODUCT(1+L6:$L$18))),4)</f>
        <v>1.052</v>
      </c>
      <c r="T6" s="3179">
        <f>ROUND(IF(项目基本情况!$B$8="出让",SUMPRODUCT(PRODUCT(1+M6:$M$19)),SUMPRODUCT(PRODUCT(1+M6:$M$18))),4)</f>
        <v>1.0249999999999999</v>
      </c>
      <c r="U6" s="3179">
        <f>ROUND(IF(项目基本情况!$B$8="出让",SUMPRODUCT(PRODUCT(1+N6:$N$19)),SUMPRODUCT(PRODUCT(1+N6:$N$18))),4)</f>
        <v>1.0888</v>
      </c>
      <c r="V6" s="3179">
        <f>ROUND(IF(项目基本情况!$B$8="出让",SUMPRODUCT(PRODUCT(1+O6:$O$19)),SUMPRODUCT(PRODUCT(1+O6:$O$18))),4)</f>
        <v>1.0804</v>
      </c>
      <c r="W6" s="3179">
        <f>T6</f>
        <v>1.0249999999999999</v>
      </c>
      <c r="X6" s="3177"/>
      <c r="Y6" s="3180">
        <f>IF(D6=0,0,ROUND(AVERAGE(D6:D19)/100,4))</f>
        <v>0</v>
      </c>
      <c r="Z6" s="3180">
        <f t="shared" ref="Z6:AC6" si="17">IF(E6=0,0,ROUND(AVERAGE(E6:E19)/100,4))</f>
        <v>0</v>
      </c>
      <c r="AA6" s="3180">
        <f t="shared" si="17"/>
        <v>0</v>
      </c>
      <c r="AB6" s="3180">
        <f t="shared" si="17"/>
        <v>0</v>
      </c>
      <c r="AC6" s="3180">
        <f t="shared" si="17"/>
        <v>0</v>
      </c>
      <c r="AD6" s="3180">
        <f t="shared" ref="AD6:AD18" si="18">AA6</f>
        <v>0</v>
      </c>
    </row>
    <row r="7" spans="1:30" s="3191" customFormat="1" ht="12.75">
      <c r="A7" s="3182" t="s">
        <v>3373</v>
      </c>
      <c r="B7" s="3183">
        <v>2024</v>
      </c>
      <c r="C7" s="3184">
        <v>1</v>
      </c>
      <c r="D7" s="3185">
        <v>0.08</v>
      </c>
      <c r="E7" s="3185">
        <v>0.46</v>
      </c>
      <c r="F7" s="3185">
        <v>-0.16</v>
      </c>
      <c r="G7" s="3185">
        <v>0.26</v>
      </c>
      <c r="H7" s="3186">
        <v>0.59</v>
      </c>
      <c r="I7" s="3187">
        <v>0</v>
      </c>
      <c r="J7" s="3188"/>
      <c r="K7" s="3189">
        <f t="shared" ref="K7" si="19">D7/100</f>
        <v>8.0000000000000004E-4</v>
      </c>
      <c r="L7" s="3190">
        <f t="shared" ref="L7" si="20">E7/100</f>
        <v>4.5999999999999999E-3</v>
      </c>
      <c r="M7" s="3190">
        <f t="shared" ref="M7" si="21">F7/100</f>
        <v>-1.6000000000000001E-3</v>
      </c>
      <c r="N7" s="3190">
        <f t="shared" ref="N7" si="22">G7/100</f>
        <v>2.5999999999999999E-3</v>
      </c>
      <c r="O7" s="3190">
        <f t="shared" ref="O7" si="23">H7/100</f>
        <v>5.8999999999999999E-3</v>
      </c>
      <c r="P7" s="3190">
        <f t="shared" ref="P7" si="24">M7</f>
        <v>-1.6000000000000001E-3</v>
      </c>
      <c r="Q7" s="3188"/>
      <c r="R7" s="3188">
        <f>ROUND(IF(项目基本情况!$B$8="出让",SUMPRODUCT(PRODUCT(1+K7:$K$19)),SUMPRODUCT(PRODUCT(1+K7:$K$18))),4)</f>
        <v>1.0811999999999999</v>
      </c>
      <c r="S7" s="3188">
        <f>ROUND(IF(项目基本情况!$B$8="出让",SUMPRODUCT(PRODUCT(1+L7:$L$19)),SUMPRODUCT(PRODUCT(1+L7:$L$18))),4)</f>
        <v>1.052</v>
      </c>
      <c r="T7" s="3188">
        <f>ROUND(IF(项目基本情况!$B$8="出让",SUMPRODUCT(PRODUCT(1+M7:$M$19)),SUMPRODUCT(PRODUCT(1+M7:$M$18))),4)</f>
        <v>1.0249999999999999</v>
      </c>
      <c r="U7" s="3188">
        <f>ROUND(IF(项目基本情况!$B$8="出让",SUMPRODUCT(PRODUCT(1+N7:$N$19)),SUMPRODUCT(PRODUCT(1+N7:$N$18))),4)</f>
        <v>1.0888</v>
      </c>
      <c r="V7" s="3188">
        <f>ROUND(IF(项目基本情况!$B$8="出让",SUMPRODUCT(PRODUCT(1+O7:$O$19)),SUMPRODUCT(PRODUCT(1+O7:$O$18))),4)</f>
        <v>1.0804</v>
      </c>
      <c r="W7" s="3188">
        <f t="shared" ref="W7" si="25">T7</f>
        <v>1.0249999999999999</v>
      </c>
      <c r="X7" s="3188"/>
      <c r="Y7" s="3190"/>
      <c r="Z7" s="3190"/>
      <c r="AA7" s="3190"/>
      <c r="AB7" s="3190"/>
      <c r="AC7" s="3190"/>
      <c r="AD7" s="3190"/>
    </row>
    <row r="8" spans="1:30" s="3181" customFormat="1" ht="12.75">
      <c r="A8" s="3172" t="s">
        <v>3374</v>
      </c>
      <c r="B8" s="3173">
        <v>2023</v>
      </c>
      <c r="C8" s="3174">
        <v>4</v>
      </c>
      <c r="D8" s="3175">
        <v>0.19</v>
      </c>
      <c r="E8" s="3175">
        <v>0.24</v>
      </c>
      <c r="F8" s="3175">
        <v>-0.16</v>
      </c>
      <c r="G8" s="3175">
        <v>0.17</v>
      </c>
      <c r="H8" s="3192">
        <v>0.61</v>
      </c>
      <c r="I8" s="3176">
        <f>F8</f>
        <v>-0.16</v>
      </c>
      <c r="J8" s="3177"/>
      <c r="K8" s="3178">
        <f t="shared" si="16"/>
        <v>1.9E-3</v>
      </c>
      <c r="L8" s="3168">
        <f t="shared" si="16"/>
        <v>2.3999999999999998E-3</v>
      </c>
      <c r="M8" s="3168">
        <f t="shared" si="16"/>
        <v>-1.6000000000000001E-3</v>
      </c>
      <c r="N8" s="3168">
        <f t="shared" si="16"/>
        <v>1.7000000000000001E-3</v>
      </c>
      <c r="O8" s="3168">
        <f t="shared" si="16"/>
        <v>6.0999999999999995E-3</v>
      </c>
      <c r="P8" s="3168">
        <f t="shared" ref="P8" si="26">M8</f>
        <v>-1.6000000000000001E-3</v>
      </c>
      <c r="Q8" s="3177"/>
      <c r="R8" s="3179">
        <f>ROUND(IF(项目基本情况!$B$8="出让",SUMPRODUCT(PRODUCT(1+K8:$K$19)),SUMPRODUCT(PRODUCT(1+K8:$K$18))),4)</f>
        <v>1.0804</v>
      </c>
      <c r="S8" s="3179">
        <f>ROUND(IF(项目基本情况!$B$8="出让",SUMPRODUCT(PRODUCT(1+L8:$L$19)),SUMPRODUCT(PRODUCT(1+L8:$L$18))),4)</f>
        <v>1.0471999999999999</v>
      </c>
      <c r="T8" s="3179">
        <f>ROUND(IF(项目基本情况!$B$8="出让",SUMPRODUCT(PRODUCT(1+M8:$M$19)),SUMPRODUCT(PRODUCT(1+M8:$M$18))),4)</f>
        <v>1.0266</v>
      </c>
      <c r="U8" s="3179">
        <f>ROUND(IF(项目基本情况!$B$8="出让",SUMPRODUCT(PRODUCT(1+N8:$N$19)),SUMPRODUCT(PRODUCT(1+N8:$N$18))),4)</f>
        <v>1.0859000000000001</v>
      </c>
      <c r="V8" s="3179">
        <f>ROUND(IF(项目基本情况!$B$8="出让",SUMPRODUCT(PRODUCT(1+O8:$O$19)),SUMPRODUCT(PRODUCT(1+O8:$O$18))),4)</f>
        <v>1.0741000000000001</v>
      </c>
      <c r="W8" s="3179">
        <f t="shared" ref="W8" si="27">T8</f>
        <v>1.0266</v>
      </c>
      <c r="X8" s="3177"/>
      <c r="Y8" s="3180"/>
      <c r="Z8" s="3180"/>
      <c r="AA8" s="3180"/>
      <c r="AB8" s="3180"/>
      <c r="AC8" s="3180"/>
      <c r="AD8" s="3180"/>
    </row>
    <row r="9" spans="1:30" s="3181" customFormat="1" ht="12.75">
      <c r="A9" s="3172" t="s">
        <v>3372</v>
      </c>
      <c r="B9" s="3173">
        <v>2023</v>
      </c>
      <c r="C9" s="3174">
        <v>3</v>
      </c>
      <c r="D9" s="3175">
        <v>0.25</v>
      </c>
      <c r="E9" s="3175">
        <v>0.5</v>
      </c>
      <c r="F9" s="3175">
        <v>0.31</v>
      </c>
      <c r="G9" s="3175">
        <v>0.21</v>
      </c>
      <c r="H9" s="3192">
        <v>0.43</v>
      </c>
      <c r="I9" s="3176">
        <f t="shared" si="15"/>
        <v>0.31</v>
      </c>
      <c r="J9" s="3177"/>
      <c r="K9" s="3178">
        <f t="shared" ref="K9:K11" si="28">D9/100</f>
        <v>2.5000000000000001E-3</v>
      </c>
      <c r="L9" s="3168">
        <f t="shared" ref="L9:L11" si="29">E9/100</f>
        <v>5.0000000000000001E-3</v>
      </c>
      <c r="M9" s="3168">
        <f t="shared" ref="M9:M11" si="30">F9/100</f>
        <v>3.0999999999999999E-3</v>
      </c>
      <c r="N9" s="3168">
        <f t="shared" ref="N9:N11" si="31">G9/100</f>
        <v>2.0999999999999999E-3</v>
      </c>
      <c r="O9" s="3168">
        <f t="shared" ref="O9:O11" si="32">H9/100</f>
        <v>4.3E-3</v>
      </c>
      <c r="P9" s="3168">
        <f t="shared" ref="P9:P11" si="33">M9</f>
        <v>3.0999999999999999E-3</v>
      </c>
      <c r="Q9" s="3177"/>
      <c r="R9" s="3179">
        <f>ROUND(IF(项目基本情况!$B$8="出让",SUMPRODUCT(PRODUCT(1+K9:$K$19)),SUMPRODUCT(PRODUCT(1+K9:$K$18))),4)</f>
        <v>1.0783</v>
      </c>
      <c r="S9" s="3179">
        <f>ROUND(IF(项目基本情况!$B$8="出让",SUMPRODUCT(PRODUCT(1+L9:$L$19)),SUMPRODUCT(PRODUCT(1+L9:$L$18))),4)</f>
        <v>1.0447</v>
      </c>
      <c r="T9" s="3179">
        <f>ROUND(IF(项目基本情况!$B$8="出让",SUMPRODUCT(PRODUCT(1+M9:$M$19)),SUMPRODUCT(PRODUCT(1+M9:$M$18))),4)</f>
        <v>1.0282</v>
      </c>
      <c r="U9" s="3179">
        <f>ROUND(IF(项目基本情况!$B$8="出让",SUMPRODUCT(PRODUCT(1+N9:$N$19)),SUMPRODUCT(PRODUCT(1+N9:$N$18))),4)</f>
        <v>1.0841000000000001</v>
      </c>
      <c r="V9" s="3179">
        <f>ROUND(IF(项目基本情况!$B$8="出让",SUMPRODUCT(PRODUCT(1+O9:$O$19)),SUMPRODUCT(PRODUCT(1+O9:$O$18))),4)</f>
        <v>1.0674999999999999</v>
      </c>
      <c r="W9" s="3179">
        <f t="shared" ref="W9:W10" si="34">T9</f>
        <v>1.0282</v>
      </c>
      <c r="X9" s="3177"/>
      <c r="Y9" s="3180"/>
      <c r="Z9" s="3180"/>
      <c r="AA9" s="3180"/>
      <c r="AB9" s="3180"/>
      <c r="AC9" s="3180"/>
      <c r="AD9" s="3180"/>
    </row>
    <row r="10" spans="1:30" s="3181" customFormat="1" ht="12.75">
      <c r="A10" s="3172" t="s">
        <v>3367</v>
      </c>
      <c r="B10" s="3173">
        <v>2023</v>
      </c>
      <c r="C10" s="3174">
        <v>2</v>
      </c>
      <c r="D10" s="3175">
        <v>0.91</v>
      </c>
      <c r="E10" s="3175">
        <v>0.66</v>
      </c>
      <c r="F10" s="3175">
        <v>0.47</v>
      </c>
      <c r="G10" s="3175">
        <v>0.96</v>
      </c>
      <c r="H10" s="3192">
        <v>0.71</v>
      </c>
      <c r="I10" s="3176">
        <f t="shared" si="15"/>
        <v>0.47</v>
      </c>
      <c r="J10" s="3177"/>
      <c r="K10" s="3178">
        <f t="shared" si="28"/>
        <v>9.1000000000000004E-3</v>
      </c>
      <c r="L10" s="3168">
        <f t="shared" si="29"/>
        <v>6.6E-3</v>
      </c>
      <c r="M10" s="3168">
        <f t="shared" si="30"/>
        <v>4.6999999999999993E-3</v>
      </c>
      <c r="N10" s="3168">
        <f t="shared" si="31"/>
        <v>9.5999999999999992E-3</v>
      </c>
      <c r="O10" s="3168">
        <f t="shared" si="32"/>
        <v>7.0999999999999995E-3</v>
      </c>
      <c r="P10" s="3168">
        <f t="shared" si="33"/>
        <v>4.6999999999999993E-3</v>
      </c>
      <c r="Q10" s="3177"/>
      <c r="R10" s="3179">
        <f>ROUND(IF(项目基本情况!$B$8="出让",SUMPRODUCT(PRODUCT(1+K10:$K$19)),SUMPRODUCT(PRODUCT(1+K10:$K$18))),4)</f>
        <v>1.0755999999999999</v>
      </c>
      <c r="S10" s="3179">
        <f>ROUND(IF(项目基本情况!$B$8="出让",SUMPRODUCT(PRODUCT(1+L10:$L$19)),SUMPRODUCT(PRODUCT(1+L10:$L$18))),4)</f>
        <v>1.0395000000000001</v>
      </c>
      <c r="T10" s="3179">
        <f>ROUND(IF(项目基本情况!$B$8="出让",SUMPRODUCT(PRODUCT(1+M10:$M$19)),SUMPRODUCT(PRODUCT(1+M10:$M$18))),4)</f>
        <v>1.0250999999999999</v>
      </c>
      <c r="U10" s="3179">
        <f>ROUND(IF(项目基本情况!$B$8="出让",SUMPRODUCT(PRODUCT(1+N10:$N$19)),SUMPRODUCT(PRODUCT(1+N10:$N$18))),4)</f>
        <v>1.0818000000000001</v>
      </c>
      <c r="V10" s="3179">
        <f>ROUND(IF(项目基本情况!$B$8="出让",SUMPRODUCT(PRODUCT(1+O10:$O$19)),SUMPRODUCT(PRODUCT(1+O10:$O$18))),4)</f>
        <v>1.0629999999999999</v>
      </c>
      <c r="W10" s="3179">
        <f t="shared" si="34"/>
        <v>1.0250999999999999</v>
      </c>
      <c r="X10" s="3177"/>
      <c r="Y10" s="3180"/>
      <c r="Z10" s="3180"/>
      <c r="AA10" s="3180"/>
      <c r="AB10" s="3180"/>
      <c r="AC10" s="3180"/>
      <c r="AD10" s="3180"/>
    </row>
    <row r="11" spans="1:30" s="3181" customFormat="1" ht="12.75">
      <c r="A11" s="3172" t="s">
        <v>3366</v>
      </c>
      <c r="B11" s="3173">
        <v>2023</v>
      </c>
      <c r="C11" s="3174">
        <v>1</v>
      </c>
      <c r="D11" s="3175">
        <v>0.89</v>
      </c>
      <c r="E11" s="3175">
        <v>0.74</v>
      </c>
      <c r="F11" s="3175">
        <v>0.56999999999999995</v>
      </c>
      <c r="G11" s="3175">
        <v>0.92</v>
      </c>
      <c r="H11" s="3192">
        <v>0.5</v>
      </c>
      <c r="I11" s="3176">
        <f t="shared" si="15"/>
        <v>0.56999999999999995</v>
      </c>
      <c r="J11" s="3177"/>
      <c r="K11" s="3178">
        <f t="shared" si="28"/>
        <v>8.8999999999999999E-3</v>
      </c>
      <c r="L11" s="3168">
        <f t="shared" si="29"/>
        <v>7.4000000000000003E-3</v>
      </c>
      <c r="M11" s="3168">
        <f t="shared" si="30"/>
        <v>5.6999999999999993E-3</v>
      </c>
      <c r="N11" s="3168">
        <f t="shared" si="31"/>
        <v>9.1999999999999998E-3</v>
      </c>
      <c r="O11" s="3168">
        <f t="shared" si="32"/>
        <v>5.0000000000000001E-3</v>
      </c>
      <c r="P11" s="3168">
        <f t="shared" si="33"/>
        <v>5.6999999999999993E-3</v>
      </c>
      <c r="Q11" s="3177"/>
      <c r="R11" s="3179">
        <f>ROUND(IF(项目基本情况!$B$8="出让",SUMPRODUCT(PRODUCT(1+K11:$K$19)),SUMPRODUCT(PRODUCT(1+K11:$K$18))),4)</f>
        <v>1.0659000000000001</v>
      </c>
      <c r="S11" s="3179">
        <f>ROUND(IF(项目基本情况!$B$8="出让",SUMPRODUCT(PRODUCT(1+L11:$L$19)),SUMPRODUCT(PRODUCT(1+L11:$L$18))),4)</f>
        <v>1.0326</v>
      </c>
      <c r="T11" s="3179">
        <f>ROUND(IF(项目基本情况!$B$8="出让",SUMPRODUCT(PRODUCT(1+M11:$M$19)),SUMPRODUCT(PRODUCT(1+M11:$M$18))),4)</f>
        <v>1.0203</v>
      </c>
      <c r="U11" s="3179">
        <f>ROUND(IF(项目基本情况!$B$8="出让",SUMPRODUCT(PRODUCT(1+N11:$N$19)),SUMPRODUCT(PRODUCT(1+N11:$N$18))),4)</f>
        <v>1.0714999999999999</v>
      </c>
      <c r="V11" s="3179">
        <f>ROUND(IF(项目基本情况!$B$8="出让",SUMPRODUCT(PRODUCT(1+O11:$O$19)),SUMPRODUCT(PRODUCT(1+O11:$O$18))),4)</f>
        <v>1.0555000000000001</v>
      </c>
      <c r="W11" s="3179">
        <f t="shared" ref="W11:W18" si="35">T11</f>
        <v>1.0203</v>
      </c>
      <c r="X11" s="3177"/>
      <c r="Y11" s="3180"/>
      <c r="Z11" s="3180"/>
      <c r="AA11" s="3180"/>
      <c r="AB11" s="3180"/>
      <c r="AC11" s="3180"/>
      <c r="AD11" s="3180"/>
    </row>
    <row r="12" spans="1:30" s="3181" customFormat="1" ht="12.75">
      <c r="A12" s="3172" t="s">
        <v>3365</v>
      </c>
      <c r="B12" s="3173">
        <v>2022</v>
      </c>
      <c r="C12" s="3174">
        <v>4</v>
      </c>
      <c r="D12" s="3175">
        <v>0.62</v>
      </c>
      <c r="E12" s="3175">
        <v>0.2</v>
      </c>
      <c r="F12" s="3175">
        <v>0.11</v>
      </c>
      <c r="G12" s="3175">
        <v>0.69</v>
      </c>
      <c r="H12" s="3192">
        <v>0.53</v>
      </c>
      <c r="I12" s="3176">
        <f t="shared" si="15"/>
        <v>0.11</v>
      </c>
      <c r="J12" s="3177"/>
      <c r="K12" s="3178">
        <f t="shared" si="16"/>
        <v>6.1999999999999998E-3</v>
      </c>
      <c r="L12" s="3168">
        <f t="shared" si="16"/>
        <v>2E-3</v>
      </c>
      <c r="M12" s="3168">
        <f t="shared" si="16"/>
        <v>1.1000000000000001E-3</v>
      </c>
      <c r="N12" s="3168">
        <f t="shared" si="16"/>
        <v>6.8999999999999999E-3</v>
      </c>
      <c r="O12" s="3168">
        <f t="shared" si="16"/>
        <v>5.3E-3</v>
      </c>
      <c r="P12" s="3168">
        <f t="shared" ref="P12:P19" si="36">M12</f>
        <v>1.1000000000000001E-3</v>
      </c>
      <c r="Q12" s="3177"/>
      <c r="R12" s="3179">
        <f>ROUND(IF(项目基本情况!$B$8="出让",SUMPRODUCT(PRODUCT(1+K12:$K$19)),SUMPRODUCT(PRODUCT(1+K12:$K$18))),4)</f>
        <v>1.0565</v>
      </c>
      <c r="S12" s="3179">
        <f>ROUND(IF(项目基本情况!$B$8="出让",SUMPRODUCT(PRODUCT(1+L12:$L$19)),SUMPRODUCT(PRODUCT(1+L12:$L$18))),4)</f>
        <v>1.0250999999999999</v>
      </c>
      <c r="T12" s="3179">
        <f>ROUND(IF(项目基本情况!$B$8="出让",SUMPRODUCT(PRODUCT(1+M12:$M$19)),SUMPRODUCT(PRODUCT(1+M12:$M$18))),4)</f>
        <v>1.0145</v>
      </c>
      <c r="U12" s="3179">
        <f>ROUND(IF(项目基本情况!$B$8="出让",SUMPRODUCT(PRODUCT(1+N12:$N$19)),SUMPRODUCT(PRODUCT(1+N12:$N$18))),4)</f>
        <v>1.0618000000000001</v>
      </c>
      <c r="V12" s="3179">
        <f>ROUND(IF(项目基本情况!$B$8="出让",SUMPRODUCT(PRODUCT(1+O12:$O$19)),SUMPRODUCT(PRODUCT(1+O12:$O$18))),4)</f>
        <v>1.0502</v>
      </c>
      <c r="W12" s="3179">
        <f t="shared" si="35"/>
        <v>1.0145</v>
      </c>
      <c r="X12" s="3177"/>
      <c r="Y12" s="3180">
        <f>IF(D12=0,0,ROUND(AVERAGE(D12:D20)/100,4))</f>
        <v>8.0999999999999996E-3</v>
      </c>
      <c r="Z12" s="3180">
        <f t="shared" ref="Z12:AC12" si="37">IF(E12=0,0,ROUND(AVERAGE(E12:E19)/100,4))</f>
        <v>3.3E-3</v>
      </c>
      <c r="AA12" s="3180">
        <f t="shared" si="37"/>
        <v>1.5E-3</v>
      </c>
      <c r="AB12" s="3180">
        <f t="shared" si="37"/>
        <v>8.8999999999999999E-3</v>
      </c>
      <c r="AC12" s="3180">
        <f t="shared" si="37"/>
        <v>6.6E-3</v>
      </c>
      <c r="AD12" s="3180">
        <f t="shared" si="18"/>
        <v>1.5E-3</v>
      </c>
    </row>
    <row r="13" spans="1:30" s="3181" customFormat="1" ht="12.75">
      <c r="A13" s="3172" t="s">
        <v>3361</v>
      </c>
      <c r="B13" s="3173">
        <v>2022</v>
      </c>
      <c r="C13" s="3174">
        <v>3</v>
      </c>
      <c r="D13" s="3175">
        <v>0.66</v>
      </c>
      <c r="E13" s="3175">
        <v>0.32</v>
      </c>
      <c r="F13" s="3175">
        <v>0.23</v>
      </c>
      <c r="G13" s="3175">
        <v>0.72</v>
      </c>
      <c r="H13" s="3192">
        <v>0.63</v>
      </c>
      <c r="I13" s="3176">
        <f t="shared" si="15"/>
        <v>0.23</v>
      </c>
      <c r="J13" s="3177"/>
      <c r="K13" s="3178">
        <f t="shared" si="16"/>
        <v>6.6E-3</v>
      </c>
      <c r="L13" s="3168">
        <f t="shared" si="16"/>
        <v>3.2000000000000002E-3</v>
      </c>
      <c r="M13" s="3168">
        <f t="shared" si="16"/>
        <v>2.3E-3</v>
      </c>
      <c r="N13" s="3168">
        <f t="shared" si="16"/>
        <v>7.1999999999999998E-3</v>
      </c>
      <c r="O13" s="3168">
        <f t="shared" si="16"/>
        <v>6.3E-3</v>
      </c>
      <c r="P13" s="3168">
        <f t="shared" si="36"/>
        <v>2.3E-3</v>
      </c>
      <c r="Q13" s="3177"/>
      <c r="R13" s="3179">
        <f>ROUND(IF(项目基本情况!$B$8="出让",SUMPRODUCT(PRODUCT(1+K13:$K$19)),SUMPRODUCT(PRODUCT(1+K13:$K$18))),4)</f>
        <v>1.05</v>
      </c>
      <c r="S13" s="3179">
        <f>ROUND(IF(项目基本情况!$B$8="出让",SUMPRODUCT(PRODUCT(1+L13:$L$19)),SUMPRODUCT(PRODUCT(1+L13:$L$18))),4)</f>
        <v>1.0229999999999999</v>
      </c>
      <c r="T13" s="3179">
        <f>ROUND(IF(项目基本情况!$B$8="出让",SUMPRODUCT(PRODUCT(1+M13:$M$19)),SUMPRODUCT(PRODUCT(1+M13:$M$18))),4)</f>
        <v>1.0134000000000001</v>
      </c>
      <c r="U13" s="3179">
        <f>ROUND(IF(项目基本情况!$B$8="出让",SUMPRODUCT(PRODUCT(1+N13:$N$19)),SUMPRODUCT(PRODUCT(1+N13:$N$18))),4)</f>
        <v>1.0545</v>
      </c>
      <c r="V13" s="3179">
        <f>ROUND(IF(项目基本情况!$B$8="出让",SUMPRODUCT(PRODUCT(1+O13:$O$19)),SUMPRODUCT(PRODUCT(1+O13:$O$18))),4)</f>
        <v>1.0447</v>
      </c>
      <c r="W13" s="3179">
        <f t="shared" si="35"/>
        <v>1.0134000000000001</v>
      </c>
      <c r="X13" s="3177"/>
      <c r="Y13" s="3180">
        <f>IF(D13=0,0,ROUND(AVERAGE(D13:D19)/100,4))</f>
        <v>8.3999999999999995E-3</v>
      </c>
      <c r="Z13" s="3180">
        <f t="shared" ref="Z13:AC13" si="38">IF(E13=0,0,ROUND(AVERAGE(E13:E19)/100,4))</f>
        <v>3.5000000000000001E-3</v>
      </c>
      <c r="AA13" s="3180">
        <f t="shared" si="38"/>
        <v>1.5E-3</v>
      </c>
      <c r="AB13" s="3180">
        <f t="shared" si="38"/>
        <v>9.1999999999999998E-3</v>
      </c>
      <c r="AC13" s="3180">
        <f t="shared" si="38"/>
        <v>6.7999999999999996E-3</v>
      </c>
      <c r="AD13" s="3180">
        <f t="shared" si="18"/>
        <v>1.5E-3</v>
      </c>
    </row>
    <row r="14" spans="1:30" s="3181" customFormat="1" ht="12.75">
      <c r="A14" s="3172" t="s">
        <v>3352</v>
      </c>
      <c r="B14" s="3173">
        <v>2022</v>
      </c>
      <c r="C14" s="3174">
        <v>2</v>
      </c>
      <c r="D14" s="3175">
        <v>0.93</v>
      </c>
      <c r="E14" s="3175">
        <v>0.15</v>
      </c>
      <c r="F14" s="3175">
        <v>0.01</v>
      </c>
      <c r="G14" s="3175">
        <v>1.05</v>
      </c>
      <c r="H14" s="3192">
        <v>1.08</v>
      </c>
      <c r="I14" s="3176">
        <f t="shared" si="15"/>
        <v>0.01</v>
      </c>
      <c r="J14" s="3177"/>
      <c r="K14" s="3178">
        <f t="shared" si="16"/>
        <v>9.300000000000001E-3</v>
      </c>
      <c r="L14" s="3168">
        <f t="shared" si="16"/>
        <v>1.5E-3</v>
      </c>
      <c r="M14" s="3168">
        <f t="shared" si="16"/>
        <v>1E-4</v>
      </c>
      <c r="N14" s="3168">
        <f t="shared" si="16"/>
        <v>1.0500000000000001E-2</v>
      </c>
      <c r="O14" s="3168">
        <f t="shared" si="16"/>
        <v>1.0800000000000001E-2</v>
      </c>
      <c r="P14" s="3168">
        <f t="shared" si="36"/>
        <v>1E-4</v>
      </c>
      <c r="Q14" s="3177"/>
      <c r="R14" s="3179">
        <f>ROUND(IF(项目基本情况!$B$8="出让",SUMPRODUCT(PRODUCT(1+K14:$K$19)),SUMPRODUCT(PRODUCT(1+K14:$K$18))),4)</f>
        <v>1.0430999999999999</v>
      </c>
      <c r="S14" s="3179">
        <f>ROUND(IF(项目基本情况!$B$8="出让",SUMPRODUCT(PRODUCT(1+L14:$L$19)),SUMPRODUCT(PRODUCT(1+L14:$L$18))),4)</f>
        <v>1.0197000000000001</v>
      </c>
      <c r="T14" s="3179">
        <f>ROUND(IF(项目基本情况!$B$8="出让",SUMPRODUCT(PRODUCT(1+M14:$M$19)),SUMPRODUCT(PRODUCT(1+M14:$M$18))),4)</f>
        <v>1.0109999999999999</v>
      </c>
      <c r="U14" s="3179">
        <f>ROUND(IF(项目基本情况!$B$8="出让",SUMPRODUCT(PRODUCT(1+N14:$N$19)),SUMPRODUCT(PRODUCT(1+N14:$N$18))),4)</f>
        <v>1.0468999999999999</v>
      </c>
      <c r="V14" s="3179">
        <f>ROUND(IF(项目基本情况!$B$8="出让",SUMPRODUCT(PRODUCT(1+O14:$O$19)),SUMPRODUCT(PRODUCT(1+O14:$O$18))),4)</f>
        <v>1.0382</v>
      </c>
      <c r="W14" s="3179">
        <f t="shared" si="35"/>
        <v>1.0109999999999999</v>
      </c>
      <c r="X14" s="3177"/>
      <c r="Y14" s="3180">
        <f>IF(D14=0,0,ROUND(AVERAGE(D14:D19)/100,4))</f>
        <v>8.6999999999999994E-3</v>
      </c>
      <c r="Z14" s="3180">
        <f t="shared" ref="Z14:AC14" si="39">IF(E14=0,0,ROUND(AVERAGE(E14:E19)/100,4))</f>
        <v>3.5000000000000001E-3</v>
      </c>
      <c r="AA14" s="3180">
        <f t="shared" si="39"/>
        <v>1.4E-3</v>
      </c>
      <c r="AB14" s="3180">
        <f t="shared" si="39"/>
        <v>9.4999999999999998E-3</v>
      </c>
      <c r="AC14" s="3180">
        <f t="shared" si="39"/>
        <v>6.8999999999999999E-3</v>
      </c>
      <c r="AD14" s="3180">
        <f t="shared" si="18"/>
        <v>1.4E-3</v>
      </c>
    </row>
    <row r="15" spans="1:30" s="3181" customFormat="1" ht="12.75">
      <c r="A15" s="3172" t="s">
        <v>2817</v>
      </c>
      <c r="B15" s="3173">
        <v>2022</v>
      </c>
      <c r="C15" s="3174">
        <v>1</v>
      </c>
      <c r="D15" s="3175">
        <v>0.89</v>
      </c>
      <c r="E15" s="3175">
        <v>0.44</v>
      </c>
      <c r="F15" s="3175">
        <v>0.37</v>
      </c>
      <c r="G15" s="3175">
        <v>0.96</v>
      </c>
      <c r="H15" s="3192">
        <v>0.64</v>
      </c>
      <c r="I15" s="3176">
        <f t="shared" si="15"/>
        <v>0.37</v>
      </c>
      <c r="J15" s="3177"/>
      <c r="K15" s="3178">
        <f t="shared" si="16"/>
        <v>8.8999999999999999E-3</v>
      </c>
      <c r="L15" s="3168">
        <f t="shared" si="16"/>
        <v>4.4000000000000003E-3</v>
      </c>
      <c r="M15" s="3168">
        <f t="shared" si="16"/>
        <v>3.7000000000000002E-3</v>
      </c>
      <c r="N15" s="3168">
        <f t="shared" si="16"/>
        <v>9.5999999999999992E-3</v>
      </c>
      <c r="O15" s="3168">
        <f t="shared" si="16"/>
        <v>6.4000000000000003E-3</v>
      </c>
      <c r="P15" s="3168">
        <f t="shared" si="36"/>
        <v>3.7000000000000002E-3</v>
      </c>
      <c r="Q15" s="3177"/>
      <c r="R15" s="3179">
        <f>ROUND(IF(项目基本情况!$B$8="出让",SUMPRODUCT(PRODUCT(1+K15:$K$19)),SUMPRODUCT(PRODUCT(1+K15:$K$18))),4)</f>
        <v>1.0335000000000001</v>
      </c>
      <c r="S15" s="3179">
        <f>ROUND(IF(项目基本情况!$B$8="出让",SUMPRODUCT(PRODUCT(1+L15:$L$19)),SUMPRODUCT(PRODUCT(1+L15:$L$18))),4)</f>
        <v>1.0182</v>
      </c>
      <c r="T15" s="3179">
        <f>ROUND(IF(项目基本情况!$B$8="出让",SUMPRODUCT(PRODUCT(1+M15:$M$19)),SUMPRODUCT(PRODUCT(1+M15:$M$18))),4)</f>
        <v>1.0108999999999999</v>
      </c>
      <c r="U15" s="3179">
        <f>ROUND(IF(项目基本情况!$B$8="出让",SUMPRODUCT(PRODUCT(1+N15:$N$19)),SUMPRODUCT(PRODUCT(1+N15:$N$18))),4)</f>
        <v>1.0361</v>
      </c>
      <c r="V15" s="3179">
        <f>ROUND(IF(项目基本情况!$B$8="出让",SUMPRODUCT(PRODUCT(1+O15:$O$19)),SUMPRODUCT(PRODUCT(1+O15:$O$18))),4)</f>
        <v>1.0270999999999999</v>
      </c>
      <c r="W15" s="3179">
        <f t="shared" si="35"/>
        <v>1.0108999999999999</v>
      </c>
      <c r="X15" s="3177"/>
      <c r="Y15" s="3180">
        <f>IF(D15=0,0,ROUND(AVERAGE(D15:D19)/100,4))</f>
        <v>8.6E-3</v>
      </c>
      <c r="Z15" s="3180">
        <f t="shared" ref="Z15:AC15" si="40">IF(E15=0,0,ROUND(AVERAGE(E15:E19)/100,4))</f>
        <v>3.8999999999999998E-3</v>
      </c>
      <c r="AA15" s="3180">
        <f t="shared" si="40"/>
        <v>1.6999999999999999E-3</v>
      </c>
      <c r="AB15" s="3180">
        <f t="shared" si="40"/>
        <v>9.2999999999999992E-3</v>
      </c>
      <c r="AC15" s="3180">
        <f t="shared" si="40"/>
        <v>6.1000000000000004E-3</v>
      </c>
      <c r="AD15" s="3180">
        <f t="shared" si="18"/>
        <v>1.6999999999999999E-3</v>
      </c>
    </row>
    <row r="16" spans="1:30" s="3181" customFormat="1" ht="12.75">
      <c r="A16" s="3172" t="s">
        <v>2818</v>
      </c>
      <c r="B16" s="3173">
        <v>2021</v>
      </c>
      <c r="C16" s="3174">
        <v>4</v>
      </c>
      <c r="D16" s="3175">
        <v>1.03</v>
      </c>
      <c r="E16" s="3175">
        <v>0.24</v>
      </c>
      <c r="F16" s="3175">
        <v>7.0000000000000007E-2</v>
      </c>
      <c r="G16" s="3175">
        <v>1.17</v>
      </c>
      <c r="H16" s="3192">
        <v>0.55000000000000004</v>
      </c>
      <c r="I16" s="3176">
        <f t="shared" si="15"/>
        <v>7.0000000000000007E-2</v>
      </c>
      <c r="J16" s="3177"/>
      <c r="K16" s="3178">
        <f t="shared" si="16"/>
        <v>1.03E-2</v>
      </c>
      <c r="L16" s="3168">
        <f t="shared" si="16"/>
        <v>2.3999999999999998E-3</v>
      </c>
      <c r="M16" s="3168">
        <f t="shared" si="16"/>
        <v>7.000000000000001E-4</v>
      </c>
      <c r="N16" s="3168">
        <f t="shared" si="16"/>
        <v>1.1699999999999999E-2</v>
      </c>
      <c r="O16" s="3168">
        <f t="shared" si="16"/>
        <v>5.5000000000000005E-3</v>
      </c>
      <c r="P16" s="3168">
        <f t="shared" si="36"/>
        <v>7.000000000000001E-4</v>
      </c>
      <c r="Q16" s="3177"/>
      <c r="R16" s="3179">
        <f>ROUND(IF(项目基本情况!$B$8="出让",SUMPRODUCT(PRODUCT(1+K16:$K$19)),SUMPRODUCT(PRODUCT(1+K16:$K$18))),4)</f>
        <v>1.0244</v>
      </c>
      <c r="S16" s="3179">
        <f>ROUND(IF(项目基本情况!$B$8="出让",SUMPRODUCT(PRODUCT(1+L16:$L$19)),SUMPRODUCT(PRODUCT(1+L16:$L$18))),4)</f>
        <v>1.0138</v>
      </c>
      <c r="T16" s="3179">
        <f>ROUND(IF(项目基本情况!$B$8="出让",SUMPRODUCT(PRODUCT(1+M16:$M$19)),SUMPRODUCT(PRODUCT(1+M16:$M$18))),4)</f>
        <v>1.0072000000000001</v>
      </c>
      <c r="U16" s="3179">
        <f>ROUND(IF(项目基本情况!$B$8="出让",SUMPRODUCT(PRODUCT(1+N16:$N$19)),SUMPRODUCT(PRODUCT(1+N16:$N$18))),4)</f>
        <v>1.0262</v>
      </c>
      <c r="V16" s="3179">
        <f>ROUND(IF(项目基本情况!$B$8="出让",SUMPRODUCT(PRODUCT(1+O16:$O$19)),SUMPRODUCT(PRODUCT(1+O16:$O$18))),4)</f>
        <v>1.0205</v>
      </c>
      <c r="W16" s="3179">
        <f t="shared" si="35"/>
        <v>1.0072000000000001</v>
      </c>
      <c r="X16" s="3177"/>
      <c r="Y16" s="3180">
        <f>IF(D16=0,0,ROUND(AVERAGE(D16:D19)/100,4))</f>
        <v>8.5000000000000006E-3</v>
      </c>
      <c r="Z16" s="3180">
        <f t="shared" ref="Z16:AC16" si="41">IF(E16=0,0,ROUND(AVERAGE(E16:E19)/100,4))</f>
        <v>3.8E-3</v>
      </c>
      <c r="AA16" s="3180">
        <f t="shared" si="41"/>
        <v>1.1999999999999999E-3</v>
      </c>
      <c r="AB16" s="3180">
        <f t="shared" si="41"/>
        <v>9.2999999999999992E-3</v>
      </c>
      <c r="AC16" s="3180">
        <f t="shared" si="41"/>
        <v>6.0000000000000001E-3</v>
      </c>
      <c r="AD16" s="3180">
        <f t="shared" si="18"/>
        <v>1.1999999999999999E-3</v>
      </c>
    </row>
    <row r="17" spans="1:30" s="3181" customFormat="1" ht="12.75">
      <c r="A17" s="3172" t="s">
        <v>2819</v>
      </c>
      <c r="B17" s="3173">
        <v>2021</v>
      </c>
      <c r="C17" s="3174">
        <v>3</v>
      </c>
      <c r="D17" s="3175">
        <v>0.47</v>
      </c>
      <c r="E17" s="3175">
        <v>0.41</v>
      </c>
      <c r="F17" s="3175">
        <v>0.24</v>
      </c>
      <c r="G17" s="3175">
        <v>0.48</v>
      </c>
      <c r="H17" s="3192">
        <v>0.48</v>
      </c>
      <c r="I17" s="3176">
        <f t="shared" si="15"/>
        <v>0.24</v>
      </c>
      <c r="J17" s="3177"/>
      <c r="K17" s="3178">
        <f t="shared" si="16"/>
        <v>4.6999999999999993E-3</v>
      </c>
      <c r="L17" s="3168">
        <f t="shared" si="16"/>
        <v>4.0999999999999995E-3</v>
      </c>
      <c r="M17" s="3168">
        <f t="shared" si="16"/>
        <v>2.3999999999999998E-3</v>
      </c>
      <c r="N17" s="3168">
        <f t="shared" si="16"/>
        <v>4.7999999999999996E-3</v>
      </c>
      <c r="O17" s="3168">
        <f t="shared" si="16"/>
        <v>4.7999999999999996E-3</v>
      </c>
      <c r="P17" s="3168">
        <f t="shared" si="36"/>
        <v>2.3999999999999998E-3</v>
      </c>
      <c r="Q17" s="3177"/>
      <c r="R17" s="3179">
        <f>ROUND(IF(项目基本情况!$B$8="出让",SUMPRODUCT(PRODUCT(1+K17:$K$19)),SUMPRODUCT(PRODUCT(1+K17:$K$18))),4)</f>
        <v>1.0139</v>
      </c>
      <c r="S17" s="3179">
        <f>ROUND(IF(项目基本情况!$B$8="出让",SUMPRODUCT(PRODUCT(1+L17:$L$19)),SUMPRODUCT(PRODUCT(1+L17:$L$18))),4)</f>
        <v>1.0113000000000001</v>
      </c>
      <c r="T17" s="3179">
        <f>ROUND(IF(项目基本情况!$B$8="出让",SUMPRODUCT(PRODUCT(1+M17:$M$19)),SUMPRODUCT(PRODUCT(1+M17:$M$18))),4)</f>
        <v>1.0065</v>
      </c>
      <c r="U17" s="3179">
        <f>ROUND(IF(项目基本情况!$B$8="出让",SUMPRODUCT(PRODUCT(1+N17:$N$19)),SUMPRODUCT(PRODUCT(1+N17:$N$18))),4)</f>
        <v>1.0143</v>
      </c>
      <c r="V17" s="3179">
        <f>ROUND(IF(项目基本情况!$B$8="出让",SUMPRODUCT(PRODUCT(1+O17:$O$19)),SUMPRODUCT(PRODUCT(1+O17:$O$18))),4)</f>
        <v>1.0148999999999999</v>
      </c>
      <c r="W17" s="3179">
        <f t="shared" si="35"/>
        <v>1.0065</v>
      </c>
      <c r="X17" s="3177"/>
      <c r="Y17" s="3180">
        <f>IF(D17=0,0,ROUND(AVERAGE(D17:D19)/100,4))</f>
        <v>7.9000000000000008E-3</v>
      </c>
      <c r="Z17" s="3180">
        <f>IF(E17=0,0,ROUND(AVERAGE(E17:E19)/100,4))</f>
        <v>4.3E-3</v>
      </c>
      <c r="AA17" s="3180">
        <f>IF(F17=0,0,ROUND(AVERAGE(F17:F19)/100,4))</f>
        <v>1.2999999999999999E-3</v>
      </c>
      <c r="AB17" s="3180">
        <f>IF(G17=0,0,ROUND(AVERAGE(G17:G19)/100,4))</f>
        <v>8.5000000000000006E-3</v>
      </c>
      <c r="AC17" s="3180">
        <f>IF(H17=0,0,ROUND(AVERAGE(H17:H19)/100,4))</f>
        <v>6.1999999999999998E-3</v>
      </c>
      <c r="AD17" s="3180">
        <f t="shared" si="18"/>
        <v>1.2999999999999999E-3</v>
      </c>
    </row>
    <row r="18" spans="1:30" s="3181" customFormat="1" ht="12.75">
      <c r="A18" s="3172" t="s">
        <v>2820</v>
      </c>
      <c r="B18" s="3173">
        <v>2021</v>
      </c>
      <c r="C18" s="3174">
        <v>2</v>
      </c>
      <c r="D18" s="3175">
        <v>0.92</v>
      </c>
      <c r="E18" s="3175">
        <v>0.72</v>
      </c>
      <c r="F18" s="3175">
        <v>0.41</v>
      </c>
      <c r="G18" s="3175">
        <v>0.95</v>
      </c>
      <c r="H18" s="3192">
        <v>1.01</v>
      </c>
      <c r="I18" s="3176">
        <f t="shared" si="15"/>
        <v>0.41</v>
      </c>
      <c r="J18" s="3177"/>
      <c r="K18" s="3178">
        <f t="shared" si="16"/>
        <v>9.1999999999999998E-3</v>
      </c>
      <c r="L18" s="3168">
        <f t="shared" si="16"/>
        <v>7.1999999999999998E-3</v>
      </c>
      <c r="M18" s="3168">
        <f t="shared" si="16"/>
        <v>4.0999999999999995E-3</v>
      </c>
      <c r="N18" s="3168">
        <f t="shared" si="16"/>
        <v>9.4999999999999998E-3</v>
      </c>
      <c r="O18" s="3168">
        <f t="shared" si="16"/>
        <v>1.01E-2</v>
      </c>
      <c r="P18" s="3168">
        <f t="shared" si="36"/>
        <v>4.0999999999999995E-3</v>
      </c>
      <c r="Q18" s="3177"/>
      <c r="R18" s="3179">
        <f>ROUND(IF(项目基本情况!$B$8="出让",SUMPRODUCT(PRODUCT(1+K18:$K$19)),SUMPRODUCT(PRODUCT(1+K18:$K$18))),4)</f>
        <v>1.0092000000000001</v>
      </c>
      <c r="S18" s="3179">
        <f>ROUND(IF(项目基本情况!$B$8="出让",SUMPRODUCT(PRODUCT(1+L18:$L$19)),SUMPRODUCT(PRODUCT(1+L18:$L$18))),4)</f>
        <v>1.0072000000000001</v>
      </c>
      <c r="T18" s="3179">
        <f>ROUND(IF(项目基本情况!$B$8="出让",SUMPRODUCT(PRODUCT(1+M18:$M$19)),SUMPRODUCT(PRODUCT(1+M18:$M$18))),4)</f>
        <v>1.0041</v>
      </c>
      <c r="U18" s="3179">
        <f>ROUND(IF(项目基本情况!$B$8="出让",SUMPRODUCT(PRODUCT(1+N18:$N$19)),SUMPRODUCT(PRODUCT(1+N18:$N$18))),4)</f>
        <v>1.0095000000000001</v>
      </c>
      <c r="V18" s="3179">
        <f>ROUND(IF(项目基本情况!$B$8="出让",SUMPRODUCT(PRODUCT(1+O18:$O$19)),SUMPRODUCT(PRODUCT(1+O18:$O$18))),4)</f>
        <v>1.0101</v>
      </c>
      <c r="W18" s="3179">
        <f t="shared" si="35"/>
        <v>1.0041</v>
      </c>
      <c r="X18" s="3177"/>
      <c r="Y18" s="3180">
        <f>IF(D18=0,0,ROUND(AVERAGE(D18:D19)/100,4))</f>
        <v>9.4999999999999998E-3</v>
      </c>
      <c r="Z18" s="3180">
        <f>IF(E18=0,0,ROUND(AVERAGE(E18:E19)/100,4))</f>
        <v>4.4000000000000003E-3</v>
      </c>
      <c r="AA18" s="3180">
        <f>IF(F18=0,0,ROUND(AVERAGE(F18:F19)/100,4))</f>
        <v>8.0000000000000004E-4</v>
      </c>
      <c r="AB18" s="3180">
        <f>IF(G18=0,0,ROUND(AVERAGE(G18:G19)/100,4))</f>
        <v>1.03E-2</v>
      </c>
      <c r="AC18" s="3180">
        <f>IF(H18=0,0,ROUND(AVERAGE(H18:H19)/100,4))</f>
        <v>6.8999999999999999E-3</v>
      </c>
      <c r="AD18" s="3180">
        <f t="shared" si="18"/>
        <v>8.0000000000000004E-4</v>
      </c>
    </row>
    <row r="19" spans="1:30" s="3203" customFormat="1" thickBot="1">
      <c r="A19" s="3193" t="s">
        <v>2821</v>
      </c>
      <c r="B19" s="3194">
        <v>2021</v>
      </c>
      <c r="C19" s="3195">
        <v>1</v>
      </c>
      <c r="D19" s="3196">
        <v>0.97</v>
      </c>
      <c r="E19" s="3196">
        <v>0.16</v>
      </c>
      <c r="F19" s="3196">
        <v>-0.25</v>
      </c>
      <c r="G19" s="3196">
        <v>1.1100000000000001</v>
      </c>
      <c r="H19" s="3197">
        <v>0.36</v>
      </c>
      <c r="I19" s="3198">
        <f t="shared" si="15"/>
        <v>-0.25</v>
      </c>
      <c r="J19" s="3199"/>
      <c r="K19" s="3200">
        <f t="shared" si="16"/>
        <v>9.7000000000000003E-3</v>
      </c>
      <c r="L19" s="3201">
        <f t="shared" si="16"/>
        <v>1.6000000000000001E-3</v>
      </c>
      <c r="M19" s="3201">
        <f>F19/100</f>
        <v>-2.5000000000000001E-3</v>
      </c>
      <c r="N19" s="3201">
        <f t="shared" si="16"/>
        <v>1.11E-2</v>
      </c>
      <c r="O19" s="3201">
        <f t="shared" si="16"/>
        <v>3.5999999999999999E-3</v>
      </c>
      <c r="P19" s="3201">
        <f t="shared" si="36"/>
        <v>-2.5000000000000001E-3</v>
      </c>
      <c r="Q19" s="3199"/>
      <c r="R19" s="3202">
        <v>1</v>
      </c>
      <c r="S19" s="3202">
        <v>1</v>
      </c>
      <c r="T19" s="3202">
        <v>1</v>
      </c>
      <c r="U19" s="3202">
        <v>1</v>
      </c>
      <c r="V19" s="3202">
        <v>1</v>
      </c>
      <c r="W19" s="3202">
        <f t="shared" ref="W19" si="42">T19</f>
        <v>1</v>
      </c>
      <c r="X19" s="3199"/>
      <c r="Y19" s="3201">
        <f>IF(D19=0,0,ROUND(AVERAGE(D19:D19)/100,4))</f>
        <v>9.7000000000000003E-3</v>
      </c>
      <c r="Z19" s="3201">
        <f>IF(E19=0,0,ROUND(AVERAGE(E19:E19)/100,4))</f>
        <v>1.6000000000000001E-3</v>
      </c>
      <c r="AA19" s="3201">
        <f>IF(F19=0,0,ROUND(AVERAGE(F19:F19)/100,4))</f>
        <v>-2.5000000000000001E-3</v>
      </c>
      <c r="AB19" s="3201">
        <f>IF(G19=0,0,ROUND(AVERAGE(G19:G19)/100,4))</f>
        <v>1.11E-2</v>
      </c>
      <c r="AC19" s="3201">
        <f>IF(H19=0,0,ROUND(AVERAGE(H19:H19)/100,4))</f>
        <v>3.5999999999999999E-3</v>
      </c>
      <c r="AD19" s="3201">
        <f>AA19</f>
        <v>-2.5000000000000001E-3</v>
      </c>
    </row>
    <row r="20" spans="1:30" s="3005" customFormat="1" ht="14.25" thickTop="1"/>
    <row r="21" spans="1:30" s="3005" customFormat="1">
      <c r="A21" s="3444" t="s">
        <v>3363</v>
      </c>
    </row>
    <row r="22" spans="1:30" s="3005" customFormat="1">
      <c r="I22" s="3204" t="s">
        <v>2822</v>
      </c>
    </row>
    <row r="23" spans="1:30" s="3005" customFormat="1"/>
    <row r="24" spans="1:30" s="3205" customFormat="1" ht="12.75">
      <c r="B24" s="3206" t="s">
        <v>3369</v>
      </c>
      <c r="C24" s="3207"/>
      <c r="D24" s="3207"/>
      <c r="E24" s="3207"/>
      <c r="F24" s="3207"/>
      <c r="G24" s="3207"/>
      <c r="H24" s="3207"/>
      <c r="I24" s="3207"/>
      <c r="J24" s="3161"/>
      <c r="K24" s="3207" t="s">
        <v>2823</v>
      </c>
      <c r="L24" s="3207"/>
      <c r="M24" s="3207"/>
      <c r="N24" s="3207"/>
      <c r="O24" s="3207"/>
      <c r="P24" s="3207"/>
      <c r="Q24" s="3161"/>
      <c r="R24" s="3850" t="s">
        <v>2824</v>
      </c>
      <c r="S24" s="3851"/>
      <c r="T24" s="3851"/>
      <c r="U24" s="3851"/>
      <c r="V24" s="3851"/>
      <c r="W24" s="3851"/>
      <c r="X24" s="3161"/>
      <c r="Y24" s="3850" t="s">
        <v>2825</v>
      </c>
      <c r="Z24" s="3851"/>
      <c r="AA24" s="3851"/>
      <c r="AB24" s="3851"/>
      <c r="AC24" s="3851"/>
      <c r="AD24" s="3851"/>
    </row>
    <row r="25" spans="1:30" s="3139" customFormat="1" ht="14.25" thickBot="1">
      <c r="B25" s="3140"/>
      <c r="C25" s="3141"/>
      <c r="D25" s="3142" t="s">
        <v>2826</v>
      </c>
      <c r="E25" s="3143" t="s">
        <v>2827</v>
      </c>
      <c r="F25" s="3143" t="s">
        <v>2828</v>
      </c>
      <c r="G25" s="3143" t="s">
        <v>2829</v>
      </c>
      <c r="H25" s="3143"/>
      <c r="I25" s="3143" t="s">
        <v>2830</v>
      </c>
      <c r="J25" s="3144"/>
      <c r="K25" s="3142" t="s">
        <v>2826</v>
      </c>
      <c r="L25" s="3143" t="s">
        <v>2827</v>
      </c>
      <c r="M25" s="3143" t="s">
        <v>2828</v>
      </c>
      <c r="N25" s="3143" t="s">
        <v>2829</v>
      </c>
      <c r="O25" s="3143"/>
      <c r="P25" s="3143" t="s">
        <v>2830</v>
      </c>
      <c r="Q25" s="3144"/>
      <c r="R25" s="3142" t="s">
        <v>2826</v>
      </c>
      <c r="S25" s="3143" t="s">
        <v>2827</v>
      </c>
      <c r="T25" s="3143" t="s">
        <v>2828</v>
      </c>
      <c r="U25" s="3143" t="s">
        <v>2829</v>
      </c>
      <c r="V25" s="3143"/>
      <c r="W25" s="3143" t="s">
        <v>2830</v>
      </c>
      <c r="X25" s="3144"/>
      <c r="Y25" s="3142" t="s">
        <v>2826</v>
      </c>
      <c r="Z25" s="3143" t="s">
        <v>2827</v>
      </c>
      <c r="AA25" s="3143" t="s">
        <v>2828</v>
      </c>
      <c r="AB25" s="3143" t="s">
        <v>2829</v>
      </c>
      <c r="AC25" s="3143"/>
      <c r="AD25" s="3143" t="s">
        <v>2830</v>
      </c>
    </row>
    <row r="26" spans="1:30" s="3157" customFormat="1" ht="12.75">
      <c r="A26" s="3145" t="s">
        <v>2831</v>
      </c>
      <c r="B26" s="3146"/>
      <c r="C26" s="3147"/>
      <c r="D26" s="3147"/>
      <c r="E26" s="3147">
        <f t="shared" ref="E26:G26" si="43">ROUND(AVERAGEIF(E27:E42,"&lt;&gt;0"),2)</f>
        <v>0.38</v>
      </c>
      <c r="F26" s="3147">
        <f t="shared" si="43"/>
        <v>0.28999999999999998</v>
      </c>
      <c r="G26" s="3147">
        <f t="shared" si="43"/>
        <v>0.56999999999999995</v>
      </c>
      <c r="H26" s="3147"/>
      <c r="I26" s="3147">
        <f>F26</f>
        <v>0.28999999999999998</v>
      </c>
      <c r="J26" s="3148"/>
      <c r="K26" s="3149"/>
      <c r="L26" s="3150">
        <f t="shared" ref="L26:N26" si="44">ROUND(AVERAGEIF(L27:L42,"&lt;&gt;0"),4)</f>
        <v>3.8E-3</v>
      </c>
      <c r="M26" s="3150">
        <f t="shared" si="44"/>
        <v>2.8999999999999998E-3</v>
      </c>
      <c r="N26" s="3150">
        <f t="shared" si="44"/>
        <v>5.7000000000000002E-3</v>
      </c>
      <c r="O26" s="3150"/>
      <c r="P26" s="3150">
        <f>M26</f>
        <v>2.8999999999999998E-3</v>
      </c>
      <c r="Q26" s="3148"/>
      <c r="R26" s="3151"/>
      <c r="S26" s="3152">
        <f>ROUND(SUMPRODUCT(PRODUCT(1+L27:L42)),4)</f>
        <v>1.0502</v>
      </c>
      <c r="T26" s="3152">
        <f t="shared" ref="T26:U26" si="45">ROUND(SUMPRODUCT(PRODUCT(1+M27:M42)),4)</f>
        <v>1.0387999999999999</v>
      </c>
      <c r="U26" s="3152">
        <f t="shared" si="45"/>
        <v>1.0763</v>
      </c>
      <c r="V26" s="3152"/>
      <c r="W26" s="3151">
        <f>T26</f>
        <v>1.0387999999999999</v>
      </c>
      <c r="X26" s="3148"/>
      <c r="Y26" s="3153"/>
      <c r="Z26" s="3154">
        <f t="shared" ref="Z26:AB26" si="46">ROUND(AVERAGEIF(Z27:Z42,"&lt;&gt;0"),4)</f>
        <v>4.3E-3</v>
      </c>
      <c r="AA26" s="3155">
        <f t="shared" si="46"/>
        <v>3.5999999999999999E-3</v>
      </c>
      <c r="AB26" s="3153">
        <f t="shared" si="46"/>
        <v>8.8999999999999999E-3</v>
      </c>
      <c r="AC26" s="3156"/>
      <c r="AD26" s="3153">
        <f>AA26</f>
        <v>3.5999999999999999E-3</v>
      </c>
    </row>
    <row r="27" spans="1:30" s="3158" customFormat="1" ht="12.75">
      <c r="B27" s="3159"/>
      <c r="C27" s="3160"/>
      <c r="D27" s="3160"/>
      <c r="E27" s="3160"/>
      <c r="F27" s="3160"/>
      <c r="G27" s="3160"/>
      <c r="H27" s="3160"/>
      <c r="I27" s="3160"/>
      <c r="J27" s="3161"/>
      <c r="K27" s="3162"/>
      <c r="L27" s="3163"/>
      <c r="M27" s="3163"/>
      <c r="N27" s="3163"/>
      <c r="O27" s="3163"/>
      <c r="P27" s="3163"/>
      <c r="Q27" s="3161"/>
      <c r="R27" s="3164"/>
      <c r="S27" s="3165"/>
      <c r="T27" s="3166"/>
      <c r="U27" s="3164"/>
      <c r="V27" s="3167"/>
      <c r="W27" s="3164"/>
      <c r="X27" s="3161"/>
      <c r="Y27" s="3168"/>
      <c r="Z27" s="3169"/>
      <c r="AA27" s="3170"/>
      <c r="AB27" s="3168"/>
      <c r="AC27" s="3171"/>
      <c r="AD27" s="3168"/>
    </row>
    <row r="28" spans="1:30" s="3181" customFormat="1" ht="12.75">
      <c r="A28" s="2203" t="s">
        <v>3376</v>
      </c>
      <c r="B28" s="3173">
        <v>2024</v>
      </c>
      <c r="C28" s="3174">
        <v>3</v>
      </c>
      <c r="D28" s="3175"/>
      <c r="E28" s="3175">
        <v>0</v>
      </c>
      <c r="F28" s="3175">
        <v>0</v>
      </c>
      <c r="G28" s="3175">
        <v>0</v>
      </c>
      <c r="H28" s="3175"/>
      <c r="I28" s="3176">
        <f t="shared" ref="I28" si="47">F28</f>
        <v>0</v>
      </c>
      <c r="J28" s="3177"/>
      <c r="K28" s="3178"/>
      <c r="L28" s="3168">
        <f t="shared" ref="L28" si="48">E28/100</f>
        <v>0</v>
      </c>
      <c r="M28" s="3168">
        <f t="shared" ref="M28" si="49">F28/100</f>
        <v>0</v>
      </c>
      <c r="N28" s="3168">
        <f t="shared" ref="N28" si="50">G28/100</f>
        <v>0</v>
      </c>
      <c r="O28" s="3168"/>
      <c r="P28" s="3168">
        <f>M28</f>
        <v>0</v>
      </c>
      <c r="Q28" s="3177"/>
      <c r="R28" s="3179"/>
      <c r="S28" s="3179">
        <f>ROUND(IF(项目基本情况!$B$8="出让",SUMPRODUCT(PRODUCT(1+L28:L$42)),SUMPRODUCT(PRODUCT(1+L28:L$41))),4)</f>
        <v>1.0465</v>
      </c>
      <c r="T28" s="3179">
        <f>ROUND(IF(项目基本情况!$B$8="出让",SUMPRODUCT(PRODUCT(1+M28:M$42)),SUMPRODUCT(PRODUCT(1+M28:M$41))),4)</f>
        <v>1.0338000000000001</v>
      </c>
      <c r="U28" s="3179">
        <f>ROUND(IF(项目基本情况!$B$8="出让",SUMPRODUCT(PRODUCT(1+N28:N$42)),SUMPRODUCT(PRODUCT(1+N28:N$41))),4)</f>
        <v>1.0659000000000001</v>
      </c>
      <c r="V28" s="3179"/>
      <c r="W28" s="3179">
        <f>T28</f>
        <v>1.0338000000000001</v>
      </c>
      <c r="X28" s="3177"/>
      <c r="Y28" s="3180"/>
      <c r="Z28" s="3208">
        <f t="shared" ref="Z28:AB29" si="51">IF(E28=0,0,ROUND(AVERAGE(E28:E41)/100,4))</f>
        <v>0</v>
      </c>
      <c r="AA28" s="3208">
        <f t="shared" si="51"/>
        <v>0</v>
      </c>
      <c r="AB28" s="3208">
        <f t="shared" si="51"/>
        <v>0</v>
      </c>
      <c r="AC28" s="3209"/>
      <c r="AD28" s="3180">
        <f>IF(I28=0,0,ROUND(AVERAGE(I28:I41)/100,4))</f>
        <v>0</v>
      </c>
    </row>
    <row r="29" spans="1:30" s="3181" customFormat="1" ht="12.75">
      <c r="A29" s="2203" t="s">
        <v>3371</v>
      </c>
      <c r="B29" s="3173">
        <v>2024</v>
      </c>
      <c r="C29" s="3174">
        <v>2</v>
      </c>
      <c r="D29" s="3175"/>
      <c r="E29" s="3175">
        <v>0</v>
      </c>
      <c r="F29" s="3175">
        <v>0</v>
      </c>
      <c r="G29" s="3175">
        <v>0</v>
      </c>
      <c r="H29" s="3175"/>
      <c r="I29" s="3176">
        <f t="shared" ref="I29:I42" si="52">F29</f>
        <v>0</v>
      </c>
      <c r="J29" s="3177"/>
      <c r="K29" s="3178"/>
      <c r="L29" s="3168">
        <f t="shared" ref="L29:N42" si="53">E29/100</f>
        <v>0</v>
      </c>
      <c r="M29" s="3168">
        <f t="shared" si="53"/>
        <v>0</v>
      </c>
      <c r="N29" s="3168">
        <f t="shared" si="53"/>
        <v>0</v>
      </c>
      <c r="O29" s="3168"/>
      <c r="P29" s="3168">
        <f>M29</f>
        <v>0</v>
      </c>
      <c r="Q29" s="3177"/>
      <c r="R29" s="3179"/>
      <c r="S29" s="3179">
        <f>ROUND(IF(项目基本情况!$B$8="出让",SUMPRODUCT(PRODUCT(1+L29:L$42)),SUMPRODUCT(PRODUCT(1+L29:L$41))),4)</f>
        <v>1.0465</v>
      </c>
      <c r="T29" s="3179">
        <f>ROUND(IF(项目基本情况!$B$8="出让",SUMPRODUCT(PRODUCT(1+M29:M$42)),SUMPRODUCT(PRODUCT(1+M29:M$41))),4)</f>
        <v>1.0338000000000001</v>
      </c>
      <c r="U29" s="3179">
        <f>ROUND(IF(项目基本情况!$B$8="出让",SUMPRODUCT(PRODUCT(1+N29:N$42)),SUMPRODUCT(PRODUCT(1+N29:N$41))),4)</f>
        <v>1.0659000000000001</v>
      </c>
      <c r="V29" s="3179"/>
      <c r="W29" s="3179">
        <f>T29</f>
        <v>1.0338000000000001</v>
      </c>
      <c r="X29" s="3177"/>
      <c r="Y29" s="3180"/>
      <c r="Z29" s="3208">
        <f t="shared" si="51"/>
        <v>0</v>
      </c>
      <c r="AA29" s="3208">
        <f t="shared" si="51"/>
        <v>0</v>
      </c>
      <c r="AB29" s="3208">
        <f t="shared" si="51"/>
        <v>0</v>
      </c>
      <c r="AC29" s="3209"/>
      <c r="AD29" s="3180">
        <f>IF(I29=0,0,ROUND(AVERAGE(I29:I42)/100,4))</f>
        <v>0</v>
      </c>
    </row>
    <row r="30" spans="1:30" s="3191" customFormat="1" ht="12.75">
      <c r="A30" s="3182" t="s">
        <v>3373</v>
      </c>
      <c r="B30" s="3183">
        <v>2024</v>
      </c>
      <c r="C30" s="3184">
        <v>1</v>
      </c>
      <c r="D30" s="3185"/>
      <c r="E30" s="3185">
        <v>0.25</v>
      </c>
      <c r="F30" s="3185">
        <v>0.4</v>
      </c>
      <c r="G30" s="3185">
        <v>-0.63</v>
      </c>
      <c r="H30" s="3186"/>
      <c r="I30" s="3187">
        <f t="shared" ref="I30:I31" si="54">F30</f>
        <v>0.4</v>
      </c>
      <c r="J30" s="3188"/>
      <c r="K30" s="3189"/>
      <c r="L30" s="3190">
        <f t="shared" ref="L30" si="55">E30/100</f>
        <v>2.5000000000000001E-3</v>
      </c>
      <c r="M30" s="3190">
        <f t="shared" ref="M30" si="56">F30/100</f>
        <v>4.0000000000000001E-3</v>
      </c>
      <c r="N30" s="3190">
        <f t="shared" ref="N30" si="57">G30/100</f>
        <v>-6.3E-3</v>
      </c>
      <c r="O30" s="3190"/>
      <c r="P30" s="3190">
        <f t="shared" ref="P30" si="58">M30</f>
        <v>4.0000000000000001E-3</v>
      </c>
      <c r="Q30" s="3188"/>
      <c r="R30" s="3188"/>
      <c r="S30" s="3188">
        <f>ROUND(IF(项目基本情况!$B$8="出让",SUMPRODUCT(PRODUCT(1+L30:L$42)),SUMPRODUCT(PRODUCT(1+L30:L$41))),4)</f>
        <v>1.0465</v>
      </c>
      <c r="T30" s="3188">
        <f>ROUND(IF(项目基本情况!$B$8="出让",SUMPRODUCT(PRODUCT(1+M30:M$42)),SUMPRODUCT(PRODUCT(1+M30:M$41))),4)</f>
        <v>1.0338000000000001</v>
      </c>
      <c r="U30" s="3188">
        <f>ROUND(IF(项目基本情况!$B$8="出让",SUMPRODUCT(PRODUCT(1+N30:N$42)),SUMPRODUCT(PRODUCT(1+N30:N$41))),4)</f>
        <v>1.0659000000000001</v>
      </c>
      <c r="V30" s="3188"/>
      <c r="W30" s="3188">
        <f t="shared" ref="W30" si="59">T30</f>
        <v>1.0338000000000001</v>
      </c>
      <c r="X30" s="3188"/>
      <c r="Y30" s="3190"/>
      <c r="Z30" s="3211"/>
      <c r="AA30" s="3212"/>
      <c r="AB30" s="3190"/>
      <c r="AC30" s="3213"/>
      <c r="AD30" s="3190"/>
    </row>
    <row r="31" spans="1:30" s="3181" customFormat="1" ht="12.75">
      <c r="A31" s="3172" t="s">
        <v>3375</v>
      </c>
      <c r="B31" s="3173">
        <v>2023</v>
      </c>
      <c r="C31" s="3174">
        <v>4</v>
      </c>
      <c r="D31" s="3175"/>
      <c r="E31" s="3175">
        <v>7.0000000000000007E-2</v>
      </c>
      <c r="F31" s="3175">
        <v>0.09</v>
      </c>
      <c r="G31" s="3175">
        <v>0.03</v>
      </c>
      <c r="H31" s="3192"/>
      <c r="I31" s="3176">
        <f t="shared" si="54"/>
        <v>0.09</v>
      </c>
      <c r="J31" s="3177"/>
      <c r="K31" s="3178"/>
      <c r="L31" s="3168">
        <f t="shared" si="53"/>
        <v>7.000000000000001E-4</v>
      </c>
      <c r="M31" s="3168">
        <f t="shared" si="53"/>
        <v>8.9999999999999998E-4</v>
      </c>
      <c r="N31" s="3168">
        <f t="shared" si="53"/>
        <v>2.9999999999999997E-4</v>
      </c>
      <c r="O31" s="3168"/>
      <c r="P31" s="3168">
        <f t="shared" ref="P31" si="60">M31</f>
        <v>8.9999999999999998E-4</v>
      </c>
      <c r="Q31" s="3177"/>
      <c r="R31" s="3179"/>
      <c r="S31" s="3179">
        <f>ROUND(IF(项目基本情况!$B$8="出让",SUMPRODUCT(PRODUCT(1+L31:L$42)),SUMPRODUCT(PRODUCT(1+L31:L$41))),4)</f>
        <v>1.0439000000000001</v>
      </c>
      <c r="T31" s="3179">
        <f>ROUND(IF(项目基本情况!$B$8="出让",SUMPRODUCT(PRODUCT(1+M31:M$42)),SUMPRODUCT(PRODUCT(1+M31:M$41))),4)</f>
        <v>1.0297000000000001</v>
      </c>
      <c r="U31" s="3179">
        <f>ROUND(IF(项目基本情况!$B$8="出让",SUMPRODUCT(PRODUCT(1+N31:N$42)),SUMPRODUCT(PRODUCT(1+N31:N$41))),4)</f>
        <v>1.0727</v>
      </c>
      <c r="V31" s="3179"/>
      <c r="W31" s="3179">
        <f t="shared" ref="W31" si="61">T31</f>
        <v>1.0297000000000001</v>
      </c>
      <c r="X31" s="3177"/>
      <c r="Y31" s="3180"/>
      <c r="Z31" s="3208"/>
      <c r="AA31" s="3210"/>
      <c r="AB31" s="3180"/>
      <c r="AC31" s="3209"/>
      <c r="AD31" s="3180"/>
    </row>
    <row r="32" spans="1:30" s="3181" customFormat="1" ht="12.75">
      <c r="A32" s="3172" t="s">
        <v>3372</v>
      </c>
      <c r="B32" s="3173">
        <v>2023</v>
      </c>
      <c r="C32" s="3174">
        <v>3</v>
      </c>
      <c r="D32" s="3175"/>
      <c r="E32" s="3175">
        <v>0.35</v>
      </c>
      <c r="F32" s="3175">
        <v>0.17</v>
      </c>
      <c r="G32" s="3175">
        <v>0.52</v>
      </c>
      <c r="H32" s="3192"/>
      <c r="I32" s="3176">
        <f t="shared" si="52"/>
        <v>0.17</v>
      </c>
      <c r="J32" s="3177"/>
      <c r="K32" s="3178"/>
      <c r="L32" s="3168">
        <f t="shared" ref="L32:L34" si="62">E32/100</f>
        <v>3.4999999999999996E-3</v>
      </c>
      <c r="M32" s="3168">
        <f t="shared" ref="M32:M34" si="63">F32/100</f>
        <v>1.7000000000000001E-3</v>
      </c>
      <c r="N32" s="3168">
        <f t="shared" ref="N32:N34" si="64">G32/100</f>
        <v>5.1999999999999998E-3</v>
      </c>
      <c r="O32" s="3168"/>
      <c r="P32" s="3168">
        <f t="shared" ref="P32:P34" si="65">M32</f>
        <v>1.7000000000000001E-3</v>
      </c>
      <c r="Q32" s="3177"/>
      <c r="R32" s="3179"/>
      <c r="S32" s="3179">
        <f>ROUND(IF(项目基本情况!$B$8="出让",SUMPRODUCT(PRODUCT(1+L32:L$42)),SUMPRODUCT(PRODUCT(1+L32:L$41))),4)</f>
        <v>1.0431999999999999</v>
      </c>
      <c r="T32" s="3179">
        <f>ROUND(IF(项目基本情况!$B$8="出让",SUMPRODUCT(PRODUCT(1+M32:M$42)),SUMPRODUCT(PRODUCT(1+M32:M$41))),4)</f>
        <v>1.0286999999999999</v>
      </c>
      <c r="U32" s="3179">
        <f>ROUND(IF(项目基本情况!$B$8="出让",SUMPRODUCT(PRODUCT(1+N32:N$42)),SUMPRODUCT(PRODUCT(1+N32:N$41))),4)</f>
        <v>1.0723</v>
      </c>
      <c r="V32" s="3179"/>
      <c r="W32" s="3179">
        <f t="shared" ref="W32:W34" si="66">T32</f>
        <v>1.0286999999999999</v>
      </c>
      <c r="X32" s="3177"/>
      <c r="Y32" s="3180"/>
      <c r="Z32" s="3208"/>
      <c r="AA32" s="3210"/>
      <c r="AB32" s="3180"/>
      <c r="AC32" s="3209"/>
      <c r="AD32" s="3180"/>
    </row>
    <row r="33" spans="1:30" s="3181" customFormat="1" ht="12.75">
      <c r="A33" s="3172" t="s">
        <v>3370</v>
      </c>
      <c r="B33" s="3173">
        <v>2023</v>
      </c>
      <c r="C33" s="3174">
        <v>2</v>
      </c>
      <c r="D33" s="3175"/>
      <c r="E33" s="3175">
        <v>0.5</v>
      </c>
      <c r="F33" s="3175">
        <v>0.45</v>
      </c>
      <c r="G33" s="3175">
        <v>0.89</v>
      </c>
      <c r="H33" s="3192"/>
      <c r="I33" s="3176">
        <f t="shared" si="52"/>
        <v>0.45</v>
      </c>
      <c r="J33" s="3177"/>
      <c r="K33" s="3178"/>
      <c r="L33" s="3168">
        <f t="shared" si="62"/>
        <v>5.0000000000000001E-3</v>
      </c>
      <c r="M33" s="3168">
        <f t="shared" si="63"/>
        <v>4.5000000000000005E-3</v>
      </c>
      <c r="N33" s="3168">
        <f t="shared" si="64"/>
        <v>8.8999999999999999E-3</v>
      </c>
      <c r="O33" s="3168"/>
      <c r="P33" s="3168">
        <f t="shared" si="65"/>
        <v>4.5000000000000005E-3</v>
      </c>
      <c r="Q33" s="3177"/>
      <c r="R33" s="3179"/>
      <c r="S33" s="3179">
        <f>ROUND(IF(项目基本情况!$B$8="出让",SUMPRODUCT(PRODUCT(1+L33:L$42)),SUMPRODUCT(PRODUCT(1+L33:L$41))),4)</f>
        <v>1.0396000000000001</v>
      </c>
      <c r="T33" s="3179">
        <f>ROUND(IF(项目基本情况!$B$8="出让",SUMPRODUCT(PRODUCT(1+M33:M$42)),SUMPRODUCT(PRODUCT(1+M33:M$41))),4)</f>
        <v>1.0269999999999999</v>
      </c>
      <c r="U33" s="3179">
        <f>ROUND(IF(项目基本情况!$B$8="出让",SUMPRODUCT(PRODUCT(1+N33:N$42)),SUMPRODUCT(PRODUCT(1+N33:N$41))),4)</f>
        <v>1.0668</v>
      </c>
      <c r="V33" s="3179"/>
      <c r="W33" s="3179">
        <f t="shared" si="66"/>
        <v>1.0269999999999999</v>
      </c>
      <c r="X33" s="3177"/>
      <c r="Y33" s="3180"/>
      <c r="Z33" s="3208"/>
      <c r="AA33" s="3210"/>
      <c r="AB33" s="3180"/>
      <c r="AC33" s="3209"/>
      <c r="AD33" s="3180"/>
    </row>
    <row r="34" spans="1:30" s="3181" customFormat="1" ht="12.75">
      <c r="A34" s="3172" t="s">
        <v>3366</v>
      </c>
      <c r="B34" s="3173">
        <v>2023</v>
      </c>
      <c r="C34" s="3174">
        <v>1</v>
      </c>
      <c r="D34" s="3175"/>
      <c r="E34" s="3175">
        <v>0.55000000000000004</v>
      </c>
      <c r="F34" s="3175">
        <v>0.59</v>
      </c>
      <c r="G34" s="3175">
        <v>0.64</v>
      </c>
      <c r="H34" s="3192"/>
      <c r="I34" s="3176">
        <f t="shared" si="52"/>
        <v>0.59</v>
      </c>
      <c r="J34" s="3177"/>
      <c r="K34" s="3178"/>
      <c r="L34" s="3168">
        <f t="shared" si="62"/>
        <v>5.5000000000000005E-3</v>
      </c>
      <c r="M34" s="3168">
        <f t="shared" si="63"/>
        <v>5.8999999999999999E-3</v>
      </c>
      <c r="N34" s="3168">
        <f t="shared" si="64"/>
        <v>6.4000000000000003E-3</v>
      </c>
      <c r="O34" s="3168"/>
      <c r="P34" s="3168">
        <f t="shared" si="65"/>
        <v>5.8999999999999999E-3</v>
      </c>
      <c r="Q34" s="3177"/>
      <c r="R34" s="3179"/>
      <c r="S34" s="3179">
        <f>ROUND(IF(项目基本情况!$B$8="出让",SUMPRODUCT(PRODUCT(1+L34:L$42)),SUMPRODUCT(PRODUCT(1+L34:L$41))),4)</f>
        <v>1.0344</v>
      </c>
      <c r="T34" s="3179">
        <f>ROUND(IF(项目基本情况!$B$8="出让",SUMPRODUCT(PRODUCT(1+M34:M$42)),SUMPRODUCT(PRODUCT(1+M34:M$41))),4)</f>
        <v>1.0224</v>
      </c>
      <c r="U34" s="3179">
        <f>ROUND(IF(项目基本情况!$B$8="出让",SUMPRODUCT(PRODUCT(1+N34:N$42)),SUMPRODUCT(PRODUCT(1+N34:N$41))),4)</f>
        <v>1.0573999999999999</v>
      </c>
      <c r="V34" s="3179"/>
      <c r="W34" s="3179">
        <f t="shared" si="66"/>
        <v>1.0224</v>
      </c>
      <c r="X34" s="3177"/>
      <c r="Y34" s="3180"/>
      <c r="Z34" s="3208"/>
      <c r="AA34" s="3210"/>
      <c r="AB34" s="3180"/>
      <c r="AC34" s="3209"/>
      <c r="AD34" s="3180"/>
    </row>
    <row r="35" spans="1:30" s="3181" customFormat="1" ht="12.75">
      <c r="A35" s="3172" t="s">
        <v>3365</v>
      </c>
      <c r="B35" s="3173">
        <v>2022</v>
      </c>
      <c r="C35" s="3174">
        <v>4</v>
      </c>
      <c r="D35" s="3175"/>
      <c r="E35" s="3175">
        <v>0.45</v>
      </c>
      <c r="F35" s="3175">
        <v>0.2</v>
      </c>
      <c r="G35" s="3175">
        <v>0.38</v>
      </c>
      <c r="H35" s="3192"/>
      <c r="I35" s="3176">
        <f t="shared" si="52"/>
        <v>0.2</v>
      </c>
      <c r="J35" s="3177"/>
      <c r="K35" s="3178"/>
      <c r="L35" s="3168">
        <f t="shared" si="53"/>
        <v>4.5000000000000005E-3</v>
      </c>
      <c r="M35" s="3168">
        <f t="shared" si="53"/>
        <v>2E-3</v>
      </c>
      <c r="N35" s="3168">
        <f t="shared" si="53"/>
        <v>3.8E-3</v>
      </c>
      <c r="O35" s="3168"/>
      <c r="P35" s="3168">
        <f t="shared" ref="P35:P42" si="67">M35</f>
        <v>2E-3</v>
      </c>
      <c r="Q35" s="3177"/>
      <c r="R35" s="3179"/>
      <c r="S35" s="3179">
        <f>ROUND(IF(项目基本情况!$B$8="出让",SUMPRODUCT(PRODUCT(1+L35:L$42)),SUMPRODUCT(PRODUCT(1+L35:L$41))),4)</f>
        <v>1.0286999999999999</v>
      </c>
      <c r="T35" s="3179">
        <f>ROUND(IF(项目基本情况!$B$8="出让",SUMPRODUCT(PRODUCT(1+M35:M$42)),SUMPRODUCT(PRODUCT(1+M35:M$41))),4)</f>
        <v>1.0164</v>
      </c>
      <c r="U35" s="3179">
        <f>ROUND(IF(项目基本情况!$B$8="出让",SUMPRODUCT(PRODUCT(1+N35:N$42)),SUMPRODUCT(PRODUCT(1+N35:N$41))),4)</f>
        <v>1.0506</v>
      </c>
      <c r="V35" s="3179"/>
      <c r="W35" s="3179">
        <f t="shared" ref="W35:W42" si="68">T35</f>
        <v>1.0164</v>
      </c>
      <c r="X35" s="3177"/>
      <c r="Y35" s="3180"/>
      <c r="Z35" s="3208">
        <f t="shared" ref="Z35:AD42" si="69">IF(E35=0,0,ROUND(AVERAGE(E35:E43)/100,4))</f>
        <v>4.0000000000000001E-3</v>
      </c>
      <c r="AA35" s="3210">
        <f t="shared" si="69"/>
        <v>2.5999999999999999E-3</v>
      </c>
      <c r="AB35" s="3180">
        <f t="shared" si="69"/>
        <v>7.4000000000000003E-3</v>
      </c>
      <c r="AC35" s="3209"/>
      <c r="AD35" s="3180">
        <f t="shared" si="69"/>
        <v>2.5999999999999999E-3</v>
      </c>
    </row>
    <row r="36" spans="1:30" s="3181" customFormat="1" ht="12.75">
      <c r="A36" s="3172" t="s">
        <v>3362</v>
      </c>
      <c r="B36" s="3173">
        <v>2022</v>
      </c>
      <c r="C36" s="3174">
        <v>3</v>
      </c>
      <c r="D36" s="3175"/>
      <c r="E36" s="3175">
        <v>0.3</v>
      </c>
      <c r="F36" s="3175">
        <v>0.28999999999999998</v>
      </c>
      <c r="G36" s="3175">
        <v>0.83</v>
      </c>
      <c r="H36" s="3192"/>
      <c r="I36" s="3176">
        <f t="shared" si="52"/>
        <v>0.28999999999999998</v>
      </c>
      <c r="J36" s="3177"/>
      <c r="K36" s="3178"/>
      <c r="L36" s="3168">
        <f t="shared" si="53"/>
        <v>3.0000000000000001E-3</v>
      </c>
      <c r="M36" s="3168">
        <f t="shared" si="53"/>
        <v>2.8999999999999998E-3</v>
      </c>
      <c r="N36" s="3168">
        <f t="shared" si="53"/>
        <v>8.3000000000000001E-3</v>
      </c>
      <c r="O36" s="3168"/>
      <c r="P36" s="3168">
        <f t="shared" si="67"/>
        <v>2.8999999999999998E-3</v>
      </c>
      <c r="Q36" s="3177"/>
      <c r="R36" s="3179"/>
      <c r="S36" s="3179">
        <f>ROUND(IF(项目基本情况!$B$8="出让",SUMPRODUCT(PRODUCT(1+L36:L$42)),SUMPRODUCT(PRODUCT(1+L36:L$41))),4)</f>
        <v>1.0241</v>
      </c>
      <c r="T36" s="3179">
        <f>ROUND(IF(项目基本情况!$B$8="出让",SUMPRODUCT(PRODUCT(1+M36:M$42)),SUMPRODUCT(PRODUCT(1+M36:M$41))),4)</f>
        <v>1.0144</v>
      </c>
      <c r="U36" s="3179">
        <f>ROUND(IF(项目基本情况!$B$8="出让",SUMPRODUCT(PRODUCT(1+N36:N$42)),SUMPRODUCT(PRODUCT(1+N36:N$41))),4)</f>
        <v>1.0467</v>
      </c>
      <c r="V36" s="3179"/>
      <c r="W36" s="3179">
        <f t="shared" si="68"/>
        <v>1.0144</v>
      </c>
      <c r="X36" s="3177"/>
      <c r="Y36" s="3180"/>
      <c r="Z36" s="3208">
        <f t="shared" si="69"/>
        <v>3.8999999999999998E-3</v>
      </c>
      <c r="AA36" s="3210">
        <f t="shared" si="69"/>
        <v>2.7000000000000001E-3</v>
      </c>
      <c r="AB36" s="3180">
        <f t="shared" si="69"/>
        <v>7.9000000000000008E-3</v>
      </c>
      <c r="AC36" s="3209"/>
      <c r="AD36" s="3180">
        <f t="shared" si="69"/>
        <v>2.7000000000000001E-3</v>
      </c>
    </row>
    <row r="37" spans="1:30" s="3181" customFormat="1" ht="12.75">
      <c r="A37" s="3172" t="s">
        <v>3352</v>
      </c>
      <c r="B37" s="3173">
        <v>2022</v>
      </c>
      <c r="C37" s="3174">
        <v>2</v>
      </c>
      <c r="D37" s="3175"/>
      <c r="E37" s="3175">
        <v>-0.11</v>
      </c>
      <c r="F37" s="3175">
        <v>-0.13</v>
      </c>
      <c r="G37" s="3175">
        <v>0.53</v>
      </c>
      <c r="H37" s="3192"/>
      <c r="I37" s="3176">
        <f t="shared" si="52"/>
        <v>-0.13</v>
      </c>
      <c r="J37" s="3177"/>
      <c r="K37" s="3178"/>
      <c r="L37" s="3168">
        <f t="shared" si="53"/>
        <v>-1.1000000000000001E-3</v>
      </c>
      <c r="M37" s="3168">
        <f t="shared" si="53"/>
        <v>-1.2999999999999999E-3</v>
      </c>
      <c r="N37" s="3168">
        <f t="shared" si="53"/>
        <v>5.3E-3</v>
      </c>
      <c r="O37" s="3168"/>
      <c r="P37" s="3168">
        <f t="shared" si="67"/>
        <v>-1.2999999999999999E-3</v>
      </c>
      <c r="Q37" s="3177"/>
      <c r="R37" s="3179"/>
      <c r="S37" s="3179">
        <f>ROUND(IF(项目基本情况!$B$8="出让",SUMPRODUCT(PRODUCT(1+L37:L$42)),SUMPRODUCT(PRODUCT(1+L37:L$41))),4)</f>
        <v>1.0210999999999999</v>
      </c>
      <c r="T37" s="3179">
        <f>ROUND(IF(项目基本情况!$B$8="出让",SUMPRODUCT(PRODUCT(1+M37:M$42)),SUMPRODUCT(PRODUCT(1+M37:M$41))),4)</f>
        <v>1.0114000000000001</v>
      </c>
      <c r="U37" s="3179">
        <f>ROUND(IF(项目基本情况!$B$8="出让",SUMPRODUCT(PRODUCT(1+N37:N$42)),SUMPRODUCT(PRODUCT(1+N37:N$41))),4)</f>
        <v>1.0381</v>
      </c>
      <c r="V37" s="3179"/>
      <c r="W37" s="3179">
        <f t="shared" si="68"/>
        <v>1.0114000000000001</v>
      </c>
      <c r="X37" s="3177"/>
      <c r="Y37" s="3180"/>
      <c r="Z37" s="3208">
        <f t="shared" si="69"/>
        <v>4.1000000000000003E-3</v>
      </c>
      <c r="AA37" s="3210">
        <f t="shared" si="69"/>
        <v>2.7000000000000001E-3</v>
      </c>
      <c r="AB37" s="3180">
        <f t="shared" si="69"/>
        <v>7.9000000000000008E-3</v>
      </c>
      <c r="AC37" s="3209"/>
      <c r="AD37" s="3180">
        <f t="shared" si="69"/>
        <v>2.7000000000000001E-3</v>
      </c>
    </row>
    <row r="38" spans="1:30" s="3181" customFormat="1" ht="12.75">
      <c r="A38" s="3172" t="s">
        <v>2832</v>
      </c>
      <c r="B38" s="3173">
        <v>2022</v>
      </c>
      <c r="C38" s="3174">
        <v>1</v>
      </c>
      <c r="D38" s="3175"/>
      <c r="E38" s="3175">
        <v>0.6</v>
      </c>
      <c r="F38" s="3175">
        <v>0.45</v>
      </c>
      <c r="G38" s="3175">
        <v>0.53</v>
      </c>
      <c r="H38" s="3192"/>
      <c r="I38" s="3176">
        <f t="shared" si="52"/>
        <v>0.45</v>
      </c>
      <c r="J38" s="3177"/>
      <c r="K38" s="3178"/>
      <c r="L38" s="3168">
        <f t="shared" si="53"/>
        <v>6.0000000000000001E-3</v>
      </c>
      <c r="M38" s="3168">
        <f t="shared" si="53"/>
        <v>4.5000000000000005E-3</v>
      </c>
      <c r="N38" s="3168">
        <f t="shared" si="53"/>
        <v>5.3E-3</v>
      </c>
      <c r="O38" s="3168"/>
      <c r="P38" s="3168">
        <f t="shared" si="67"/>
        <v>4.5000000000000005E-3</v>
      </c>
      <c r="Q38" s="3177"/>
      <c r="R38" s="3179"/>
      <c r="S38" s="3179">
        <f>ROUND(IF(项目基本情况!$B$8="出让",SUMPRODUCT(PRODUCT(1+L38:L$42)),SUMPRODUCT(PRODUCT(1+L38:L$41))),4)</f>
        <v>1.0222</v>
      </c>
      <c r="T38" s="3179">
        <f>ROUND(IF(项目基本情况!$B$8="出让",SUMPRODUCT(PRODUCT(1+M38:M$42)),SUMPRODUCT(PRODUCT(1+M38:M$41))),4)</f>
        <v>1.0127999999999999</v>
      </c>
      <c r="U38" s="3179">
        <f>ROUND(IF(项目基本情况!$B$8="出让",SUMPRODUCT(PRODUCT(1+N38:N$42)),SUMPRODUCT(PRODUCT(1+N38:N$41))),4)</f>
        <v>1.0326</v>
      </c>
      <c r="V38" s="3179"/>
      <c r="W38" s="3179">
        <f t="shared" si="68"/>
        <v>1.0127999999999999</v>
      </c>
      <c r="X38" s="3177"/>
      <c r="Y38" s="3180"/>
      <c r="Z38" s="3208">
        <f t="shared" si="69"/>
        <v>5.1000000000000004E-3</v>
      </c>
      <c r="AA38" s="3210">
        <f t="shared" si="69"/>
        <v>3.5000000000000001E-3</v>
      </c>
      <c r="AB38" s="3180">
        <f t="shared" si="69"/>
        <v>8.3999999999999995E-3</v>
      </c>
      <c r="AC38" s="3209"/>
      <c r="AD38" s="3180">
        <f t="shared" si="69"/>
        <v>3.5000000000000001E-3</v>
      </c>
    </row>
    <row r="39" spans="1:30" s="3181" customFormat="1" ht="12.75">
      <c r="A39" s="3172" t="s">
        <v>2833</v>
      </c>
      <c r="B39" s="3173">
        <v>2021</v>
      </c>
      <c r="C39" s="3174">
        <v>4</v>
      </c>
      <c r="D39" s="3175"/>
      <c r="E39" s="3175">
        <v>0.57999999999999996</v>
      </c>
      <c r="F39" s="3175">
        <v>0.08</v>
      </c>
      <c r="G39" s="3175">
        <v>0.68</v>
      </c>
      <c r="H39" s="3192"/>
      <c r="I39" s="3176">
        <f t="shared" si="52"/>
        <v>0.08</v>
      </c>
      <c r="J39" s="3177"/>
      <c r="K39" s="3178"/>
      <c r="L39" s="3168">
        <f t="shared" si="53"/>
        <v>5.7999999999999996E-3</v>
      </c>
      <c r="M39" s="3168">
        <f t="shared" si="53"/>
        <v>8.0000000000000004E-4</v>
      </c>
      <c r="N39" s="3168">
        <f t="shared" si="53"/>
        <v>6.8000000000000005E-3</v>
      </c>
      <c r="O39" s="3168"/>
      <c r="P39" s="3168">
        <f t="shared" si="67"/>
        <v>8.0000000000000004E-4</v>
      </c>
      <c r="Q39" s="3177"/>
      <c r="R39" s="3179"/>
      <c r="S39" s="3179">
        <f>ROUND(IF(项目基本情况!$B$8="出让",SUMPRODUCT(PRODUCT(1+L39:L$42)),SUMPRODUCT(PRODUCT(1+L39:L$41))),4)</f>
        <v>1.0161</v>
      </c>
      <c r="T39" s="3179">
        <f>ROUND(IF(项目基本情况!$B$8="出让",SUMPRODUCT(PRODUCT(1+M39:M$42)),SUMPRODUCT(PRODUCT(1+M39:M$41))),4)</f>
        <v>1.0082</v>
      </c>
      <c r="U39" s="3179">
        <f>ROUND(IF(项目基本情况!$B$8="出让",SUMPRODUCT(PRODUCT(1+N39:N$42)),SUMPRODUCT(PRODUCT(1+N39:N$41))),4)</f>
        <v>1.0270999999999999</v>
      </c>
      <c r="V39" s="3179"/>
      <c r="W39" s="3179">
        <f t="shared" si="68"/>
        <v>1.0082</v>
      </c>
      <c r="X39" s="3177"/>
      <c r="Y39" s="3180"/>
      <c r="Z39" s="3208">
        <f t="shared" si="69"/>
        <v>4.8999999999999998E-3</v>
      </c>
      <c r="AA39" s="3210">
        <f t="shared" si="69"/>
        <v>3.3E-3</v>
      </c>
      <c r="AB39" s="3180">
        <f t="shared" si="69"/>
        <v>9.1999999999999998E-3</v>
      </c>
      <c r="AC39" s="3209"/>
      <c r="AD39" s="3180">
        <f t="shared" si="69"/>
        <v>3.3E-3</v>
      </c>
    </row>
    <row r="40" spans="1:30" s="3181" customFormat="1" ht="12.75">
      <c r="A40" s="3172" t="s">
        <v>2834</v>
      </c>
      <c r="B40" s="3173">
        <v>2021</v>
      </c>
      <c r="C40" s="3174">
        <v>3</v>
      </c>
      <c r="D40" s="3175"/>
      <c r="E40" s="3175">
        <v>0.47</v>
      </c>
      <c r="F40" s="3175">
        <v>0.28000000000000003</v>
      </c>
      <c r="G40" s="3175">
        <v>0.91</v>
      </c>
      <c r="H40" s="3192"/>
      <c r="I40" s="3176">
        <f t="shared" si="52"/>
        <v>0.28000000000000003</v>
      </c>
      <c r="J40" s="3177"/>
      <c r="K40" s="3178"/>
      <c r="L40" s="3168">
        <f t="shared" si="53"/>
        <v>4.6999999999999993E-3</v>
      </c>
      <c r="M40" s="3168">
        <f t="shared" si="53"/>
        <v>2.8000000000000004E-3</v>
      </c>
      <c r="N40" s="3168">
        <f t="shared" si="53"/>
        <v>9.1000000000000004E-3</v>
      </c>
      <c r="O40" s="3168"/>
      <c r="P40" s="3168">
        <f t="shared" si="67"/>
        <v>2.8000000000000004E-3</v>
      </c>
      <c r="Q40" s="3177"/>
      <c r="R40" s="3179"/>
      <c r="S40" s="3179">
        <f>ROUND(IF(项目基本情况!$B$8="出让",SUMPRODUCT(PRODUCT(1+L40:L$42)),SUMPRODUCT(PRODUCT(1+L40:L$41))),4)</f>
        <v>1.0102</v>
      </c>
      <c r="T40" s="3179">
        <f>ROUND(IF(项目基本情况!$B$8="出让",SUMPRODUCT(PRODUCT(1+M40:M$42)),SUMPRODUCT(PRODUCT(1+M40:M$41))),4)</f>
        <v>1.0074000000000001</v>
      </c>
      <c r="U40" s="3179">
        <f>ROUND(IF(项目基本情况!$B$8="出让",SUMPRODUCT(PRODUCT(1+N40:N$42)),SUMPRODUCT(PRODUCT(1+N40:N$41))),4)</f>
        <v>1.0202</v>
      </c>
      <c r="V40" s="3179"/>
      <c r="W40" s="3179">
        <f t="shared" si="68"/>
        <v>1.0074000000000001</v>
      </c>
      <c r="X40" s="3177"/>
      <c r="Y40" s="3180"/>
      <c r="Z40" s="3208">
        <f t="shared" si="69"/>
        <v>4.5999999999999999E-3</v>
      </c>
      <c r="AA40" s="3210">
        <f t="shared" si="69"/>
        <v>4.1000000000000003E-3</v>
      </c>
      <c r="AB40" s="3180">
        <f t="shared" si="69"/>
        <v>0.01</v>
      </c>
      <c r="AC40" s="3209"/>
      <c r="AD40" s="3180">
        <f t="shared" si="69"/>
        <v>4.1000000000000003E-3</v>
      </c>
    </row>
    <row r="41" spans="1:30" s="3181" customFormat="1" ht="12.75">
      <c r="A41" s="3172" t="s">
        <v>2835</v>
      </c>
      <c r="B41" s="3173">
        <v>2021</v>
      </c>
      <c r="C41" s="3174">
        <v>2</v>
      </c>
      <c r="D41" s="3175"/>
      <c r="E41" s="3175">
        <v>0.55000000000000004</v>
      </c>
      <c r="F41" s="3175">
        <v>0.46</v>
      </c>
      <c r="G41" s="3175">
        <v>1.1000000000000001</v>
      </c>
      <c r="H41" s="3192"/>
      <c r="I41" s="3176">
        <f t="shared" si="52"/>
        <v>0.46</v>
      </c>
      <c r="J41" s="3177"/>
      <c r="K41" s="3178"/>
      <c r="L41" s="3168">
        <f t="shared" si="53"/>
        <v>5.5000000000000005E-3</v>
      </c>
      <c r="M41" s="3168">
        <f t="shared" si="53"/>
        <v>4.5999999999999999E-3</v>
      </c>
      <c r="N41" s="3168">
        <f t="shared" si="53"/>
        <v>1.1000000000000001E-2</v>
      </c>
      <c r="O41" s="3168"/>
      <c r="P41" s="3168">
        <f t="shared" si="67"/>
        <v>4.5999999999999999E-3</v>
      </c>
      <c r="Q41" s="3177"/>
      <c r="R41" s="3179"/>
      <c r="S41" s="3179">
        <f>ROUND(IF(项目基本情况!$B$8="出让",SUMPRODUCT(PRODUCT(1+L41:L$42)),SUMPRODUCT(PRODUCT(1+L41:L$41))),4)</f>
        <v>1.0055000000000001</v>
      </c>
      <c r="T41" s="3179">
        <f>ROUND(IF(项目基本情况!$B$8="出让",SUMPRODUCT(PRODUCT(1+M41:M$42)),SUMPRODUCT(PRODUCT(1+M41:M$41))),4)</f>
        <v>1.0045999999999999</v>
      </c>
      <c r="U41" s="3179">
        <f>ROUND(IF(项目基本情况!$B$8="出让",SUMPRODUCT(PRODUCT(1+N41:N$42)),SUMPRODUCT(PRODUCT(1+N41:N$41))),4)</f>
        <v>1.0109999999999999</v>
      </c>
      <c r="V41" s="3179"/>
      <c r="W41" s="3179">
        <f t="shared" si="68"/>
        <v>1.0045999999999999</v>
      </c>
      <c r="X41" s="3177"/>
      <c r="Y41" s="3180"/>
      <c r="Z41" s="3208">
        <f t="shared" si="69"/>
        <v>4.4999999999999997E-3</v>
      </c>
      <c r="AA41" s="3210">
        <f t="shared" si="69"/>
        <v>4.7000000000000002E-3</v>
      </c>
      <c r="AB41" s="3180">
        <f t="shared" si="69"/>
        <v>1.04E-2</v>
      </c>
      <c r="AC41" s="3209"/>
      <c r="AD41" s="3180">
        <f t="shared" si="69"/>
        <v>4.7000000000000002E-3</v>
      </c>
    </row>
    <row r="42" spans="1:30" s="3203" customFormat="1" thickBot="1">
      <c r="A42" s="3193" t="s">
        <v>2821</v>
      </c>
      <c r="B42" s="3194">
        <v>2021</v>
      </c>
      <c r="C42" s="3195">
        <v>1</v>
      </c>
      <c r="D42" s="3196"/>
      <c r="E42" s="3196">
        <v>0.35</v>
      </c>
      <c r="F42" s="3196">
        <v>0.48</v>
      </c>
      <c r="G42" s="3196">
        <v>0.98</v>
      </c>
      <c r="H42" s="3197"/>
      <c r="I42" s="3198">
        <f t="shared" si="52"/>
        <v>0.48</v>
      </c>
      <c r="J42" s="3199"/>
      <c r="K42" s="3200"/>
      <c r="L42" s="3201">
        <f t="shared" si="53"/>
        <v>3.4999999999999996E-3</v>
      </c>
      <c r="M42" s="3201">
        <f>F42/100</f>
        <v>4.7999999999999996E-3</v>
      </c>
      <c r="N42" s="3201">
        <f t="shared" si="53"/>
        <v>9.7999999999999997E-3</v>
      </c>
      <c r="O42" s="3201"/>
      <c r="P42" s="3201">
        <f t="shared" si="67"/>
        <v>4.7999999999999996E-3</v>
      </c>
      <c r="Q42" s="3199"/>
      <c r="R42" s="3202"/>
      <c r="S42" s="3202">
        <v>1</v>
      </c>
      <c r="T42" s="3202">
        <v>1</v>
      </c>
      <c r="U42" s="3202">
        <v>1</v>
      </c>
      <c r="V42" s="3202"/>
      <c r="W42" s="3202">
        <f t="shared" si="68"/>
        <v>1</v>
      </c>
      <c r="X42" s="3199"/>
      <c r="Y42" s="3201"/>
      <c r="Z42" s="3214">
        <f t="shared" si="69"/>
        <v>3.5000000000000001E-3</v>
      </c>
      <c r="AA42" s="3215">
        <f t="shared" si="69"/>
        <v>4.7999999999999996E-3</v>
      </c>
      <c r="AB42" s="3201">
        <f t="shared" si="69"/>
        <v>9.7999999999999997E-3</v>
      </c>
      <c r="AC42" s="3216"/>
      <c r="AD42" s="3201">
        <f t="shared" si="69"/>
        <v>4.7999999999999996E-3</v>
      </c>
    </row>
    <row r="43" spans="1:30" ht="14.25" thickTop="1"/>
    <row r="44" spans="1:30">
      <c r="A44" s="3444" t="s">
        <v>3364</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57" t="s">
        <v>452</v>
      </c>
      <c r="C1" s="3857"/>
      <c r="D1" s="3857"/>
      <c r="E1" s="3857"/>
      <c r="F1" s="3857"/>
      <c r="G1" s="3853" t="s">
        <v>453</v>
      </c>
      <c r="H1" s="3853"/>
      <c r="I1" s="3853"/>
      <c r="J1" s="3853"/>
      <c r="K1" s="3853"/>
      <c r="L1" s="3853"/>
      <c r="N1" s="3853" t="s">
        <v>454</v>
      </c>
      <c r="O1" s="3853"/>
      <c r="P1" s="3853"/>
      <c r="Q1" s="3853"/>
      <c r="S1" s="3853" t="s">
        <v>455</v>
      </c>
      <c r="T1" s="3853"/>
      <c r="U1" s="3853"/>
      <c r="V1" s="3853"/>
      <c r="X1" s="3852" t="s">
        <v>456</v>
      </c>
      <c r="Y1" s="3853"/>
      <c r="Z1" s="3853"/>
      <c r="AA1" s="3853"/>
      <c r="AB1" s="3853"/>
      <c r="AD1" s="3852" t="s">
        <v>457</v>
      </c>
      <c r="AE1" s="3853"/>
      <c r="AF1" s="3853"/>
      <c r="AG1" s="3853"/>
      <c r="AH1" s="3853"/>
    </row>
    <row r="2" spans="1:34" s="2170" customFormat="1" ht="14.25" thickBot="1">
      <c r="B2" s="2171" t="s">
        <v>458</v>
      </c>
      <c r="C2" s="2171" t="s">
        <v>459</v>
      </c>
      <c r="D2" s="2172" t="s">
        <v>460</v>
      </c>
      <c r="E2" s="2172" t="s">
        <v>461</v>
      </c>
      <c r="F2" s="2171" t="s">
        <v>462</v>
      </c>
      <c r="G2" s="2173"/>
      <c r="I2" s="2171" t="s">
        <v>458</v>
      </c>
      <c r="J2" s="2172" t="s">
        <v>674</v>
      </c>
      <c r="K2" s="2172" t="s">
        <v>308</v>
      </c>
      <c r="L2" s="2171" t="s">
        <v>462</v>
      </c>
      <c r="N2" s="2171" t="s">
        <v>458</v>
      </c>
      <c r="O2" s="2172" t="s">
        <v>674</v>
      </c>
      <c r="P2" s="2172" t="s">
        <v>308</v>
      </c>
      <c r="Q2" s="2171" t="s">
        <v>462</v>
      </c>
      <c r="S2" s="2171" t="s">
        <v>458</v>
      </c>
      <c r="T2" s="2172" t="s">
        <v>674</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2111</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3360</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2">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3357</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2">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2112</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3358</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2">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3359</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2">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2433</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1">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2310</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6">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2309</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5">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2308</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9">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2305</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8">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2304</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5">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2127</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2125</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2124</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2123</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2121</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2120</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2122</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55">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2118</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55"/>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2117</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55"/>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2110</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62"/>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2108</v>
      </c>
      <c r="B25" s="2218">
        <v>439</v>
      </c>
      <c r="C25" s="2218">
        <v>327</v>
      </c>
      <c r="D25" s="2218">
        <f>C25</f>
        <v>327</v>
      </c>
      <c r="E25" s="2218">
        <v>627</v>
      </c>
      <c r="F25" s="2219">
        <v>283</v>
      </c>
      <c r="G25" s="3858">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2109</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55"/>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675</v>
      </c>
      <c r="B27" s="2204">
        <f t="shared" si="232"/>
        <v>419.31181600000002</v>
      </c>
      <c r="C27" s="2204">
        <f t="shared" si="233"/>
        <v>313.95436800000004</v>
      </c>
      <c r="D27" s="2204">
        <f t="shared" si="234"/>
        <v>313.95436800000004</v>
      </c>
      <c r="E27" s="2204">
        <f t="shared" si="235"/>
        <v>596.63028431999999</v>
      </c>
      <c r="F27" s="2204">
        <f t="shared" si="236"/>
        <v>274.74220703999998</v>
      </c>
      <c r="G27" s="3855"/>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62"/>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58">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55"/>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55"/>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56"/>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54">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55"/>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55"/>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56"/>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54">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55"/>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55"/>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56"/>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59">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60"/>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60"/>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61"/>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54">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55"/>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55"/>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56"/>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54">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55">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55">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56">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54">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55">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55">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56">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54">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55">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55">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56">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54">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55">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55">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56">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54">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55">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55">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56">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54">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55">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55">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56">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54">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55">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55">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56">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54">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55">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55">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56">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54">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55">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55">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56">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54">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55">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55">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56">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529" t="str">
        <f>IF(项目基本情况!B9="房地产市场价值","估价结果一览表","结果表-2")</f>
        <v>结果表-2</v>
      </c>
      <c r="B1" s="3529"/>
      <c r="C1" s="3529"/>
      <c r="D1" s="3529"/>
      <c r="E1" s="3529"/>
      <c r="F1" s="3529"/>
      <c r="G1" s="3529"/>
      <c r="H1" s="3529"/>
      <c r="I1" s="3529"/>
    </row>
    <row r="2" spans="1:9" ht="30" customHeight="1" thickTop="1">
      <c r="A2" s="3530" t="s">
        <v>926</v>
      </c>
      <c r="B2" s="3530" t="s">
        <v>927</v>
      </c>
      <c r="C2" s="3530" t="s">
        <v>928</v>
      </c>
      <c r="D2" s="3530" t="str">
        <f>结果表!D116</f>
        <v>出让国有建设用地使用权价值</v>
      </c>
      <c r="E2" s="3530"/>
      <c r="F2" s="3530" t="str">
        <f>结果表!F116</f>
        <v>在建建筑物价值</v>
      </c>
      <c r="G2" s="3530"/>
      <c r="H2" s="3530" t="str">
        <f>IF(项目基本情况!B9="房地产市场价值","房地产市场价值","房地产价值")</f>
        <v>房地产价值</v>
      </c>
      <c r="I2" s="3530"/>
    </row>
    <row r="3" spans="1:9" ht="15">
      <c r="A3" s="3531"/>
      <c r="B3" s="3531"/>
      <c r="C3" s="3531"/>
      <c r="D3" s="853" t="s">
        <v>923</v>
      </c>
      <c r="E3" s="853" t="s">
        <v>929</v>
      </c>
      <c r="F3" s="853" t="s">
        <v>923</v>
      </c>
      <c r="G3" s="853" t="s">
        <v>924</v>
      </c>
      <c r="H3" s="853" t="s">
        <v>923</v>
      </c>
      <c r="I3" s="853" t="s">
        <v>924</v>
      </c>
    </row>
    <row r="4" spans="1:9" ht="15">
      <c r="A4" s="1503" t="str">
        <f>项目基本情况!S2</f>
        <v>北京市房地产</v>
      </c>
      <c r="B4" s="853">
        <f>项目基本情况!C17</f>
        <v>616.89</v>
      </c>
      <c r="C4" s="853">
        <f>项目基本情况!C18</f>
        <v>69.53</v>
      </c>
      <c r="D4" s="853">
        <f ca="1">结果表!D118</f>
        <v>662</v>
      </c>
      <c r="E4" s="853">
        <f ca="1">结果表!E118</f>
        <v>32113</v>
      </c>
      <c r="F4" s="853">
        <f ca="1">结果表!F118</f>
        <v>193</v>
      </c>
      <c r="G4" s="853">
        <f ca="1">结果表!G118</f>
        <v>9377</v>
      </c>
      <c r="H4" s="853">
        <f ca="1">结果表!H118</f>
        <v>855</v>
      </c>
      <c r="I4" s="853">
        <f ca="1">结果表!I118</f>
        <v>41490</v>
      </c>
    </row>
    <row r="5" spans="1:9" ht="30" customHeight="1">
      <c r="A5" s="3531" t="s">
        <v>925</v>
      </c>
      <c r="B5" s="3531"/>
      <c r="C5" s="3531"/>
      <c r="D5" s="3531" t="str">
        <f ca="1">结果表!D119</f>
        <v>陆佰陆拾贰万元整</v>
      </c>
      <c r="E5" s="3531"/>
      <c r="F5" s="3531" t="str">
        <f ca="1">结果表!F119</f>
        <v>壹佰玖拾叁万元整</v>
      </c>
      <c r="G5" s="3531"/>
      <c r="H5" s="3531" t="str">
        <f ca="1">结果表!H119</f>
        <v>捌佰伍拾伍万元整</v>
      </c>
      <c r="I5" s="3531"/>
    </row>
    <row r="6" spans="1:9" ht="15.75">
      <c r="A6" s="3532" t="str">
        <f>结果表!A120</f>
        <v>估价师知悉的法定优先受偿款</v>
      </c>
      <c r="B6" s="3532"/>
      <c r="C6" s="3532"/>
      <c r="D6" s="3532">
        <f>结果表!D120</f>
        <v>0</v>
      </c>
      <c r="E6" s="3532"/>
      <c r="F6" s="3532"/>
      <c r="G6" s="3532"/>
      <c r="H6" s="3532"/>
      <c r="I6" s="3532"/>
    </row>
    <row r="7" spans="1:9" ht="15">
      <c r="A7" s="3531" t="s">
        <v>925</v>
      </c>
      <c r="B7" s="3531"/>
      <c r="C7" s="3531"/>
      <c r="D7" s="3533" t="str">
        <f>结果表!D121</f>
        <v>零元整</v>
      </c>
      <c r="E7" s="3534"/>
      <c r="F7" s="3534"/>
      <c r="G7" s="3534"/>
      <c r="H7" s="3534"/>
      <c r="I7" s="3535"/>
    </row>
    <row r="8" spans="1:9" ht="15.75">
      <c r="A8" s="3532" t="str">
        <f>结果表!A122</f>
        <v>房地产抵押价值</v>
      </c>
      <c r="B8" s="3532"/>
      <c r="C8" s="3532"/>
      <c r="D8" s="3532">
        <f ca="1">结果表!D122</f>
        <v>855</v>
      </c>
      <c r="E8" s="3532"/>
      <c r="F8" s="3532"/>
      <c r="G8" s="3532"/>
      <c r="H8" s="3532"/>
      <c r="I8" s="3532"/>
    </row>
    <row r="9" spans="1:9" ht="15">
      <c r="A9" s="3531" t="s">
        <v>925</v>
      </c>
      <c r="B9" s="3531"/>
      <c r="C9" s="3531"/>
      <c r="D9" s="3531" t="str">
        <f ca="1">结果表!D123</f>
        <v>捌佰伍拾伍万元整</v>
      </c>
      <c r="E9" s="3531"/>
      <c r="F9" s="3531"/>
      <c r="G9" s="3531"/>
      <c r="H9" s="3531"/>
      <c r="I9" s="3531"/>
    </row>
    <row r="10" spans="1:9" ht="15.75">
      <c r="A10" s="3532" t="str">
        <f>结果表!A124</f>
        <v/>
      </c>
      <c r="B10" s="3532"/>
      <c r="C10" s="3532"/>
      <c r="D10" s="3532" t="str">
        <f>结果表!D124</f>
        <v>——</v>
      </c>
      <c r="E10" s="3532"/>
      <c r="F10" s="3532"/>
      <c r="G10" s="3532"/>
      <c r="H10" s="3532"/>
      <c r="I10" s="3532"/>
    </row>
    <row r="11" spans="1:9" ht="15">
      <c r="A11" s="3531" t="s">
        <v>925</v>
      </c>
      <c r="B11" s="3531"/>
      <c r="C11" s="3531"/>
      <c r="D11" s="3531" t="e">
        <f>结果表!D125</f>
        <v>#VALUE!</v>
      </c>
      <c r="E11" s="3531"/>
      <c r="F11" s="3531"/>
      <c r="G11" s="3531"/>
      <c r="H11" s="3531"/>
      <c r="I11" s="3531"/>
    </row>
    <row r="12" spans="1:9" ht="15.75">
      <c r="A12" s="3532" t="str">
        <f>结果表!A126</f>
        <v/>
      </c>
      <c r="B12" s="3532"/>
      <c r="C12" s="3532"/>
      <c r="D12" s="3532" t="str">
        <f>结果表!D126</f>
        <v>——</v>
      </c>
      <c r="E12" s="3532"/>
      <c r="F12" s="3532"/>
      <c r="G12" s="3532"/>
      <c r="H12" s="3532"/>
      <c r="I12" s="3532"/>
    </row>
    <row r="13" spans="1:9" ht="15.75" thickBot="1">
      <c r="A13" s="3536" t="s">
        <v>925</v>
      </c>
      <c r="B13" s="3536"/>
      <c r="C13" s="3536"/>
      <c r="D13" s="3536" t="e">
        <f>结果表!D127</f>
        <v>#VALUE!</v>
      </c>
      <c r="E13" s="3536"/>
      <c r="F13" s="3536"/>
      <c r="G13" s="3536"/>
      <c r="H13" s="3536"/>
      <c r="I13" s="3536"/>
    </row>
    <row r="14" spans="1:9" ht="15" thickTop="1">
      <c r="A14" s="3537" t="s">
        <v>930</v>
      </c>
      <c r="B14" s="3537"/>
      <c r="C14" s="3537"/>
      <c r="D14" s="3537"/>
      <c r="E14" s="3537"/>
      <c r="F14" s="3537"/>
      <c r="G14" s="3537"/>
      <c r="H14" s="3537"/>
      <c r="I14" s="3537"/>
    </row>
    <row r="16" spans="1:9" ht="18.75">
      <c r="A16" s="1504" t="s">
        <v>913</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45498</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7">
        <v>45159</v>
      </c>
      <c r="D13" s="2818">
        <v>3.45</v>
      </c>
      <c r="E13" s="2818">
        <f>D13</f>
        <v>3.45</v>
      </c>
      <c r="F13" s="2818">
        <f>D13</f>
        <v>3.45</v>
      </c>
      <c r="G13" s="2818">
        <f>D13</f>
        <v>3.45</v>
      </c>
      <c r="H13" s="2818">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2"/>
      <c r="C14" s="2814">
        <v>45097</v>
      </c>
      <c r="D14" s="2813">
        <v>3.55</v>
      </c>
      <c r="E14" s="2813">
        <f>D14</f>
        <v>3.55</v>
      </c>
      <c r="F14" s="2813">
        <f>D14</f>
        <v>3.55</v>
      </c>
      <c r="G14" s="2813">
        <f>D14</f>
        <v>3.55</v>
      </c>
      <c r="H14" s="2813">
        <v>4.2</v>
      </c>
      <c r="I14" s="2818"/>
      <c r="J14" s="2818"/>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2"/>
      <c r="C15" s="2814">
        <v>44795</v>
      </c>
      <c r="D15" s="2813">
        <v>3.65</v>
      </c>
      <c r="E15" s="2813">
        <v>3.65</v>
      </c>
      <c r="F15" s="2813">
        <v>3.65</v>
      </c>
      <c r="G15" s="2813">
        <v>3.65</v>
      </c>
      <c r="H15" s="2813">
        <v>4.3</v>
      </c>
      <c r="I15" s="2818"/>
      <c r="J15" s="2818"/>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2"/>
      <c r="C16" s="2814">
        <v>44701</v>
      </c>
      <c r="D16" s="2813">
        <v>3.7</v>
      </c>
      <c r="E16" s="2813">
        <f>D16</f>
        <v>3.7</v>
      </c>
      <c r="F16" s="2813">
        <f>D16</f>
        <v>3.7</v>
      </c>
      <c r="G16" s="2813">
        <f>D16</f>
        <v>3.7</v>
      </c>
      <c r="H16" s="2813">
        <v>4.45</v>
      </c>
      <c r="I16" s="2818"/>
      <c r="J16" s="2818"/>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2"/>
      <c r="C17" s="2814">
        <v>44581</v>
      </c>
      <c r="D17" s="2813">
        <v>3.7</v>
      </c>
      <c r="E17" s="2813">
        <f>D17</f>
        <v>3.7</v>
      </c>
      <c r="F17" s="2813">
        <f>D17</f>
        <v>3.7</v>
      </c>
      <c r="G17" s="2813">
        <f>D17</f>
        <v>3.7</v>
      </c>
      <c r="H17" s="2813">
        <v>4.5999999999999996</v>
      </c>
      <c r="I17" s="2818"/>
      <c r="J17" s="2818"/>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3"/>
      <c r="C18" s="2814">
        <v>44550</v>
      </c>
      <c r="D18" s="2813">
        <v>3.8</v>
      </c>
      <c r="E18" s="2813">
        <f>D18</f>
        <v>3.8</v>
      </c>
      <c r="F18" s="2813">
        <f>D18</f>
        <v>3.8</v>
      </c>
      <c r="G18" s="2813">
        <f>D18</f>
        <v>3.8</v>
      </c>
      <c r="H18" s="2813">
        <v>4.6500000000000004</v>
      </c>
      <c r="I18" s="2813"/>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2"/>
      <c r="B19" s="2813"/>
      <c r="C19" s="2814">
        <v>43941</v>
      </c>
      <c r="D19" s="2813">
        <v>3.85</v>
      </c>
      <c r="E19" s="2813">
        <v>3.85</v>
      </c>
      <c r="F19" s="2813">
        <v>3.85</v>
      </c>
      <c r="G19" s="2813">
        <v>3.85</v>
      </c>
      <c r="H19" s="2813">
        <v>4.6500000000000004</v>
      </c>
      <c r="I19" s="2813"/>
      <c r="J19" s="2813"/>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3"/>
      <c r="C20" s="2814">
        <v>43881</v>
      </c>
      <c r="D20" s="2813">
        <v>4.05</v>
      </c>
      <c r="E20" s="2813">
        <v>4.05</v>
      </c>
      <c r="F20" s="2813">
        <v>4.05</v>
      </c>
      <c r="G20" s="2813">
        <v>4.05</v>
      </c>
      <c r="H20" s="2813">
        <v>4.75</v>
      </c>
      <c r="I20" s="2813"/>
      <c r="J20" s="2813"/>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3"/>
      <c r="C21" s="2814">
        <v>43789</v>
      </c>
      <c r="D21" s="2813">
        <v>4.1500000000000004</v>
      </c>
      <c r="E21" s="2813">
        <v>4.1500000000000004</v>
      </c>
      <c r="F21" s="2813">
        <v>4.1500000000000004</v>
      </c>
      <c r="G21" s="2813">
        <v>4.1500000000000004</v>
      </c>
      <c r="H21" s="2813">
        <v>4.8</v>
      </c>
      <c r="I21" s="2813"/>
      <c r="J21" s="2813"/>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3"/>
      <c r="C22" s="2814">
        <v>43728</v>
      </c>
      <c r="D22" s="2813">
        <v>4.2</v>
      </c>
      <c r="E22" s="2813">
        <v>4.2</v>
      </c>
      <c r="F22" s="2813">
        <v>4.2</v>
      </c>
      <c r="G22" s="2813">
        <v>4.2</v>
      </c>
      <c r="H22" s="2813">
        <v>4.8499999999999996</v>
      </c>
      <c r="I22" s="2813"/>
      <c r="J22" s="2813"/>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19"/>
      <c r="B23" s="2812" t="s">
        <v>2306</v>
      </c>
      <c r="C23" s="2815">
        <v>43697</v>
      </c>
      <c r="D23" s="2816">
        <v>4.25</v>
      </c>
      <c r="E23" s="2816">
        <v>4.25</v>
      </c>
      <c r="F23" s="2816">
        <v>4.25</v>
      </c>
      <c r="G23" s="2816">
        <v>4.25</v>
      </c>
      <c r="H23" s="2816">
        <v>4.8499999999999996</v>
      </c>
      <c r="I23" s="2816"/>
      <c r="J23" s="2816"/>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0"/>
      <c r="C24" s="2821">
        <v>42301</v>
      </c>
      <c r="D24" s="2822">
        <v>4.3499999999999996</v>
      </c>
      <c r="E24" s="2822">
        <v>4.3499999999999996</v>
      </c>
      <c r="F24" s="2822">
        <v>4.75</v>
      </c>
      <c r="G24" s="2822">
        <v>4.75</v>
      </c>
      <c r="H24" s="2822">
        <v>4.9000000000000004</v>
      </c>
      <c r="I24" s="2822"/>
      <c r="J24" s="2822"/>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38" t="s">
        <v>947</v>
      </c>
      <c r="B1" s="3538"/>
      <c r="C1" s="3538"/>
      <c r="D1" s="3538"/>
    </row>
    <row r="2" spans="1:4" ht="18">
      <c r="A2" s="3539" t="s">
        <v>931</v>
      </c>
      <c r="B2" s="3539"/>
      <c r="C2" s="3539"/>
      <c r="D2" s="3539"/>
    </row>
    <row r="3" spans="1:4" ht="18.75">
      <c r="A3" s="1507" t="s">
        <v>932</v>
      </c>
      <c r="B3" s="1507" t="s">
        <v>933</v>
      </c>
      <c r="C3" s="1507" t="s">
        <v>934</v>
      </c>
      <c r="D3" s="1507" t="s">
        <v>935</v>
      </c>
    </row>
    <row r="4" spans="1:4" ht="56.25" customHeight="1">
      <c r="A4" s="1508" t="str">
        <f>项目基本情况!B4</f>
        <v>郑燚</v>
      </c>
      <c r="B4" s="1509">
        <f ca="1">项目基本情况!C4</f>
        <v>1120070131</v>
      </c>
      <c r="C4" s="1510"/>
      <c r="D4" s="1511" t="s">
        <v>936</v>
      </c>
    </row>
    <row r="5" spans="1:4" ht="56.25" customHeight="1">
      <c r="A5" s="1508" t="str">
        <f>项目基本情况!D4</f>
        <v>吴薇</v>
      </c>
      <c r="B5" s="1509">
        <f ca="1">项目基本情况!E4</f>
        <v>1419970001</v>
      </c>
      <c r="C5" s="1512"/>
      <c r="D5" s="1511" t="s">
        <v>936</v>
      </c>
    </row>
    <row r="6" spans="1:4" ht="18">
      <c r="A6" s="3539" t="s">
        <v>937</v>
      </c>
      <c r="B6" s="3539"/>
      <c r="C6" s="3539"/>
      <c r="D6" s="3539"/>
    </row>
    <row r="7" spans="1:4" ht="18.75">
      <c r="A7" s="1507" t="s">
        <v>932</v>
      </c>
      <c r="B7" s="1509" t="s">
        <v>938</v>
      </c>
      <c r="C7" s="1507" t="s">
        <v>934</v>
      </c>
      <c r="D7" s="1507" t="s">
        <v>935</v>
      </c>
    </row>
    <row r="8" spans="1:4" ht="56.25" customHeight="1">
      <c r="A8" s="1513" t="s">
        <v>390</v>
      </c>
      <c r="B8" s="1513" t="s">
        <v>0</v>
      </c>
      <c r="C8" s="1510"/>
      <c r="D8" s="1511" t="s">
        <v>936</v>
      </c>
    </row>
    <row r="9" spans="1:4">
      <c r="A9" s="674"/>
      <c r="B9" s="674"/>
      <c r="C9" s="674"/>
      <c r="D9" s="674"/>
    </row>
    <row r="10" spans="1:4" ht="18.75">
      <c r="A10" s="1514" t="s">
        <v>939</v>
      </c>
      <c r="B10" s="674"/>
      <c r="C10" s="674"/>
      <c r="D10" s="674"/>
    </row>
    <row r="11" spans="1:4" ht="30" customHeight="1">
      <c r="A11" s="3540" t="s">
        <v>940</v>
      </c>
      <c r="B11" s="3541"/>
      <c r="C11" s="3541"/>
      <c r="D11" s="3541"/>
    </row>
    <row r="12" spans="1:4" ht="15.75">
      <c r="A12" s="354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42"/>
      <c r="C12" s="3542"/>
      <c r="D12" s="3542"/>
    </row>
    <row r="13" spans="1:4" ht="30" customHeight="1">
      <c r="A13" s="354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42"/>
      <c r="C13" s="3542"/>
      <c r="D13" s="3542"/>
    </row>
    <row r="14" spans="1:4" ht="15.75" customHeight="1">
      <c r="A14" s="3541" t="str">
        <f>IF(项目基本情况!B8="抵押","4.本次评估估价师所知悉的法定优先受偿款情况说明如下：","——")</f>
        <v>4.本次评估估价师所知悉的法定优先受偿款情况说明如下：</v>
      </c>
      <c r="B14" s="3542"/>
      <c r="C14" s="3542"/>
      <c r="D14" s="3542"/>
    </row>
    <row r="15" spans="1:4" ht="42" customHeight="1">
      <c r="A15" s="3541"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41"/>
      <c r="C15" s="3541"/>
      <c r="D15" s="3541"/>
    </row>
    <row r="16" spans="1:4" ht="30" customHeight="1">
      <c r="A16" s="3544" t="s">
        <v>941</v>
      </c>
      <c r="B16" s="3544"/>
      <c r="C16" s="3544"/>
      <c r="D16" s="3544"/>
    </row>
    <row r="17" spans="1:4" ht="144" customHeight="1">
      <c r="A17" s="3544" t="s">
        <v>942</v>
      </c>
      <c r="B17" s="3544"/>
      <c r="C17" s="3544"/>
      <c r="D17" s="3544"/>
    </row>
    <row r="18" spans="1:4" ht="15.75" customHeight="1">
      <c r="A18" s="3541" t="str">
        <f>IF(项目基本情况!B8="抵押",结果表!K120,"——")</f>
        <v>故，本次评估不存在估价师知悉的法定优先受偿款</v>
      </c>
      <c r="B18" s="3541"/>
      <c r="C18" s="3541"/>
      <c r="D18" s="3541"/>
    </row>
    <row r="19" spans="1:4" ht="46.5" customHeight="1">
      <c r="A19" s="354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41"/>
      <c r="C19" s="3541"/>
      <c r="D19" s="3541"/>
    </row>
    <row r="20" spans="1:4" ht="57.75" customHeight="1">
      <c r="A20" s="354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41"/>
      <c r="C20" s="3541"/>
      <c r="D20" s="3541"/>
    </row>
    <row r="21" spans="1:4" ht="57.75" customHeight="1">
      <c r="A21" s="354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45"/>
      <c r="C21" s="3545"/>
      <c r="D21" s="3545"/>
    </row>
    <row r="22" spans="1:4" ht="18.75" customHeight="1">
      <c r="A22" s="3546" t="s">
        <v>943</v>
      </c>
      <c r="B22" s="3546"/>
      <c r="C22" s="3546"/>
      <c r="D22" s="3546"/>
    </row>
    <row r="23" spans="1:4">
      <c r="A23" s="1515"/>
      <c r="B23" s="1487"/>
      <c r="C23" s="1487"/>
      <c r="D23" s="1487"/>
    </row>
    <row r="24" spans="1:4">
      <c r="A24" s="1515"/>
      <c r="B24" s="1487"/>
      <c r="C24" s="1487"/>
      <c r="D24" s="1487"/>
    </row>
    <row r="25" spans="1:4" ht="18.75">
      <c r="A25" s="1516" t="s">
        <v>944</v>
      </c>
    </row>
    <row r="26" spans="1:4" ht="18">
      <c r="A26" s="1485"/>
    </row>
    <row r="27" spans="1:4" ht="18.75">
      <c r="A27" s="1485" t="s">
        <v>945</v>
      </c>
    </row>
    <row r="30" spans="1:4" ht="18.75">
      <c r="D30" s="1516" t="s">
        <v>946</v>
      </c>
    </row>
    <row r="31" spans="1:4" ht="13.5" customHeight="1">
      <c r="C31" s="3543">
        <v>42551</v>
      </c>
      <c r="D31" s="354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948</v>
      </c>
    </row>
    <row r="3" spans="1:7">
      <c r="A3" s="1521" t="s">
        <v>55</v>
      </c>
      <c r="B3" s="1505" t="s">
        <v>949</v>
      </c>
      <c r="G3" s="1522"/>
    </row>
    <row r="4" spans="1:7">
      <c r="G4" s="1522"/>
    </row>
    <row r="5" spans="1:7">
      <c r="A5" s="1524" t="s">
        <v>46</v>
      </c>
      <c r="B5" s="1505" t="s">
        <v>950</v>
      </c>
      <c r="G5" s="1522"/>
    </row>
    <row r="6" spans="1:7">
      <c r="G6" s="1522"/>
    </row>
    <row r="7" spans="1:7">
      <c r="A7" s="1525" t="s">
        <v>108</v>
      </c>
      <c r="B7" s="1505" t="s">
        <v>951</v>
      </c>
      <c r="G7" s="1522"/>
    </row>
    <row r="8" spans="1:7">
      <c r="G8" s="1522"/>
    </row>
    <row r="9" spans="1:7">
      <c r="A9" s="1526" t="s">
        <v>47</v>
      </c>
      <c r="B9" s="1505" t="s">
        <v>952</v>
      </c>
    </row>
    <row r="11" spans="1:7">
      <c r="A11" s="1527" t="s">
        <v>48</v>
      </c>
      <c r="B11" s="1528" t="s">
        <v>45</v>
      </c>
    </row>
    <row r="13" spans="1:7">
      <c r="A13" s="1529" t="s">
        <v>953</v>
      </c>
    </row>
    <row r="15" spans="1:7" ht="13.5">
      <c r="A15" s="3552" t="s">
        <v>954</v>
      </c>
      <c r="B15" s="3547" t="s">
        <v>109</v>
      </c>
      <c r="C15" s="3548"/>
    </row>
    <row r="16" spans="1:7" ht="13.5">
      <c r="A16" s="3553"/>
      <c r="B16" s="3547" t="s">
        <v>42</v>
      </c>
      <c r="C16" s="3548"/>
    </row>
    <row r="17" spans="1:3" ht="13.5">
      <c r="A17" s="3553"/>
      <c r="B17" s="3550" t="s">
        <v>955</v>
      </c>
      <c r="C17" s="1530" t="s">
        <v>954</v>
      </c>
    </row>
    <row r="18" spans="1:3" ht="13.5">
      <c r="A18" s="3553"/>
      <c r="B18" s="3550"/>
      <c r="C18" s="1530" t="s">
        <v>956</v>
      </c>
    </row>
    <row r="19" spans="1:3" ht="13.5">
      <c r="A19" s="3553"/>
      <c r="B19" s="3550"/>
      <c r="C19" s="1530" t="s">
        <v>957</v>
      </c>
    </row>
    <row r="20" spans="1:3" ht="13.5">
      <c r="A20" s="3554"/>
      <c r="B20" s="3549" t="s">
        <v>958</v>
      </c>
      <c r="C20" s="3548"/>
    </row>
    <row r="21" spans="1:3" ht="13.5">
      <c r="A21" s="1531" t="s">
        <v>959</v>
      </c>
      <c r="B21" s="1532"/>
      <c r="C21" s="1533"/>
    </row>
    <row r="22" spans="1:3" ht="13.5">
      <c r="A22" s="3551" t="s">
        <v>960</v>
      </c>
      <c r="B22" s="3549" t="s">
        <v>961</v>
      </c>
      <c r="C22" s="3548"/>
    </row>
    <row r="23" spans="1:3" ht="13.5">
      <c r="A23" s="3551"/>
      <c r="B23" s="3549" t="s">
        <v>962</v>
      </c>
      <c r="C23" s="3548"/>
    </row>
    <row r="24" spans="1:3" ht="13.5">
      <c r="A24" s="3551"/>
      <c r="B24" s="3549" t="s">
        <v>963</v>
      </c>
      <c r="C24" s="3548"/>
    </row>
    <row r="25" spans="1:3" ht="13.5">
      <c r="A25" s="3551"/>
      <c r="B25" s="3550" t="s">
        <v>964</v>
      </c>
      <c r="C25" s="1530" t="s">
        <v>965</v>
      </c>
    </row>
    <row r="26" spans="1:3" ht="13.5">
      <c r="A26" s="3551"/>
      <c r="B26" s="3550"/>
      <c r="C26" s="1530" t="s">
        <v>966</v>
      </c>
    </row>
    <row r="27" spans="1:3" ht="13.5">
      <c r="A27" s="3551"/>
      <c r="B27" s="3550"/>
      <c r="C27" s="1530" t="s">
        <v>967</v>
      </c>
    </row>
    <row r="28" spans="1:3" ht="13.5">
      <c r="A28" s="3551"/>
      <c r="B28" s="3550"/>
      <c r="C28" s="1530" t="s">
        <v>968</v>
      </c>
    </row>
    <row r="29" spans="1:3" ht="13.5">
      <c r="A29" s="3551"/>
      <c r="B29" s="3550"/>
      <c r="C29" s="1530" t="s">
        <v>969</v>
      </c>
    </row>
    <row r="30" spans="1:3" ht="13.5">
      <c r="A30" s="3551"/>
      <c r="B30" s="3550"/>
      <c r="C30" s="1530" t="s">
        <v>970</v>
      </c>
    </row>
    <row r="31" spans="1:3" ht="13.5">
      <c r="A31" s="3551"/>
      <c r="B31" s="3550"/>
      <c r="C31" s="1530" t="s">
        <v>971</v>
      </c>
    </row>
    <row r="32" spans="1:3" ht="13.5">
      <c r="A32" s="3551"/>
      <c r="B32" s="3550"/>
      <c r="C32" s="1530" t="s">
        <v>972</v>
      </c>
    </row>
    <row r="33" spans="1:3" ht="13.5">
      <c r="A33" s="3551"/>
      <c r="B33" s="3550"/>
      <c r="C33" s="1530" t="s">
        <v>973</v>
      </c>
    </row>
    <row r="34" spans="1:3">
      <c r="A34" s="1534" t="s">
        <v>49</v>
      </c>
    </row>
    <row r="37" spans="1:3">
      <c r="A37" s="1534" t="s">
        <v>974</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2136</v>
      </c>
      <c r="B2" s="2337">
        <f ca="1">TODAY()</f>
        <v>45504</v>
      </c>
      <c r="C2" s="2338" t="s">
        <v>2137</v>
      </c>
      <c r="D2" s="2338"/>
      <c r="E2" s="2338"/>
      <c r="F2" s="2334"/>
      <c r="G2" s="2334"/>
      <c r="H2" s="2334"/>
    </row>
    <row r="3" spans="1:8" ht="24" customHeight="1">
      <c r="A3" s="2339" t="s">
        <v>2138</v>
      </c>
      <c r="B3" s="2340" t="s">
        <v>2139</v>
      </c>
      <c r="C3" s="2340" t="s">
        <v>2140</v>
      </c>
      <c r="D3" s="2341" t="s">
        <v>2141</v>
      </c>
      <c r="E3" s="2342" t="s">
        <v>2142</v>
      </c>
      <c r="F3" s="1302" t="s">
        <v>2143</v>
      </c>
      <c r="G3" s="2340" t="s">
        <v>2140</v>
      </c>
      <c r="H3" s="2341" t="s">
        <v>2144</v>
      </c>
    </row>
    <row r="4" spans="1:8" ht="24" customHeight="1">
      <c r="A4" s="1302" t="s">
        <v>2145</v>
      </c>
      <c r="B4" s="1302">
        <f ca="1">IF(C4&lt;B2,"已过期",1119970066)</f>
        <v>1119970066</v>
      </c>
      <c r="C4" s="2343">
        <v>45937</v>
      </c>
      <c r="D4" s="2344" t="str">
        <f ca="1">A4&amp;"（注册号："&amp;B4&amp;"）"</f>
        <v>梁津（注册号：1119970066）</v>
      </c>
      <c r="E4" s="2345" t="s">
        <v>2145</v>
      </c>
      <c r="F4" s="1302">
        <f ca="1">IF(G4&lt;B2,"已过期",96010014)</f>
        <v>96010014</v>
      </c>
      <c r="G4" s="2346">
        <v>47118</v>
      </c>
      <c r="H4" s="2347" t="str">
        <f ca="1">E4&amp;"（注册号："&amp;F4&amp;"）"</f>
        <v>梁津（注册号：96010014）</v>
      </c>
    </row>
    <row r="5" spans="1:8" ht="24" customHeight="1">
      <c r="A5" s="1302" t="s">
        <v>2146</v>
      </c>
      <c r="B5" s="1302">
        <f ca="1">IF(C5&lt;B2,"已过期",1119970111)</f>
        <v>1119970111</v>
      </c>
      <c r="C5" s="2343">
        <v>45937</v>
      </c>
      <c r="D5" s="2344" t="str">
        <f t="shared" ref="D5:D15" ca="1" si="0">A5&amp;"（注册号："&amp;B5&amp;"）"</f>
        <v>叶凌（注册号：1119970111）</v>
      </c>
      <c r="E5" s="2345" t="s">
        <v>2146</v>
      </c>
      <c r="F5" s="1302">
        <f ca="1">IF(G5&lt;B2,"已过期",94010078)</f>
        <v>94010078</v>
      </c>
      <c r="G5" s="2346">
        <v>46387</v>
      </c>
      <c r="H5" s="2347" t="str">
        <f t="shared" ref="H5:H16" ca="1" si="1">E5&amp;"（注册号："&amp;F5&amp;"）"</f>
        <v>叶凌（注册号：94010078）</v>
      </c>
    </row>
    <row r="6" spans="1:8" ht="24" customHeight="1">
      <c r="A6" s="1302" t="s">
        <v>2147</v>
      </c>
      <c r="B6" s="1302" t="str">
        <f ca="1">IF(C6&lt;B2,"已过期",1120050019)</f>
        <v>已过期</v>
      </c>
      <c r="C6" s="2343">
        <v>45410</v>
      </c>
      <c r="D6" s="2344" t="str">
        <f t="shared" ca="1" si="0"/>
        <v>王鹏（注册号：已过期）</v>
      </c>
      <c r="E6" s="2345" t="s">
        <v>2147</v>
      </c>
      <c r="F6" s="1302">
        <f ca="1">IF(G6&lt;B2,"已过期",2002110030)</f>
        <v>2002110030</v>
      </c>
      <c r="G6" s="2346">
        <v>46387</v>
      </c>
      <c r="H6" s="2347" t="str">
        <f t="shared" ca="1" si="1"/>
        <v>王鹏（注册号：2002110030）</v>
      </c>
    </row>
    <row r="7" spans="1:8" ht="24" customHeight="1">
      <c r="A7" s="1302" t="s">
        <v>2148</v>
      </c>
      <c r="B7" s="1302">
        <f ca="1">IF(C7&lt;B2,"已过期",1120000080)</f>
        <v>1120000080</v>
      </c>
      <c r="C7" s="2343">
        <v>45937</v>
      </c>
      <c r="D7" s="2344" t="str">
        <f t="shared" ca="1" si="0"/>
        <v>欧红伟（注册号：1120000080）</v>
      </c>
      <c r="E7" s="2345" t="s">
        <v>2148</v>
      </c>
      <c r="F7" s="1302">
        <f ca="1">IF(G7&lt;B2,"已过期",2000110082)</f>
        <v>2000110082</v>
      </c>
      <c r="G7" s="2346">
        <v>46387</v>
      </c>
      <c r="H7" s="2347" t="str">
        <f t="shared" ca="1" si="1"/>
        <v>欧红伟（注册号：2000110082）</v>
      </c>
    </row>
    <row r="8" spans="1:8" ht="24" customHeight="1">
      <c r="A8" s="1302" t="s">
        <v>2149</v>
      </c>
      <c r="B8" s="1302">
        <f ca="1">IF(C8&lt;B2,"已过期",1419970001)</f>
        <v>1419970001</v>
      </c>
      <c r="C8" s="2343">
        <v>45937</v>
      </c>
      <c r="D8" s="2344" t="str">
        <f t="shared" ca="1" si="0"/>
        <v>吴薇（注册号：1419970001）</v>
      </c>
      <c r="E8" s="2345" t="s">
        <v>2149</v>
      </c>
      <c r="F8" s="1302">
        <f ca="1">IF(G8&lt;B2,"已过期",2002110125)</f>
        <v>2002110125</v>
      </c>
      <c r="G8" s="2346">
        <v>47118</v>
      </c>
      <c r="H8" s="2347" t="str">
        <f t="shared" ca="1" si="1"/>
        <v>吴薇（注册号：2002110125）</v>
      </c>
    </row>
    <row r="9" spans="1:8" ht="24" customHeight="1">
      <c r="A9" s="1302" t="s">
        <v>2150</v>
      </c>
      <c r="B9" s="1302">
        <f ca="1">IF(C9&lt;B2,"已过期",1120060040)</f>
        <v>1120060040</v>
      </c>
      <c r="C9" s="2348">
        <v>45592</v>
      </c>
      <c r="D9" s="2344" t="str">
        <f t="shared" ca="1" si="0"/>
        <v>陈颖（注册号：1120060040）</v>
      </c>
      <c r="E9" s="2345" t="s">
        <v>2150</v>
      </c>
      <c r="F9" s="1302">
        <f ca="1">IF(G9&lt;B2,"已过期",2004110096)</f>
        <v>2004110096</v>
      </c>
      <c r="G9" s="2346">
        <v>47118</v>
      </c>
      <c r="H9" s="2347" t="str">
        <f t="shared" ca="1" si="1"/>
        <v>陈颖（注册号：2004110096）</v>
      </c>
    </row>
    <row r="10" spans="1:8" ht="24" customHeight="1">
      <c r="A10" s="1302" t="s">
        <v>2151</v>
      </c>
      <c r="B10" s="1302">
        <f ca="1">IF(C10&lt;B2,"已过期",1120100036)</f>
        <v>1120100036</v>
      </c>
      <c r="C10" s="2348">
        <v>45752</v>
      </c>
      <c r="D10" s="2344" t="str">
        <f t="shared" ca="1" si="0"/>
        <v>崔锴（注册号：1120100036）</v>
      </c>
      <c r="E10" s="2345" t="s">
        <v>2151</v>
      </c>
      <c r="F10" s="1302">
        <f ca="1">IF(G10&lt;B2,"已过期",2010110070)</f>
        <v>2010110070</v>
      </c>
      <c r="G10" s="2346">
        <v>47907</v>
      </c>
      <c r="H10" s="2347" t="str">
        <f t="shared" ca="1" si="1"/>
        <v>崔锴（注册号：2010110070）</v>
      </c>
    </row>
    <row r="11" spans="1:8" ht="24" customHeight="1">
      <c r="A11" s="1302" t="s">
        <v>2152</v>
      </c>
      <c r="B11" s="1302">
        <f ca="1">IF(C11&lt;B2,"已过期",1120070131)</f>
        <v>1120070131</v>
      </c>
      <c r="C11" s="2343">
        <v>45937</v>
      </c>
      <c r="D11" s="2344" t="str">
        <f t="shared" ca="1" si="0"/>
        <v>郑燚（注册号：1120070131）</v>
      </c>
      <c r="E11" s="2345" t="s">
        <v>2152</v>
      </c>
      <c r="F11" s="1302">
        <f ca="1">IF(G11&lt;B2,"已过期",2014110011)</f>
        <v>2014110011</v>
      </c>
      <c r="G11" s="2346">
        <v>49302</v>
      </c>
      <c r="H11" s="2347" t="str">
        <f t="shared" ca="1" si="1"/>
        <v>郑燚（注册号：2014110011）</v>
      </c>
    </row>
    <row r="12" spans="1:8" ht="24" customHeight="1">
      <c r="A12" s="1302" t="s">
        <v>2153</v>
      </c>
      <c r="B12" s="1302">
        <f ca="1">IF(C12&lt;B2,"已过期",1120040230)</f>
        <v>1120040230</v>
      </c>
      <c r="C12" s="2348">
        <v>45937</v>
      </c>
      <c r="D12" s="2344" t="str">
        <f t="shared" ca="1" si="0"/>
        <v>苏海（注册号：1120040230）</v>
      </c>
      <c r="E12" s="2345" t="s">
        <v>2153</v>
      </c>
      <c r="F12" s="1302">
        <f ca="1">IF(G12&lt;B2,"已过期",98030020)</f>
        <v>98030020</v>
      </c>
      <c r="G12" s="2346">
        <v>47118</v>
      </c>
      <c r="H12" s="2347" t="str">
        <f t="shared" ca="1" si="1"/>
        <v>苏海（注册号：98030020）</v>
      </c>
    </row>
    <row r="13" spans="1:8" ht="24" customHeight="1">
      <c r="A13" s="1302" t="s">
        <v>2154</v>
      </c>
      <c r="B13" s="1302" t="str">
        <f ca="1">IF(C13&lt;B2,"已过期",1120020033)</f>
        <v>已过期</v>
      </c>
      <c r="C13" s="2343">
        <v>45375</v>
      </c>
      <c r="D13" s="2344" t="str">
        <f t="shared" ca="1" si="0"/>
        <v>刘敬东（注册号：已过期）</v>
      </c>
      <c r="E13" s="2345" t="s">
        <v>2154</v>
      </c>
      <c r="F13" s="1302">
        <f ca="1">IF(G13&lt;B2,"已过期",2000110137)</f>
        <v>2000110137</v>
      </c>
      <c r="G13" s="2346">
        <v>46387</v>
      </c>
      <c r="H13" s="2347" t="str">
        <f t="shared" ca="1" si="1"/>
        <v>刘敬东（注册号：2000110137）</v>
      </c>
    </row>
    <row r="14" spans="1:8" ht="24" customHeight="1">
      <c r="A14" s="1302" t="s">
        <v>2155</v>
      </c>
      <c r="B14" s="1302" t="str">
        <f ca="1">IF(C14&lt;B2,"已过期",1119980106)</f>
        <v>已过期</v>
      </c>
      <c r="C14" s="2348">
        <v>44969</v>
      </c>
      <c r="D14" s="2344" t="str">
        <f t="shared" ca="1" si="0"/>
        <v>刘俊财（注册号：已过期）</v>
      </c>
      <c r="E14" s="2345" t="s">
        <v>2155</v>
      </c>
      <c r="F14" s="1302">
        <f ca="1">IF(G14&lt;B2,"已过期",96010063)</f>
        <v>96010063</v>
      </c>
      <c r="G14" s="2346">
        <v>47483</v>
      </c>
      <c r="H14" s="2347" t="str">
        <f t="shared" ca="1" si="1"/>
        <v>刘俊财（注册号：96010063）</v>
      </c>
    </row>
    <row r="15" spans="1:8" ht="24" customHeight="1">
      <c r="A15" s="1302" t="s">
        <v>2434</v>
      </c>
      <c r="B15" s="1302">
        <v>1120210056</v>
      </c>
      <c r="C15" s="2348">
        <v>45410</v>
      </c>
      <c r="D15" s="2344" t="str">
        <f t="shared" si="0"/>
        <v>宁小鳗（注册号：1120210056）</v>
      </c>
      <c r="E15" s="2345" t="s">
        <v>2156</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55" t="s">
        <v>2157</v>
      </c>
      <c r="B17" s="3555"/>
      <c r="C17" s="3555"/>
      <c r="D17" s="3555"/>
      <c r="E17" s="3555"/>
      <c r="F17" s="3555"/>
      <c r="G17" s="3555"/>
      <c r="H17" s="3555"/>
    </row>
    <row r="18" spans="1:8" ht="24" customHeight="1">
      <c r="A18" s="3556" t="s">
        <v>2158</v>
      </c>
      <c r="B18" s="3556"/>
      <c r="C18" s="3556"/>
      <c r="D18" s="2341"/>
      <c r="E18" s="3557" t="s">
        <v>2159</v>
      </c>
      <c r="F18" s="3556"/>
      <c r="G18" s="3556"/>
    </row>
    <row r="19" spans="1:8" s="2352" customFormat="1" ht="24" customHeight="1">
      <c r="A19" s="2351" t="s">
        <v>2160</v>
      </c>
      <c r="B19" s="2340" t="s">
        <v>2161</v>
      </c>
      <c r="C19" s="2340" t="s">
        <v>2140</v>
      </c>
      <c r="D19" s="2341"/>
      <c r="E19" s="2345" t="s">
        <v>2160</v>
      </c>
      <c r="F19" s="2340" t="s">
        <v>2161</v>
      </c>
      <c r="G19" s="2340" t="s">
        <v>2140</v>
      </c>
    </row>
    <row r="20" spans="1:8" s="2352" customFormat="1" ht="24" customHeight="1">
      <c r="A20" s="2353" t="s">
        <v>2162</v>
      </c>
      <c r="B20" s="2353" t="s">
        <v>2163</v>
      </c>
      <c r="C20" s="2346">
        <v>45898</v>
      </c>
      <c r="D20" s="2354"/>
      <c r="E20" s="2355" t="s">
        <v>2164</v>
      </c>
      <c r="F20" s="2358" t="s">
        <v>2435</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47" priority="53">
      <formula>AND($C4-TODAY()&lt;30,TODAY()&lt;$C4)</formula>
    </cfRule>
  </conditionalFormatting>
  <conditionalFormatting sqref="C20:D20">
    <cfRule type="expression" dxfId="246" priority="52">
      <formula>AND($C20-TODAY()&lt;30,TODAY()&lt;$C20)</formula>
    </cfRule>
  </conditionalFormatting>
  <conditionalFormatting sqref="C20:D20 G4 C4:D5 C13:D13">
    <cfRule type="cellIs" dxfId="245" priority="54" stopIfTrue="1" operator="lessThan">
      <formula>$B$2</formula>
    </cfRule>
  </conditionalFormatting>
  <conditionalFormatting sqref="G5 G7 G9">
    <cfRule type="cellIs" dxfId="244" priority="51" stopIfTrue="1" operator="lessThan">
      <formula>$B$2</formula>
    </cfRule>
  </conditionalFormatting>
  <conditionalFormatting sqref="C6:D6 D14 D16">
    <cfRule type="expression" dxfId="243" priority="49">
      <formula>AND($C6-TODAY()&lt;30,TODAY()&lt;$C6)</formula>
    </cfRule>
  </conditionalFormatting>
  <conditionalFormatting sqref="G6 G8 G10 C6:D6 D7:D12 D14 D16">
    <cfRule type="cellIs" dxfId="242" priority="50" stopIfTrue="1" operator="lessThan">
      <formula>$B$2</formula>
    </cfRule>
  </conditionalFormatting>
  <conditionalFormatting sqref="D12">
    <cfRule type="expression" dxfId="241" priority="47">
      <formula>AND($C12-TODAY()&lt;30,TODAY()&lt;$C12)</formula>
    </cfRule>
  </conditionalFormatting>
  <conditionalFormatting sqref="D12">
    <cfRule type="cellIs" dxfId="240" priority="48" stopIfTrue="1" operator="lessThan">
      <formula>$B$2</formula>
    </cfRule>
  </conditionalFormatting>
  <conditionalFormatting sqref="C13:D13">
    <cfRule type="expression" dxfId="239" priority="45">
      <formula>AND($C13-TODAY()&lt;30,TODAY()&lt;$C13)</formula>
    </cfRule>
  </conditionalFormatting>
  <conditionalFormatting sqref="C13:D13">
    <cfRule type="cellIs" dxfId="238" priority="46" stopIfTrue="1" operator="lessThan">
      <formula>$B$2</formula>
    </cfRule>
  </conditionalFormatting>
  <conditionalFormatting sqref="D14">
    <cfRule type="expression" dxfId="237" priority="43">
      <formula>AND($C14-TODAY()&lt;30,TODAY()&lt;$C14)</formula>
    </cfRule>
  </conditionalFormatting>
  <conditionalFormatting sqref="D14">
    <cfRule type="cellIs" dxfId="236" priority="44" stopIfTrue="1" operator="lessThan">
      <formula>$B$2</formula>
    </cfRule>
  </conditionalFormatting>
  <conditionalFormatting sqref="G13">
    <cfRule type="cellIs" dxfId="235" priority="42" stopIfTrue="1" operator="lessThan">
      <formula>$B$2</formula>
    </cfRule>
  </conditionalFormatting>
  <conditionalFormatting sqref="B4:B11 F4:F11 B13 F13:F14">
    <cfRule type="cellIs" dxfId="234" priority="41" stopIfTrue="1" operator="equal">
      <formula>"已过期"</formula>
    </cfRule>
  </conditionalFormatting>
  <conditionalFormatting sqref="C7">
    <cfRule type="cellIs" dxfId="233" priority="38" stopIfTrue="1" operator="lessThan">
      <formula>$B$2</formula>
    </cfRule>
  </conditionalFormatting>
  <conditionalFormatting sqref="C7">
    <cfRule type="expression" dxfId="232" priority="37">
      <formula>AND($C7-TODAY()&lt;30,TODAY()&lt;$C7)</formula>
    </cfRule>
  </conditionalFormatting>
  <conditionalFormatting sqref="C8">
    <cfRule type="expression" dxfId="231" priority="35">
      <formula>AND($C8-TODAY()&lt;30,TODAY()&lt;$C8)</formula>
    </cfRule>
  </conditionalFormatting>
  <conditionalFormatting sqref="C8">
    <cfRule type="cellIs" dxfId="230" priority="36" stopIfTrue="1" operator="lessThan">
      <formula>$B$2</formula>
    </cfRule>
  </conditionalFormatting>
  <conditionalFormatting sqref="C11">
    <cfRule type="expression" dxfId="229" priority="33">
      <formula>AND($C11-TODAY()&lt;30,TODAY()&lt;$C11)</formula>
    </cfRule>
  </conditionalFormatting>
  <conditionalFormatting sqref="C11">
    <cfRule type="cellIs" dxfId="228" priority="34" stopIfTrue="1" operator="lessThan">
      <formula>$B$2</formula>
    </cfRule>
  </conditionalFormatting>
  <conditionalFormatting sqref="A16:C16">
    <cfRule type="cellIs" dxfId="227" priority="32" stopIfTrue="1" operator="equal">
      <formula>"已过期"</formula>
    </cfRule>
  </conditionalFormatting>
  <conditionalFormatting sqref="E16:G16">
    <cfRule type="cellIs" dxfId="226" priority="31" stopIfTrue="1" operator="equal">
      <formula>"已过期"</formula>
    </cfRule>
  </conditionalFormatting>
  <conditionalFormatting sqref="G11">
    <cfRule type="cellIs" dxfId="225" priority="30" stopIfTrue="1" operator="lessThan">
      <formula>$B$2</formula>
    </cfRule>
  </conditionalFormatting>
  <conditionalFormatting sqref="F12">
    <cfRule type="cellIs" dxfId="224" priority="29" stopIfTrue="1" operator="equal">
      <formula>"已过期"</formula>
    </cfRule>
  </conditionalFormatting>
  <conditionalFormatting sqref="G12">
    <cfRule type="cellIs" dxfId="223" priority="28" stopIfTrue="1" operator="lessThan">
      <formula>$B$2</formula>
    </cfRule>
  </conditionalFormatting>
  <conditionalFormatting sqref="C12">
    <cfRule type="cellIs" dxfId="222" priority="27" stopIfTrue="1" operator="lessThan">
      <formula>$B$2</formula>
    </cfRule>
  </conditionalFormatting>
  <conditionalFormatting sqref="C12">
    <cfRule type="expression" dxfId="221" priority="25">
      <formula>AND($C12-TODAY()&lt;30,TODAY()&lt;$C12)</formula>
    </cfRule>
  </conditionalFormatting>
  <conditionalFormatting sqref="C12">
    <cfRule type="cellIs" dxfId="220" priority="26" stopIfTrue="1" operator="lessThan">
      <formula>$B$2</formula>
    </cfRule>
  </conditionalFormatting>
  <conditionalFormatting sqref="B12">
    <cfRule type="cellIs" dxfId="219" priority="24" stopIfTrue="1" operator="equal">
      <formula>"已过期"</formula>
    </cfRule>
  </conditionalFormatting>
  <conditionalFormatting sqref="C9:C10">
    <cfRule type="expression" dxfId="218" priority="22">
      <formula>AND($C9-TODAY()&lt;30,TODAY()&lt;$C9)</formula>
    </cfRule>
  </conditionalFormatting>
  <conditionalFormatting sqref="C9:C10">
    <cfRule type="cellIs" dxfId="217" priority="23" stopIfTrue="1" operator="lessThan">
      <formula>$B$2</formula>
    </cfRule>
  </conditionalFormatting>
  <conditionalFormatting sqref="G21">
    <cfRule type="expression" dxfId="216" priority="20" stopIfTrue="1">
      <formula>AND(#REF!-TODAY()&lt;30,TODAY()&lt;#REF!)</formula>
    </cfRule>
  </conditionalFormatting>
  <conditionalFormatting sqref="G21">
    <cfRule type="cellIs" dxfId="215" priority="21" stopIfTrue="1" operator="lessThan">
      <formula>$B$2</formula>
    </cfRule>
  </conditionalFormatting>
  <conditionalFormatting sqref="C14">
    <cfRule type="expression" dxfId="214" priority="18">
      <formula>AND($C14-TODAY()&lt;30,TODAY()&lt;$C14)</formula>
    </cfRule>
  </conditionalFormatting>
  <conditionalFormatting sqref="C14">
    <cfRule type="cellIs" dxfId="213" priority="19" stopIfTrue="1" operator="lessThan">
      <formula>$B$2</formula>
    </cfRule>
  </conditionalFormatting>
  <conditionalFormatting sqref="C14">
    <cfRule type="expression" dxfId="212" priority="16">
      <formula>AND($C14-TODAY()&lt;30,TODAY()&lt;$C14)</formula>
    </cfRule>
  </conditionalFormatting>
  <conditionalFormatting sqref="C14">
    <cfRule type="cellIs" dxfId="211" priority="17" stopIfTrue="1" operator="lessThan">
      <formula>$B$2</formula>
    </cfRule>
  </conditionalFormatting>
  <conditionalFormatting sqref="B14">
    <cfRule type="cellIs" dxfId="210" priority="15" stopIfTrue="1" operator="equal">
      <formula>"已过期"</formula>
    </cfRule>
  </conditionalFormatting>
  <conditionalFormatting sqref="G14">
    <cfRule type="cellIs" dxfId="209" priority="14" stopIfTrue="1" operator="lessThan">
      <formula>$B$2</formula>
    </cfRule>
  </conditionalFormatting>
  <conditionalFormatting sqref="D15">
    <cfRule type="expression" dxfId="208" priority="12">
      <formula>AND($C15-TODAY()&lt;30,TODAY()&lt;$C15)</formula>
    </cfRule>
  </conditionalFormatting>
  <conditionalFormatting sqref="D15">
    <cfRule type="cellIs" dxfId="207" priority="13" stopIfTrue="1" operator="lessThan">
      <formula>$B$2</formula>
    </cfRule>
  </conditionalFormatting>
  <conditionalFormatting sqref="D15">
    <cfRule type="expression" dxfId="206" priority="10">
      <formula>AND($C15-TODAY()&lt;30,TODAY()&lt;$C15)</formula>
    </cfRule>
  </conditionalFormatting>
  <conditionalFormatting sqref="D15">
    <cfRule type="cellIs" dxfId="205" priority="11" stopIfTrue="1" operator="lessThan">
      <formula>$B$2</formula>
    </cfRule>
  </conditionalFormatting>
  <conditionalFormatting sqref="F15">
    <cfRule type="cellIs" dxfId="204" priority="9" stopIfTrue="1" operator="equal">
      <formula>"已过期"</formula>
    </cfRule>
  </conditionalFormatting>
  <conditionalFormatting sqref="C15">
    <cfRule type="expression" dxfId="203" priority="7">
      <formula>AND($C15-TODAY()&lt;30,TODAY()&lt;$C15)</formula>
    </cfRule>
  </conditionalFormatting>
  <conditionalFormatting sqref="C15">
    <cfRule type="cellIs" dxfId="202" priority="8" stopIfTrue="1" operator="lessThan">
      <formula>$B$2</formula>
    </cfRule>
  </conditionalFormatting>
  <conditionalFormatting sqref="C15">
    <cfRule type="expression" dxfId="201" priority="5">
      <formula>AND($C15-TODAY()&lt;30,TODAY()&lt;$C15)</formula>
    </cfRule>
  </conditionalFormatting>
  <conditionalFormatting sqref="C15">
    <cfRule type="cellIs" dxfId="200" priority="6" stopIfTrue="1" operator="lessThan">
      <formula>$B$2</formula>
    </cfRule>
  </conditionalFormatting>
  <conditionalFormatting sqref="B15">
    <cfRule type="cellIs" dxfId="199" priority="4" stopIfTrue="1" operator="equal">
      <formula>"已过期"</formula>
    </cfRule>
  </conditionalFormatting>
  <conditionalFormatting sqref="G15">
    <cfRule type="cellIs" dxfId="198" priority="3" stopIfTrue="1" operator="lessThan">
      <formula>$B$2</formula>
    </cfRule>
  </conditionalFormatting>
  <conditionalFormatting sqref="G20">
    <cfRule type="expression" dxfId="197" priority="1" stopIfTrue="1">
      <formula>AND(#REF!-TODAY()&lt;30,TODAY()&lt;#REF!)</formula>
    </cfRule>
  </conditionalFormatting>
  <conditionalFormatting sqref="G20">
    <cfRule type="cellIs" dxfId="19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154</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取值过程</vt:lpstr>
      <vt:lpstr>数据-取费表</vt:lpstr>
      <vt:lpstr>估价对象房地状况</vt:lpstr>
      <vt:lpstr>系统读取表</vt:lpstr>
      <vt:lpstr>分套价值</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结果表 (2)</vt:lpstr>
      <vt:lpstr>比较法-商业</vt:lpstr>
      <vt:lpstr>收益法商</vt:lpstr>
      <vt:lpstr>典型户型修正 (2)</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(2)'!Print_Area</vt:lpstr>
      <vt:lpstr>收益法!Print_Area</vt:lpstr>
      <vt:lpstr>'收益法 (元)'!Print_Area</vt:lpstr>
      <vt:lpstr>'收益法（汇总）'!Print_Area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123</cp:lastModifiedBy>
  <cp:lastPrinted>2024-07-25T05:37:26Z</cp:lastPrinted>
  <dcterms:created xsi:type="dcterms:W3CDTF">2015-07-13T07:17:23Z</dcterms:created>
  <dcterms:modified xsi:type="dcterms:W3CDTF">2024-07-31T06:38:55Z</dcterms:modified>
</cp:coreProperties>
</file>